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firmwide.corp.gs.com\irroot\projects\au\CME\CJG\Tech\Company\WTC\Model\"/>
    </mc:Choice>
  </mc:AlternateContent>
  <xr:revisionPtr revIDLastSave="0" documentId="13_ncr:1_{C4A3A2A7-4697-4235-8736-4DA6EFB88BDD}" xr6:coauthVersionLast="47" xr6:coauthVersionMax="47" xr10:uidLastSave="{00000000-0000-0000-0000-000000000000}"/>
  <bookViews>
    <workbookView xWindow="28800" yWindow="0" windowWidth="28800" windowHeight="23400" tabRatio="740" firstSheet="1" activeTab="1" xr2:uid="{00000000-000D-0000-FFFF-FFFF00000000}"/>
  </bookViews>
  <sheets>
    <sheet name="__FDSCACHE__" sheetId="23137" state="veryHidden" r:id="rId1"/>
    <sheet name="WTC.AX" sheetId="23130" r:id="rId2"/>
    <sheet name="DCF" sheetId="23124" state="hidden" r:id="rId3"/>
    <sheet name="MODEL" sheetId="23083" r:id="rId4"/>
    <sheet name="REVENUE" sheetId="23086" r:id="rId5"/>
    <sheet name="SOTP" sheetId="23120" r:id="rId6"/>
    <sheet name="E2 --&gt;" sheetId="23138" state="hidden" r:id="rId7"/>
    <sheet name="Revenue Build" sheetId="23140" state="hidden" r:id="rId8"/>
    <sheet name="VA Consensus" sheetId="23134" state="hidden" r:id="rId9"/>
    <sheet name="Cross Check" sheetId="23132" state="hidden" r:id="rId10"/>
    <sheet name="M&amp;A Summary" sheetId="23133" state="hidden" r:id="rId11"/>
    <sheet name="Earnings changes" sheetId="23123" state="hidden" r:id="rId12"/>
    <sheet name="Income Statement" sheetId="23141" state="hidden" r:id="rId13"/>
  </sheets>
  <definedNames>
    <definedName name="\a" localSheetId="2">#REF!</definedName>
    <definedName name="\b" localSheetId="2">#REF!</definedName>
    <definedName name="\c" localSheetId="2">#REF!</definedName>
    <definedName name="\d" localSheetId="2">#REF!</definedName>
    <definedName name="\f" localSheetId="2">#REF!</definedName>
    <definedName name="\m" localSheetId="2">#REF!</definedName>
    <definedName name="\n" localSheetId="2">#REF!</definedName>
    <definedName name="\o" localSheetId="2">#REF!</definedName>
    <definedName name="\p" localSheetId="2">#REF!</definedName>
    <definedName name="\q" localSheetId="2">#REF!</definedName>
    <definedName name="\r" localSheetId="2">#REF!</definedName>
    <definedName name="\u" localSheetId="2">#REF!</definedName>
    <definedName name="\y" localSheetId="2">#REF!</definedName>
    <definedName name="__123Graph_A" hidden="1">#REF!</definedName>
    <definedName name="__123Graph_B" hidden="1">#REF!</definedName>
    <definedName name="__FDS_HYPERLINK_TOGGLE_STATE__" hidden="1">"ON"</definedName>
    <definedName name="__FDS_UNIQUE_RANGE_ID_GENERATOR_COUNTER" localSheetId="12" hidden="1">12</definedName>
    <definedName name="__FDS_UNIQUE_RANGE_ID_GENERATOR_COUNTER" localSheetId="7" hidden="1">12</definedName>
    <definedName name="__FDS_UNIQUE_RANGE_ID_GENERATOR_COUNTER" hidden="1">23</definedName>
    <definedName name="__FDS_USED_FOR_REUSING_RANGE_IDS_RECYCLE" localSheetId="12" hidden="1">{2,3,4,5,6,7,8,9,10}</definedName>
    <definedName name="__FDS_USED_FOR_REUSING_RANGE_IDS_RECYCLE" hidden="1">{2,3,4,5,6,7,8,9,10}</definedName>
    <definedName name="_1__FDSAUDITLINK__" localSheetId="2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1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EVAL_SALES&amp;VAR:MEASURE=EVSALES&amp;VAR:NULL=.HTML&amp;VAR:PED=2011&amp;VAR:PERIOD=CY&amp;VAR:THRESH=-|-|-|-|-|-&amp;VAR:PCT=N&amp;VAR:V=1.139287&amp;VAR:P=1&amp;VAR:DATE=20111202"}</definedName>
    <definedName name="_1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EVAL_SALES&amp;VAR:MEASURE=EVSALES&amp;VAR:NULL=.HTML&amp;VAR:PED=2011&amp;VAR:PERIOD=CY&amp;VAR:THRESH=-|-|-|-|-|-&amp;VAR:PCT=N&amp;VAR:V=1.139287&amp;VAR:P=1&amp;VAR:DATE=20111202"}</definedName>
    <definedName name="_1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10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0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00__FDSAUDITLINK__" localSheetId="12" hidden="1">{"fdsup://directions/FAT Viewer?action=UPDATE&amp;creator=factset&amp;DYN_ARGS=TRUE&amp;DOC_NAME=FAT:FQL_AUDITING_CLIENT_TEMPLATE.FAT&amp;display_string=Audit&amp;VAR:KEY=ATQRMTOFQN&amp;VAR:QUERY=Rk1BX0VWQUxfRUJJVERBKCs0LDAsLCwnUE9SVEFHRycsJ01FQU5SJyk=&amp;WINDOW=FIRST_POPUP&amp;HEIGHT=45","0&amp;WIDTH=450&amp;START_MAXIMIZED=FALSE&amp;VAR:CALENDAR=FIVEDAY&amp;VAR:SYMBOL=COMP&amp;VAR:INDEX=0"}</definedName>
    <definedName name="_100__FDSAUDITLINK__" hidden="1">{"fdsup://directions/FAT Viewer?action=UPDATE&amp;creator=factset&amp;DYN_ARGS=TRUE&amp;DOC_NAME=FAT:FQL_AUDITING_CLIENT_TEMPLATE.FAT&amp;display_string=Audit&amp;VAR:KEY=ATQRMTOFQN&amp;VAR:QUERY=Rk1BX0VWQUxfRUJJVERBKCs0LDAsLCwnUE9SVEFHRycsJ01FQU5SJyk=&amp;WINDOW=FIRST_POPUP&amp;HEIGHT=45","0&amp;WIDTH=450&amp;START_MAXIMIZED=FALSE&amp;VAR:CALENDAR=FIVEDAY&amp;VAR:SYMBOL=COMP&amp;VAR:INDEX=0"}</definedName>
    <definedName name="_101__FDSAUDITLINK__" localSheetId="12" hidden="1">{"fdsup://directions/FAT Viewer?action=UPDATE&amp;creator=factset&amp;DYN_ARGS=TRUE&amp;DOC_NAME=FAT:FQL_AUDITING_CLIENT_TEMPLATE.FAT&amp;display_string=Audit&amp;VAR:KEY=WBGXGFWLCT&amp;VAR:QUERY=Rk1BX0VQUygrMywwLCwsVVNELCdQT1JUQUdHJywnTUVBTlInKQ==&amp;WINDOW=FIRST_POPUP&amp;HEIGHT=450&amp;WI","DTH=450&amp;START_MAXIMIZED=FALSE&amp;VAR:CALENDAR=FIVEDAY&amp;VAR:SYMBOL=R.2000&amp;VAR:INDEX=0"}</definedName>
    <definedName name="_101__FDSAUDITLINK__" hidden="1">{"fdsup://directions/FAT Viewer?action=UPDATE&amp;creator=factset&amp;DYN_ARGS=TRUE&amp;DOC_NAME=FAT:FQL_AUDITING_CLIENT_TEMPLATE.FAT&amp;display_string=Audit&amp;VAR:KEY=WBGXGFWLCT&amp;VAR:QUERY=Rk1BX0VQUygrMywwLCwsVVNELCdQT1JUQUdHJywnTUVBTlInKQ==&amp;WINDOW=FIRST_POPUP&amp;HEIGHT=450&amp;WI","DTH=450&amp;START_MAXIMIZED=FALSE&amp;VAR:CALENDAR=FIVEDAY&amp;VAR:SYMBOL=R.2000&amp;VAR:INDEX=0"}</definedName>
    <definedName name="_102__FDSAUDITLINK__" localSheetId="12" hidden="1">{"fdsup://directions/FAT Viewer?action=UPDATE&amp;creator=factset&amp;DYN_ARGS=TRUE&amp;DOC_NAME=FAT:FQL_AUDITING_CLIENT_TEMPLATE.FAT&amp;display_string=Audit&amp;VAR:KEY=EXEBOJUDWT&amp;VAR:QUERY=Rk1BX0VQUygrMiwwLCwsVVNELCdQT1JUQUdHJywnTUVBTlInKQ==&amp;WINDOW=FIRST_POPUP&amp;HEIGHT=450&amp;WI","DTH=450&amp;START_MAXIMIZED=FALSE&amp;VAR:CALENDAR=FIVEDAY&amp;VAR:SYMBOL=R.2000&amp;VAR:INDEX=0"}</definedName>
    <definedName name="_102__FDSAUDITLINK__" hidden="1">{"fdsup://directions/FAT Viewer?action=UPDATE&amp;creator=factset&amp;DYN_ARGS=TRUE&amp;DOC_NAME=FAT:FQL_AUDITING_CLIENT_TEMPLATE.FAT&amp;display_string=Audit&amp;VAR:KEY=EXEBOJUDWT&amp;VAR:QUERY=Rk1BX0VQUygrMiwwLCwsVVNELCdQT1JUQUdHJywnTUVBTlInKQ==&amp;WINDOW=FIRST_POPUP&amp;HEIGHT=450&amp;WI","DTH=450&amp;START_MAXIMIZED=FALSE&amp;VAR:CALENDAR=FIVEDAY&amp;VAR:SYMBOL=R.2000&amp;VAR:INDEX=0"}</definedName>
    <definedName name="_103__FDSAUDITLINK__" localSheetId="12" hidden="1">{"fdsup://directions/FAT Viewer?action=UPDATE&amp;creator=factset&amp;DYN_ARGS=TRUE&amp;DOC_NAME=FAT:FQL_AUDITING_CLIENT_TEMPLATE.FAT&amp;display_string=Audit&amp;VAR:KEY=GZKXYBGRGL&amp;VAR:QUERY=Rk1BX0VQUygrMSwwLCwsVVNELCdQT1JUQUdHJywnTUVBTlInKQ==&amp;WINDOW=FIRST_POPUP&amp;HEIGHT=450&amp;WI","DTH=450&amp;START_MAXIMIZED=FALSE&amp;VAR:CALENDAR=FIVEDAY&amp;VAR:SYMBOL=R.2000&amp;VAR:INDEX=0"}</definedName>
    <definedName name="_103__FDSAUDITLINK__" hidden="1">{"fdsup://directions/FAT Viewer?action=UPDATE&amp;creator=factset&amp;DYN_ARGS=TRUE&amp;DOC_NAME=FAT:FQL_AUDITING_CLIENT_TEMPLATE.FAT&amp;display_string=Audit&amp;VAR:KEY=GZKXYBGRGL&amp;VAR:QUERY=Rk1BX0VQUygrMSwwLCwsVVNELCdQT1JUQUdHJywnTUVBTlInKQ==&amp;WINDOW=FIRST_POPUP&amp;HEIGHT=450&amp;WI","DTH=450&amp;START_MAXIMIZED=FALSE&amp;VAR:CALENDAR=FIVEDAY&amp;VAR:SYMBOL=R.2000&amp;VAR:INDEX=0"}</definedName>
    <definedName name="_104__FDSAUDITLINK__" localSheetId="12" hidden="1">{"fdsup://directions/FAT Viewer?action=UPDATE&amp;creator=factset&amp;DYN_ARGS=TRUE&amp;DOC_NAME=FAT:FQL_AUDITING_CLIENT_TEMPLATE.FAT&amp;display_string=Audit&amp;VAR:KEY=CLGVATCBWT&amp;VAR:QUERY=Rk1BX0VQUygrNCwwLCwsVVNELCdQT1JUQUdHJywnTUVBTlInKQ==&amp;WINDOW=FIRST_POPUP&amp;HEIGHT=450&amp;WI","DTH=450&amp;START_MAXIMIZED=FALSE&amp;VAR:CALENDAR=FIVEDAY&amp;VAR:SYMBOL=DJIAK&amp;VAR:INDEX=0"}</definedName>
    <definedName name="_104__FDSAUDITLINK__" hidden="1">{"fdsup://directions/FAT Viewer?action=UPDATE&amp;creator=factset&amp;DYN_ARGS=TRUE&amp;DOC_NAME=FAT:FQL_AUDITING_CLIENT_TEMPLATE.FAT&amp;display_string=Audit&amp;VAR:KEY=CLGVATCBWT&amp;VAR:QUERY=Rk1BX0VQUygrNCwwLCwsVVNELCdQT1JUQUdHJywnTUVBTlInKQ==&amp;WINDOW=FIRST_POPUP&amp;HEIGHT=450&amp;WI","DTH=450&amp;START_MAXIMIZED=FALSE&amp;VAR:CALENDAR=FIVEDAY&amp;VAR:SYMBOL=DJIAK&amp;VAR:INDEX=0"}</definedName>
    <definedName name="_105__FDSAUDITLINK__" localSheetId="12" hidden="1">{"fdsup://directions/FAT Viewer?action=UPDATE&amp;creator=factset&amp;DYN_ARGS=TRUE&amp;DOC_NAME=FAT:FQL_AUDITING_CLIENT_TEMPLATE.FAT&amp;display_string=Audit&amp;VAR:KEY=UHMTOTKJQV&amp;VAR:QUERY=Rk1BX0VQUygrMywwLCwsVVNELCdQT1JUQUdHJywnTUVBTlInKQ==&amp;WINDOW=FIRST_POPUP&amp;HEIGHT=450&amp;WI","DTH=450&amp;START_MAXIMIZED=FALSE&amp;VAR:CALENDAR=FIVEDAY&amp;VAR:SYMBOL=DJIAK&amp;VAR:INDEX=0"}</definedName>
    <definedName name="_105__FDSAUDITLINK__" hidden="1">{"fdsup://directions/FAT Viewer?action=UPDATE&amp;creator=factset&amp;DYN_ARGS=TRUE&amp;DOC_NAME=FAT:FQL_AUDITING_CLIENT_TEMPLATE.FAT&amp;display_string=Audit&amp;VAR:KEY=UHMTOTKJQV&amp;VAR:QUERY=Rk1BX0VQUygrMywwLCwsVVNELCdQT1JUQUdHJywnTUVBTlInKQ==&amp;WINDOW=FIRST_POPUP&amp;HEIGHT=450&amp;WI","DTH=450&amp;START_MAXIMIZED=FALSE&amp;VAR:CALENDAR=FIVEDAY&amp;VAR:SYMBOL=DJIAK&amp;VAR:INDEX=0"}</definedName>
    <definedName name="_106__FDSAUDITLINK__" localSheetId="12" hidden="1">{"fdsup://directions/FAT Viewer?action=UPDATE&amp;creator=factset&amp;DYN_ARGS=TRUE&amp;DOC_NAME=FAT:FQL_AUDITING_CLIENT_TEMPLATE.FAT&amp;display_string=Audit&amp;VAR:KEY=AXQFKXWZOX&amp;VAR:QUERY=Rk1BX0VQUygrMiwwLCwsVVNELCdQT1JUQUdHJywnTUVBTlInKQ==&amp;WINDOW=FIRST_POPUP&amp;HEIGHT=450&amp;WI","DTH=450&amp;START_MAXIMIZED=FALSE&amp;VAR:CALENDAR=FIVEDAY&amp;VAR:SYMBOL=DJIAK&amp;VAR:INDEX=0"}</definedName>
    <definedName name="_106__FDSAUDITLINK__" hidden="1">{"fdsup://directions/FAT Viewer?action=UPDATE&amp;creator=factset&amp;DYN_ARGS=TRUE&amp;DOC_NAME=FAT:FQL_AUDITING_CLIENT_TEMPLATE.FAT&amp;display_string=Audit&amp;VAR:KEY=AXQFKXWZOX&amp;VAR:QUERY=Rk1BX0VQUygrMiwwLCwsVVNELCdQT1JUQUdHJywnTUVBTlInKQ==&amp;WINDOW=FIRST_POPUP&amp;HEIGHT=450&amp;WI","DTH=450&amp;START_MAXIMIZED=FALSE&amp;VAR:CALENDAR=FIVEDAY&amp;VAR:SYMBOL=DJIAK&amp;VAR:INDEX=0"}</definedName>
    <definedName name="_107__FDSAUDITLINK__" localSheetId="12" hidden="1">{"fdsup://directions/FAT Viewer?action=UPDATE&amp;creator=factset&amp;DYN_ARGS=TRUE&amp;DOC_NAME=FAT:FQL_AUDITING_CLIENT_TEMPLATE.FAT&amp;display_string=Audit&amp;VAR:KEY=YLOROZAZKD&amp;VAR:QUERY=Rk1BX0VQUygrMSwwLCwsVVNELCdQT1JUQUdHJywnTUVBTlInKQ==&amp;WINDOW=FIRST_POPUP&amp;HEIGHT=450&amp;WI","DTH=450&amp;START_MAXIMIZED=FALSE&amp;VAR:CALENDAR=FIVEDAY&amp;VAR:SYMBOL=DJIAK&amp;VAR:INDEX=0"}</definedName>
    <definedName name="_107__FDSAUDITLINK__" hidden="1">{"fdsup://directions/FAT Viewer?action=UPDATE&amp;creator=factset&amp;DYN_ARGS=TRUE&amp;DOC_NAME=FAT:FQL_AUDITING_CLIENT_TEMPLATE.FAT&amp;display_string=Audit&amp;VAR:KEY=YLOROZAZKD&amp;VAR:QUERY=Rk1BX0VQUygrMSwwLCwsVVNELCdQT1JUQUdHJywnTUVBTlInKQ==&amp;WINDOW=FIRST_POPUP&amp;HEIGHT=450&amp;WI","DTH=450&amp;START_MAXIMIZED=FALSE&amp;VAR:CALENDAR=FIVEDAY&amp;VAR:SYMBOL=DJIAK&amp;VAR:INDEX=0"}</definedName>
    <definedName name="_108__FDSAUDITLINK__" localSheetId="12" hidden="1">{"fdsup://directions/FAT Viewer?action=UPDATE&amp;creator=factset&amp;DYN_ARGS=TRUE&amp;DOC_NAME=FAT:FQL_AUDITING_CLIENT_TEMPLATE.FAT&amp;display_string=Audit&amp;VAR:KEY=MVCLCJKJGR&amp;VAR:QUERY=Rk1BX0VQUygrNCwwLCwsVVNELCdQT1JUQUdHJywnTUVBTlInKQ==&amp;WINDOW=FIRST_POPUP&amp;HEIGHT=450&amp;WI","DTH=450&amp;START_MAXIMIZED=FALSE&amp;VAR:CALENDAR=FIVEDAY&amp;VAR:SYMBOL=COMP&amp;VAR:INDEX=0"}</definedName>
    <definedName name="_108__FDSAUDITLINK__" hidden="1">{"fdsup://directions/FAT Viewer?action=UPDATE&amp;creator=factset&amp;DYN_ARGS=TRUE&amp;DOC_NAME=FAT:FQL_AUDITING_CLIENT_TEMPLATE.FAT&amp;display_string=Audit&amp;VAR:KEY=MVCLCJKJGR&amp;VAR:QUERY=Rk1BX0VQUygrNCwwLCwsVVNELCdQT1JUQUdHJywnTUVBTlInKQ==&amp;WINDOW=FIRST_POPUP&amp;HEIGHT=450&amp;WI","DTH=450&amp;START_MAXIMIZED=FALSE&amp;VAR:CALENDAR=FIVEDAY&amp;VAR:SYMBOL=COMP&amp;VAR:INDEX=0"}</definedName>
    <definedName name="_109__FDSAUDITLINK__" localSheetId="12" hidden="1">{"fdsup://directions/FAT Viewer?action=UPDATE&amp;creator=factset&amp;DYN_ARGS=TRUE&amp;DOC_NAME=FAT:FQL_AUDITING_CLIENT_TEMPLATE.FAT&amp;display_string=Audit&amp;VAR:KEY=OHGZCNOFQD&amp;VAR:QUERY=Rk1BX0RFQlQoTFRNLDAsLCxVU0QsJ1BPUlRBR0cnKQ==&amp;WINDOW=FIRST_POPUP&amp;HEIGHT=450&amp;WIDTH=450&amp;","START_MAXIMIZED=FALSE&amp;VAR:CALENDAR=FIVEDAY&amp;VAR:SYMBOL=R.2000&amp;VAR:INDEX=0"}</definedName>
    <definedName name="_109__FDSAUDITLINK__" hidden="1">{"fdsup://directions/FAT Viewer?action=UPDATE&amp;creator=factset&amp;DYN_ARGS=TRUE&amp;DOC_NAME=FAT:FQL_AUDITING_CLIENT_TEMPLATE.FAT&amp;display_string=Audit&amp;VAR:KEY=OHGZCNOFQD&amp;VAR:QUERY=Rk1BX0RFQlQoTFRNLDAsLCxVU0QsJ1BPUlRBR0cnKQ==&amp;WINDOW=FIRST_POPUP&amp;HEIGHT=450&amp;WIDTH=450&amp;","START_MAXIMIZED=FALSE&amp;VAR:CALENDAR=FIVEDAY&amp;VAR:SYMBOL=R.2000&amp;VAR:INDEX=0"}</definedName>
    <definedName name="_11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1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10__FDSAUDITLINK__" localSheetId="12" hidden="1">{"fdsup://directions/FAT Viewer?action=UPDATE&amp;creator=factset&amp;DYN_ARGS=TRUE&amp;DOC_NAME=FAT:FQL_AUDITING_CLIENT_TEMPLATE.FAT&amp;display_string=Audit&amp;VAR:KEY=INKLIPSDID&amp;VAR:QUERY=Rk1BX0NBU0goTFRNLDAsLCxVU0QsJ1BPUlRBR0cnKQ==&amp;WINDOW=FIRST_POPUP&amp;HEIGHT=450&amp;WIDTH=450&amp;","START_MAXIMIZED=FALSE&amp;VAR:CALENDAR=FIVEDAY&amp;VAR:SYMBOL=DJIAK&amp;VAR:INDEX=0"}</definedName>
    <definedName name="_110__FDSAUDITLINK__" hidden="1">{"fdsup://directions/FAT Viewer?action=UPDATE&amp;creator=factset&amp;DYN_ARGS=TRUE&amp;DOC_NAME=FAT:FQL_AUDITING_CLIENT_TEMPLATE.FAT&amp;display_string=Audit&amp;VAR:KEY=INKLIPSDID&amp;VAR:QUERY=Rk1BX0NBU0goTFRNLDAsLCxVU0QsJ1BPUlRBR0cnKQ==&amp;WINDOW=FIRST_POPUP&amp;HEIGHT=450&amp;WIDTH=450&amp;","START_MAXIMIZED=FALSE&amp;VAR:CALENDAR=FIVEDAY&amp;VAR:SYMBOL=DJIAK&amp;VAR:INDEX=0"}</definedName>
    <definedName name="_111__FDSAUDITLINK__" localSheetId="12" hidden="1">{"fdsup://directions/FAT Viewer?action=UPDATE&amp;creator=factset&amp;DYN_ARGS=TRUE&amp;DOC_NAME=FAT:FQL_AUDITING_CLIENT_TEMPLATE.FAT&amp;display_string=Audit&amp;VAR:KEY=UTCLCVAFGT&amp;VAR:QUERY=Rk1BX0RFQlQoTFRNLDAsLCxVU0QsJ1BPUlRBR0cnKQ==&amp;WINDOW=FIRST_POPUP&amp;HEIGHT=450&amp;WIDTH=450&amp;","START_MAXIMIZED=FALSE&amp;VAR:CALENDAR=FIVEDAY&amp;VAR:SYMBOL=DJIAK&amp;VAR:INDEX=0"}</definedName>
    <definedName name="_111__FDSAUDITLINK__" hidden="1">{"fdsup://directions/FAT Viewer?action=UPDATE&amp;creator=factset&amp;DYN_ARGS=TRUE&amp;DOC_NAME=FAT:FQL_AUDITING_CLIENT_TEMPLATE.FAT&amp;display_string=Audit&amp;VAR:KEY=UTCLCVAFGT&amp;VAR:QUERY=Rk1BX0RFQlQoTFRNLDAsLCxVU0QsJ1BPUlRBR0cnKQ==&amp;WINDOW=FIRST_POPUP&amp;HEIGHT=450&amp;WIDTH=450&amp;","START_MAXIMIZED=FALSE&amp;VAR:CALENDAR=FIVEDAY&amp;VAR:SYMBOL=DJIAK&amp;VAR:INDEX=0"}</definedName>
    <definedName name="_112__FDSAUDITLINK__" localSheetId="12" hidden="1">{"fdsup://directions/FAT Viewer?action=UPDATE&amp;creator=factset&amp;DYN_ARGS=TRUE&amp;DOC_NAME=FAT:FQL_AUDITING_CLIENT_TEMPLATE.FAT&amp;display_string=Audit&amp;VAR:KEY=UHMTOTKJQV&amp;VAR:QUERY=Rk1BX0VWQUxfU0FMRVMoKzQsMCwsLCdQT1JUQUdHJywnTUVBTlInKQ==&amp;WINDOW=FIRST_POPUP&amp;HEIGHT=45","0&amp;WIDTH=450&amp;START_MAXIMIZED=FALSE&amp;VAR:CALENDAR=FIVEDAY&amp;VAR:SYMBOL=COMP&amp;VAR:INDEX=0"}</definedName>
    <definedName name="_112__FDSAUDITLINK__" hidden="1">{"fdsup://directions/FAT Viewer?action=UPDATE&amp;creator=factset&amp;DYN_ARGS=TRUE&amp;DOC_NAME=FAT:FQL_AUDITING_CLIENT_TEMPLATE.FAT&amp;display_string=Audit&amp;VAR:KEY=UHMTOTKJQV&amp;VAR:QUERY=Rk1BX0VWQUxfU0FMRVMoKzQsMCwsLCdQT1JUQUdHJywnTUVBTlInKQ==&amp;WINDOW=FIRST_POPUP&amp;HEIGHT=45","0&amp;WIDTH=450&amp;START_MAXIMIZED=FALSE&amp;VAR:CALENDAR=FIVEDAY&amp;VAR:SYMBOL=COMP&amp;VAR:INDEX=0"}</definedName>
    <definedName name="_12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2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12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12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3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3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13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13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4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4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4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4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5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5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5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5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6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6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16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16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17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7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17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17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8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8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8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8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9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19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9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19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__FDSAUDITLINK__" localSheetId="2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2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20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0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20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20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000" localSheetId="2">#REF!</definedName>
    <definedName name="_2001" localSheetId="2">#REF!</definedName>
    <definedName name="_2002" localSheetId="2">#REF!</definedName>
    <definedName name="_2003" localSheetId="2">#REF!</definedName>
    <definedName name="_2004" localSheetId="2">#REF!</definedName>
    <definedName name="_2004H1" localSheetId="2">#REF!</definedName>
    <definedName name="_2004H2" localSheetId="2">#REF!</definedName>
    <definedName name="_2005" localSheetId="2">#REF!</definedName>
    <definedName name="_2005H1" localSheetId="2">#REF!</definedName>
    <definedName name="_2005H2" localSheetId="2">#REF!</definedName>
    <definedName name="_2006" localSheetId="2">#REF!</definedName>
    <definedName name="_2006H1" localSheetId="2">#REF!</definedName>
    <definedName name="_2006H2" localSheetId="2">#REF!</definedName>
    <definedName name="_2007" localSheetId="2">#REF!</definedName>
    <definedName name="_2007H1" localSheetId="2">#REF!</definedName>
    <definedName name="_2007H2" localSheetId="2">#REF!</definedName>
    <definedName name="_2008" localSheetId="2">#REF!</definedName>
    <definedName name="_2008H1" localSheetId="2">#REF!</definedName>
    <definedName name="_2008H2" localSheetId="2">#REF!</definedName>
    <definedName name="_2009" localSheetId="2">#REF!</definedName>
    <definedName name="_2010" localSheetId="2">#REF!</definedName>
    <definedName name="_2011" localSheetId="2">#REF!</definedName>
    <definedName name="_2012" localSheetId="2">#REF!</definedName>
    <definedName name="_2012">MODEL!$E:$E</definedName>
    <definedName name="_2012H1">MODEL!$C:$C</definedName>
    <definedName name="_2012H2">MODEL!$D:$D</definedName>
    <definedName name="_2013" localSheetId="2">#REF!</definedName>
    <definedName name="_2013">MODEL!$H:$H</definedName>
    <definedName name="_2013H1" localSheetId="2">#REF!</definedName>
    <definedName name="_2013H1">MODEL!$F:$F</definedName>
    <definedName name="_2013h2" localSheetId="2">#REF!</definedName>
    <definedName name="_2013h2">MODEL!$G:$G</definedName>
    <definedName name="_2014" localSheetId="2">#REF!</definedName>
    <definedName name="_2014">MODEL!$K:$K</definedName>
    <definedName name="_2014H1" localSheetId="2">#REF!</definedName>
    <definedName name="_2014H1">MODEL!$I:$I</definedName>
    <definedName name="_2014H2" localSheetId="2">#REF!</definedName>
    <definedName name="_2014H2">MODEL!$J:$J</definedName>
    <definedName name="_2015" localSheetId="2">#REF!</definedName>
    <definedName name="_2015">MODEL!$N:$N</definedName>
    <definedName name="_2015H1" localSheetId="2">#REF!</definedName>
    <definedName name="_2015H1">MODEL!$L:$L</definedName>
    <definedName name="_2015H2" localSheetId="2">#REF!</definedName>
    <definedName name="_2015H2">MODEL!$M:$M</definedName>
    <definedName name="_2016" localSheetId="2">#REF!</definedName>
    <definedName name="_2016">MODEL!$Q:$Q</definedName>
    <definedName name="_2016H1" localSheetId="2">#REF!</definedName>
    <definedName name="_2016H1">MODEL!$O:$O</definedName>
    <definedName name="_2016H2" localSheetId="2">#REF!</definedName>
    <definedName name="_2016H2">MODEL!$P:$P</definedName>
    <definedName name="_2017" localSheetId="2">#REF!</definedName>
    <definedName name="_2017">MODEL!$T:$T</definedName>
    <definedName name="_2017H1" localSheetId="2">#REF!</definedName>
    <definedName name="_2017H1">MODEL!$R:$R</definedName>
    <definedName name="_2017H2" localSheetId="2">#REF!</definedName>
    <definedName name="_2017H2">MODEL!$S:$S</definedName>
    <definedName name="_2018" localSheetId="2">#REF!</definedName>
    <definedName name="_2018">MODEL!$W:$W</definedName>
    <definedName name="_2018H1">MODEL!$U:$U</definedName>
    <definedName name="_2018H2">MODEL!$V:$V</definedName>
    <definedName name="_2019" localSheetId="2">#REF!</definedName>
    <definedName name="_2019">MODEL!$Z:$Z</definedName>
    <definedName name="_2019H1">MODEL!$X:$X</definedName>
    <definedName name="_2019H2">MODEL!$Y:$Y</definedName>
    <definedName name="_2020" localSheetId="2">#REF!</definedName>
    <definedName name="_2020">MODEL!$AC:$AC</definedName>
    <definedName name="_2020H1">MODEL!$AA:$AA</definedName>
    <definedName name="_2020H2">MODEL!$AB:$AB</definedName>
    <definedName name="_2021" localSheetId="2">#REF!</definedName>
    <definedName name="_2021">MODEL!$AF:$AF</definedName>
    <definedName name="_2021H1">MODEL!$AD:$AD</definedName>
    <definedName name="_2021H2">MODEL!$AE:$AE</definedName>
    <definedName name="_2022" localSheetId="2">#REF!</definedName>
    <definedName name="_2022">MODEL!$AI:$AI</definedName>
    <definedName name="_2022H1">MODEL!$AG:$AG</definedName>
    <definedName name="_2022H2">MODEL!$AH:$AH</definedName>
    <definedName name="_2023" localSheetId="2">#REF!</definedName>
    <definedName name="_2023">MODEL!$AL:$AL</definedName>
    <definedName name="_2024" localSheetId="2">#REF!</definedName>
    <definedName name="_2024">MODEL!$AO:$AO</definedName>
    <definedName name="_2025" localSheetId="2">#REF!</definedName>
    <definedName name="_2025">MODEL!$AR:$AR</definedName>
    <definedName name="_2026">MODEL!$AS:$AS</definedName>
    <definedName name="_2027">MODEL!$AT:$AT</definedName>
    <definedName name="_21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1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21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21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2__FDSAUDITLINK__" localSheetId="2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2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2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2__FDSAUDITLINK__" hidden="1">{"fdsup://directions/FAT Viewer?action=UPDATE&amp;creator=factset&amp;DYN_ARGS=TRUE&amp;DOC_NAME=FAT:FQL_AUDITING_CLIENT_TEMPLATE.FAT&amp;display_string=Audit&amp;VAR:KEY=KZILENSPUX&amp;VAR:QUERY=Rk1BX0VWQUxfU0FMRVMoKzEsMCwsLCdQT1JUQUdHJywnTUVBTlInKQ==&amp;WINDOW=FIRST_POPUP&amp;HEIGHT=45","0&amp;WIDTH=450&amp;START_MAXIMIZED=FALSE&amp;VAR:CALENDAR=FIVEDAY&amp;VAR:SYMBOL=DJIAK&amp;VAR:INDEX=0"}</definedName>
    <definedName name="_23__FDSAUDITLINK__" localSheetId="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3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3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3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24__FDSAUDITLINK__" localSheetId="2" hidden="1">{"fdsup://IBCentral/FAT Viewer?action=UPDATE&amp;creator=factset&amp;DOC_NAME=fat:reuters_semi_source_window.fat&amp;display_string=Audit&amp;DYN_ARGS=TRUE&amp;VAR:ID1=663955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4__FDSAUDITLINK__" localSheetId="12" hidden="1">{"fdsup://IBCentral/FAT Viewer?action=UPDATE&amp;creator=factset&amp;DOC_NAME=fat:reuters_semi_source_window.fat&amp;display_string=Audit&amp;DYN_ARGS=TRUE&amp;VAR:ID1=663955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4__FDSAUDITLINK__" localSheetId="7" hidden="1">{"fdsup://IBCentral/FAT Viewer?action=UPDATE&amp;creator=factset&amp;DOC_NAME=fat:reuters_semi_source_window.fat&amp;display_string=Audit&amp;DYN_ARGS=TRUE&amp;VAR:ID1=663955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4__FDSAUDITLINK__" hidden="1">{"fdsup://IBCentral/FAT Viewer?action=UPDATE&amp;creator=factset&amp;DOC_NAME=fat:reuters_semi_source_window.fat&amp;display_string=Audit&amp;DYN_ARGS=TRUE&amp;VAR:ID1=663955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5__FDSAUDITLINK__" localSheetId="2" hidden="1">{"fdsup://IBCentral/FAT Viewer?action=UPDATE&amp;creator=factset&amp;DOC_NAME=fat:reuters_semi_source_window.fat&amp;display_string=Audit&amp;DYN_ARGS=TRUE&amp;VAR:ID1=663955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5__FDSAUDITLINK__" localSheetId="12" hidden="1">{"fdsup://IBCentral/FAT Viewer?action=UPDATE&amp;creator=factset&amp;DOC_NAME=fat:reuters_semi_source_window.fat&amp;display_string=Audit&amp;DYN_ARGS=TRUE&amp;VAR:ID1=663955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5__FDSAUDITLINK__" localSheetId="7" hidden="1">{"fdsup://IBCentral/FAT Viewer?action=UPDATE&amp;creator=factset&amp;DOC_NAME=fat:reuters_semi_source_window.fat&amp;display_string=Audit&amp;DYN_ARGS=TRUE&amp;VAR:ID1=663955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5__FDSAUDITLINK__" hidden="1">{"fdsup://IBCentral/FAT Viewer?action=UPDATE&amp;creator=factset&amp;DOC_NAME=fat:reuters_semi_source_window.fat&amp;display_string=Audit&amp;DYN_ARGS=TRUE&amp;VAR:ID1=663955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6__FDSAUDITLINK__" localSheetId="2" hidden="1">{"fdsup://IBCentral/FAT Viewer?action=UPDATE&amp;creator=factset&amp;DOC_NAME=fat:reuters_qtrly_source_window.fat&amp;display_string=Audit&amp;DYN_ARGS=TRUE&amp;VAR:ID1=16943T10&amp;VAR:RCODE=SCSI&amp;VAR:SDATE=20080999&amp;VAR:FREQ=Quarterly&amp;VAR:RELITEM=RP&amp;VAR:CURRENCY=USD&amp;VAR:CURRSOURCE","=EXSHARE&amp;VAR:NATFREQ=QUARTERLY&amp;VAR:RFIELD=FINALIZED&amp;VAR:DB_TYPE=&amp;VAR:UNITS=M&amp;window=popup&amp;width=450&amp;height=300&amp;START_MAXIMIZED=FALSE"}</definedName>
    <definedName name="_26__FDSAUDITLINK__" localSheetId="12" hidden="1">{"fdsup://IBCentral/FAT Viewer?action=UPDATE&amp;creator=factset&amp;DOC_NAME=fat:reuters_qtrly_source_window.fat&amp;display_string=Audit&amp;DYN_ARGS=TRUE&amp;VAR:ID1=16943T10&amp;VAR:RCODE=SCSI&amp;VAR:SDATE=20080999&amp;VAR:FREQ=Quarterly&amp;VAR:RELITEM=RP&amp;VAR:CURRENCY=USD&amp;VAR:CURRSOURCE","=EXSHARE&amp;VAR:NATFREQ=QUARTERLY&amp;VAR:RFIELD=FINALIZED&amp;VAR:DB_TYPE=&amp;VAR:UNITS=M&amp;window=popup&amp;width=450&amp;height=300&amp;START_MAXIMIZED=FALSE"}</definedName>
    <definedName name="_26__FDSAUDITLINK__" localSheetId="7" hidden="1">{"fdsup://IBCentral/FAT Viewer?action=UPDATE&amp;creator=factset&amp;DOC_NAME=fat:reuters_qtrly_source_window.fat&amp;display_string=Audit&amp;DYN_ARGS=TRUE&amp;VAR:ID1=16943T10&amp;VAR:RCODE=SCSI&amp;VAR:SDATE=20080999&amp;VAR:FREQ=Quarterly&amp;VAR:RELITEM=RP&amp;VAR:CURRENCY=USD&amp;VAR:CURRSOURCE","=EXSHARE&amp;VAR:NATFREQ=QUARTERLY&amp;VAR:RFIELD=FINALIZED&amp;VAR:DB_TYPE=&amp;VAR:UNITS=M&amp;window=popup&amp;width=450&amp;height=300&amp;START_MAXIMIZED=FALSE"}</definedName>
    <definedName name="_26__FDSAUDITLINK__" hidden="1">{"fdsup://IBCentral/FAT Viewer?action=UPDATE&amp;creator=factset&amp;DOC_NAME=fat:reuters_qtrly_source_window.fat&amp;display_string=Audit&amp;DYN_ARGS=TRUE&amp;VAR:ID1=16943T10&amp;VAR:RCODE=SCSI&amp;VAR:SDATE=20080999&amp;VAR:FREQ=Quarterly&amp;VAR:RELITEM=RP&amp;VAR:CURRENCY=USD&amp;VAR:CURRSOURCE","=EXSHARE&amp;VAR:NATFREQ=QUARTERLY&amp;VAR:RFIELD=FINALIZED&amp;VAR:DB_TYPE=&amp;VAR:UNITS=M&amp;window=popup&amp;width=450&amp;height=300&amp;START_MAXIMIZED=FALSE"}</definedName>
    <definedName name="_27__FDSAUDITLINK__" localSheetId="2" hidden="1">{"fdsup://IBCentral/FAT Viewer?action=UPDATE&amp;creator=factset&amp;DOC_NAME=fat:reuters_semi_source_window.fat&amp;display_string=Audit&amp;DYN_ARGS=TRUE&amp;VAR:ID1=B02RK0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7__FDSAUDITLINK__" localSheetId="12" hidden="1">{"fdsup://IBCentral/FAT Viewer?action=UPDATE&amp;creator=factset&amp;DOC_NAME=fat:reuters_semi_source_window.fat&amp;display_string=Audit&amp;DYN_ARGS=TRUE&amp;VAR:ID1=B02RK0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7__FDSAUDITLINK__" localSheetId="7" hidden="1">{"fdsup://IBCentral/FAT Viewer?action=UPDATE&amp;creator=factset&amp;DOC_NAME=fat:reuters_semi_source_window.fat&amp;display_string=Audit&amp;DYN_ARGS=TRUE&amp;VAR:ID1=B02RK0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7__FDSAUDITLINK__" hidden="1">{"fdsup://IBCentral/FAT Viewer?action=UPDATE&amp;creator=factset&amp;DOC_NAME=fat:reuters_semi_source_window.fat&amp;display_string=Audit&amp;DYN_ARGS=TRUE&amp;VAR:ID1=B02RK0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8__FDSAUDITLINK__" localSheetId="2" hidden="1">{"fdsup://IBCentral/FAT Viewer?action=UPDATE&amp;creator=factset&amp;DOC_NAME=fat:reuters_semi_source_window.fat&amp;display_string=Audit&amp;DYN_ARGS=TRUE&amp;VAR:ID1=B02RK0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8__FDSAUDITLINK__" localSheetId="12" hidden="1">{"fdsup://IBCentral/FAT Viewer?action=UPDATE&amp;creator=factset&amp;DOC_NAME=fat:reuters_semi_source_window.fat&amp;display_string=Audit&amp;DYN_ARGS=TRUE&amp;VAR:ID1=B02RK0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8__FDSAUDITLINK__" localSheetId="7" hidden="1">{"fdsup://IBCentral/FAT Viewer?action=UPDATE&amp;creator=factset&amp;DOC_NAME=fat:reuters_semi_source_window.fat&amp;display_string=Audit&amp;DYN_ARGS=TRUE&amp;VAR:ID1=B02RK0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8__FDSAUDITLINK__" hidden="1">{"fdsup://IBCentral/FAT Viewer?action=UPDATE&amp;creator=factset&amp;DOC_NAME=fat:reuters_semi_source_window.fat&amp;display_string=Audit&amp;DYN_ARGS=TRUE&amp;VAR:ID1=B02RK0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29__FDSAUDITLINK__" localSheetId="2" hidden="1">{"fdsup://IBCentral/FAT Viewer?action=UPDATE&amp;creator=factset&amp;DOC_NAME=fat:reuters_qtrly_source_window.fat&amp;display_string=Audit&amp;DYN_ARGS=TRUE&amp;VAR:ID1=649668&amp;VAR:RCODE=SCSI&amp;VAR:SDATE=20080999&amp;VAR:FREQ=Quarterly&amp;VAR:RELITEM=RP&amp;VAR:CURRENCY=USD&amp;VAR:CURRSOURCE=E","XSHARE&amp;VAR:NATFREQ=QUARTERLY&amp;VAR:RFIELD=FINALIZED&amp;VAR:DB_TYPE=&amp;VAR:UNITS=M&amp;window=popup&amp;width=450&amp;height=300&amp;START_MAXIMIZED=FALSE"}</definedName>
    <definedName name="_29__FDSAUDITLINK__" localSheetId="12" hidden="1">{"fdsup://IBCentral/FAT Viewer?action=UPDATE&amp;creator=factset&amp;DOC_NAME=fat:reuters_qtrly_source_window.fat&amp;display_string=Audit&amp;DYN_ARGS=TRUE&amp;VAR:ID1=649668&amp;VAR:RCODE=SCSI&amp;VAR:SDATE=20080999&amp;VAR:FREQ=Quarterly&amp;VAR:RELITEM=RP&amp;VAR:CURRENCY=USD&amp;VAR:CURRSOURCE=E","XSHARE&amp;VAR:NATFREQ=QUARTERLY&amp;VAR:RFIELD=FINALIZED&amp;VAR:DB_TYPE=&amp;VAR:UNITS=M&amp;window=popup&amp;width=450&amp;height=300&amp;START_MAXIMIZED=FALSE"}</definedName>
    <definedName name="_29__FDSAUDITLINK__" localSheetId="7" hidden="1">{"fdsup://IBCentral/FAT Viewer?action=UPDATE&amp;creator=factset&amp;DOC_NAME=fat:reuters_qtrly_source_window.fat&amp;display_string=Audit&amp;DYN_ARGS=TRUE&amp;VAR:ID1=649668&amp;VAR:RCODE=SCSI&amp;VAR:SDATE=20080999&amp;VAR:FREQ=Quarterly&amp;VAR:RELITEM=RP&amp;VAR:CURRENCY=USD&amp;VAR:CURRSOURCE=E","XSHARE&amp;VAR:NATFREQ=QUARTERLY&amp;VAR:RFIELD=FINALIZED&amp;VAR:DB_TYPE=&amp;VAR:UNITS=M&amp;window=popup&amp;width=450&amp;height=300&amp;START_MAXIMIZED=FALSE"}</definedName>
    <definedName name="_29__FDSAUDITLINK__" hidden="1">{"fdsup://IBCentral/FAT Viewer?action=UPDATE&amp;creator=factset&amp;DOC_NAME=fat:reuters_qtrly_source_window.fat&amp;display_string=Audit&amp;DYN_ARGS=TRUE&amp;VAR:ID1=649668&amp;VAR:RCODE=SCSI&amp;VAR:SDATE=20080999&amp;VAR:FREQ=Quarterly&amp;VAR:RELITEM=RP&amp;VAR:CURRENCY=USD&amp;VAR:CURRSOURCE=E","XSHARE&amp;VAR:NATFREQ=QUARTERLY&amp;VAR:RFIELD=FINALIZED&amp;VAR:DB_TYPE=&amp;VAR:UNITS=M&amp;window=popup&amp;width=450&amp;height=300&amp;START_MAXIMIZED=FALSE"}</definedName>
    <definedName name="_3__FDSAUDITLINK__" localSheetId="2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3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30__FDSAUDITLINK__" localSheetId="2" hidden="1">{"fdsup://IBCentral/FAT Viewer?action=UPDATE&amp;creator=factset&amp;DOC_NAME=fat:reuters_semi_source_window.fat&amp;display_string=Audit&amp;DYN_ARGS=TRUE&amp;VAR:ID1=649668&amp;VAR:RCODE=STLD&amp;VAR:SDATE=20040399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0__FDSAUDITLINK__" localSheetId="12" hidden="1">{"fdsup://Directions/FactSet Auditing Viewer?action=AUDIT_VALUE&amp;DB=129&amp;ID1=N9354010&amp;VALUEID=02001&amp;SDATE=2011&amp;PERIODTYPE=ANN_STD&amp;SCFT=3&amp;window=popup_no_bar&amp;width=385&amp;height=120&amp;START_MAXIMIZED=FALSE&amp;creator=factset&amp;display_string=Audit"}</definedName>
    <definedName name="_30__FDSAUDITLINK__" localSheetId="7" hidden="1">{"fdsup://Directions/FactSet Auditing Viewer?action=AUDIT_VALUE&amp;DB=129&amp;ID1=N9354010&amp;VALUEID=02001&amp;SDATE=2011&amp;PERIODTYPE=ANN_STD&amp;SCFT=3&amp;window=popup_no_bar&amp;width=385&amp;height=120&amp;START_MAXIMIZED=FALSE&amp;creator=factset&amp;display_string=Audit"}</definedName>
    <definedName name="_30__FDSAUDITLINK__" hidden="1">{"fdsup://IBCentral/FAT Viewer?action=UPDATE&amp;creator=factset&amp;DOC_NAME=fat:reuters_semi_source_window.fat&amp;display_string=Audit&amp;DYN_ARGS=TRUE&amp;VAR:ID1=649668&amp;VAR:RCODE=STLD&amp;VAR:SDATE=20040399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1__FDSAUDITLINK__" localSheetId="2" hidden="1">{"fdsup://IBCentral/FAT Viewer?action=UPDATE&amp;creator=factset&amp;DOC_NAME=fat:reuters_semi_source_window.fat&amp;display_string=Audit&amp;DYN_ARGS=TRUE&amp;VAR:ID1=649474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1__FDSAUDITLINK__" localSheetId="12" hidden="1">{"fdsup://IBCentral/FAT Viewer?action=UPDATE&amp;creator=factset&amp;DOC_NAME=fat:reuters_semi_source_window.fat&amp;display_string=Audit&amp;DYN_ARGS=TRUE&amp;VAR:ID1=649474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1__FDSAUDITLINK__" localSheetId="7" hidden="1">{"fdsup://IBCentral/FAT Viewer?action=UPDATE&amp;creator=factset&amp;DOC_NAME=fat:reuters_semi_source_window.fat&amp;display_string=Audit&amp;DYN_ARGS=TRUE&amp;VAR:ID1=649474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1__FDSAUDITLINK__" hidden="1">{"fdsup://IBCentral/FAT Viewer?action=UPDATE&amp;creator=factset&amp;DOC_NAME=fat:reuters_semi_source_window.fat&amp;display_string=Audit&amp;DYN_ARGS=TRUE&amp;VAR:ID1=649474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2__FDSAUDITLINK__" localSheetId="2" hidden="1">{"fdsup://IBCentral/FAT Viewer?action=UPDATE&amp;creator=factset&amp;DOC_NAME=fat:reuters_semi_source_window.fat&amp;display_string=Audit&amp;DYN_ARGS=TRUE&amp;VAR:ID1=649474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2__FDSAUDITLINK__" localSheetId="12" hidden="1">{"fdsup://IBCentral/FAT Viewer?action=UPDATE&amp;creator=factset&amp;DOC_NAME=fat:reuters_semi_source_window.fat&amp;display_string=Audit&amp;DYN_ARGS=TRUE&amp;VAR:ID1=649474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2__FDSAUDITLINK__" localSheetId="7" hidden="1">{"fdsup://IBCentral/FAT Viewer?action=UPDATE&amp;creator=factset&amp;DOC_NAME=fat:reuters_semi_source_window.fat&amp;display_string=Audit&amp;DYN_ARGS=TRUE&amp;VAR:ID1=649474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2__FDSAUDITLINK__" hidden="1">{"fdsup://IBCentral/FAT Viewer?action=UPDATE&amp;creator=factset&amp;DOC_NAME=fat:reuters_semi_source_window.fat&amp;display_string=Audit&amp;DYN_ARGS=TRUE&amp;VAR:ID1=649474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3__FDSAUDITLINK__" localSheetId="2" hidden="1">{"fdsup://IBCentral/FAT Viewer?action=UPDATE&amp;creator=factset&amp;DOC_NAME=fat:reuters_semi_source_window.fat&amp;display_string=Audit&amp;DYN_ARGS=TRUE&amp;VAR:ID1=617369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3__FDSAUDITLINK__" localSheetId="12" hidden="1">{"fdsup://IBCentral/FAT Viewer?action=UPDATE&amp;creator=factset&amp;DOC_NAME=fat:reuters_semi_source_window.fat&amp;display_string=Audit&amp;DYN_ARGS=TRUE&amp;VAR:ID1=617369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3__FDSAUDITLINK__" localSheetId="7" hidden="1">{"fdsup://IBCentral/FAT Viewer?action=UPDATE&amp;creator=factset&amp;DOC_NAME=fat:reuters_semi_source_window.fat&amp;display_string=Audit&amp;DYN_ARGS=TRUE&amp;VAR:ID1=617369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3__FDSAUDITLINK__" hidden="1">{"fdsup://IBCentral/FAT Viewer?action=UPDATE&amp;creator=factset&amp;DOC_NAME=fat:reuters_semi_source_window.fat&amp;display_string=Audit&amp;DYN_ARGS=TRUE&amp;VAR:ID1=617369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4__FDSAUDITLINK__" localSheetId="2" hidden="1">{"fdsup://IBCentral/FAT Viewer?action=UPDATE&amp;creator=factset&amp;DOC_NAME=fat:reuters_semi_source_window.fat&amp;display_string=Audit&amp;DYN_ARGS=TRUE&amp;VAR:ID1=617369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4__FDSAUDITLINK__" localSheetId="12" hidden="1">{"fdsup://IBCentral/FAT Viewer?action=UPDATE&amp;creator=factset&amp;DOC_NAME=fat:reuters_semi_source_window.fat&amp;display_string=Audit&amp;DYN_ARGS=TRUE&amp;VAR:ID1=617369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4__FDSAUDITLINK__" localSheetId="7" hidden="1">{"fdsup://IBCentral/FAT Viewer?action=UPDATE&amp;creator=factset&amp;DOC_NAME=fat:reuters_semi_source_window.fat&amp;display_string=Audit&amp;DYN_ARGS=TRUE&amp;VAR:ID1=617369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4__FDSAUDITLINK__" hidden="1">{"fdsup://IBCentral/FAT Viewer?action=UPDATE&amp;creator=factset&amp;DOC_NAME=fat:reuters_semi_source_window.fat&amp;display_string=Audit&amp;DYN_ARGS=TRUE&amp;VAR:ID1=617369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5__FDSAUDITLINK__" localSheetId="2" hidden="1">{"fdsup://IBCentral/FAT Viewer?action=UPDATE&amp;creator=factset&amp;DOC_NAME=fat:reuters_semi_source_window.fat&amp;display_string=Audit&amp;DYN_ARGS=TRUE&amp;VAR:ID1=B0JDQD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5__FDSAUDITLINK__" localSheetId="12" hidden="1">{"fdsup://IBCentral/FAT Viewer?action=UPDATE&amp;creator=factset&amp;DOC_NAME=fat:reuters_semi_source_window.fat&amp;display_string=Audit&amp;DYN_ARGS=TRUE&amp;VAR:ID1=B0JDQD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5__FDSAUDITLINK__" localSheetId="7" hidden="1">{"fdsup://IBCentral/FAT Viewer?action=UPDATE&amp;creator=factset&amp;DOC_NAME=fat:reuters_semi_source_window.fat&amp;display_string=Audit&amp;DYN_ARGS=TRUE&amp;VAR:ID1=B0JDQD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5__FDSAUDITLINK__" hidden="1">{"fdsup://IBCentral/FAT Viewer?action=UPDATE&amp;creator=factset&amp;DOC_NAME=fat:reuters_semi_source_window.fat&amp;display_string=Audit&amp;DYN_ARGS=TRUE&amp;VAR:ID1=B0JDQD&amp;VAR:RCODE=SCSI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6__FDSAUDITLINK__" localSheetId="2" hidden="1">{"fdsup://IBCentral/FAT Viewer?action=UPDATE&amp;creator=factset&amp;DOC_NAME=fat:reuters_semi_source_window.fat&amp;display_string=Audit&amp;DYN_ARGS=TRUE&amp;VAR:ID1=B0JDQD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6__FDSAUDITLINK__" localSheetId="12" hidden="1">{"fdsup://IBCentral/FAT Viewer?action=UPDATE&amp;creator=factset&amp;DOC_NAME=fat:reuters_semi_source_window.fat&amp;display_string=Audit&amp;DYN_ARGS=TRUE&amp;VAR:ID1=B0JDQD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6__FDSAUDITLINK__" localSheetId="7" hidden="1">{"fdsup://IBCentral/FAT Viewer?action=UPDATE&amp;creator=factset&amp;DOC_NAME=fat:reuters_semi_source_window.fat&amp;display_string=Audit&amp;DYN_ARGS=TRUE&amp;VAR:ID1=B0JDQD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6__FDSAUDITLINK__" hidden="1">{"fdsup://IBCentral/FAT Viewer?action=UPDATE&amp;creator=factset&amp;DOC_NAME=fat:reuters_semi_source_window.fat&amp;display_string=Audit&amp;DYN_ARGS=TRUE&amp;VAR:ID1=B0JDQD&amp;VAR:RCODE=STLD&amp;VAR:SDATE=20080999&amp;VAR:FREQ=FSA&amp;VAR:RELITEM=RP&amp;VAR:CURRENCY=USD&amp;VAR:CURRSOURCE=EXSHARE&amp;","VAR:NATFREQ=FSA&amp;VAR:RFIELD=FINALIZED&amp;VAR:DB_TYPE=&amp;VAR:UNITS=M&amp;window=popup&amp;width=450&amp;height=300&amp;START_MAXIMIZED=FALSE"}</definedName>
    <definedName name="_37__FDSAUDITLINK__" localSheetId="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7__FDSAUDITLINK__" localSheetId="1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7__FDSAUDITLINK__" localSheetId="7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7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8__FDSAUDITLINK__" localSheetId="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8__FDSAUDITLINK__" localSheetId="1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8__FDSAUDITLINK__" localSheetId="7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8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39__FDSAUDITLINK__" localSheetId="2" hidden="1">{"fdsup://IBCentral/FAT Viewer?action=UPDATE&amp;creator=factset&amp;DOC_NAME=fat:reuters_annual_source_window.fat&amp;display_string=Audit&amp;DYN_ARGS=TRUE&amp;VAR:ID1=93114210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39__FDSAUDITLINK__" localSheetId="12" hidden="1">{"fdsup://IBCentral/FAT Viewer?action=UPDATE&amp;creator=factset&amp;DOC_NAME=fat:reuters_annual_source_window.fat&amp;display_string=Audit&amp;DYN_ARGS=TRUE&amp;VAR:ID1=93114210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39__FDSAUDITLINK__" localSheetId="7" hidden="1">{"fdsup://IBCentral/FAT Viewer?action=UPDATE&amp;creator=factset&amp;DOC_NAME=fat:reuters_annual_source_window.fat&amp;display_string=Audit&amp;DYN_ARGS=TRUE&amp;VAR:ID1=93114210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39__FDSAUDITLINK__" hidden="1">{"fdsup://IBCentral/FAT Viewer?action=UPDATE&amp;creator=factset&amp;DOC_NAME=fat:reuters_annual_source_window.fat&amp;display_string=Audit&amp;DYN_ARGS=TRUE&amp;VAR:ID1=93114210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4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40__FDSAUDITLINK__" localSheetId="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0__FDSAUDITLINK__" localSheetId="1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0__FDSAUDITLINK__" localSheetId="7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0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1__FDSAUDITLINK__" localSheetId="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1__FDSAUDITLINK__" localSheetId="1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1__FDSAUDITLINK__" localSheetId="7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1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2__FDSAUDITLINK__" localSheetId="2" hidden="1">{"fdsup://IBCentral/FAT Viewer?action=UPDATE&amp;creator=factset&amp;DOC_NAME=fat:reuters_annual_source_window.fat&amp;display_string=Audit&amp;DYN_ARGS=TRUE&amp;VAR:ID1=87612E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2__FDSAUDITLINK__" localSheetId="12" hidden="1">{"fdsup://IBCentral/FAT Viewer?action=UPDATE&amp;creator=factset&amp;DOC_NAME=fat:reuters_annual_source_window.fat&amp;display_string=Audit&amp;DYN_ARGS=TRUE&amp;VAR:ID1=87612E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2__FDSAUDITLINK__" localSheetId="7" hidden="1">{"fdsup://IBCentral/FAT Viewer?action=UPDATE&amp;creator=factset&amp;DOC_NAME=fat:reuters_annual_source_window.fat&amp;display_string=Audit&amp;DYN_ARGS=TRUE&amp;VAR:ID1=87612E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2__FDSAUDITLINK__" hidden="1">{"fdsup://IBCentral/FAT Viewer?action=UPDATE&amp;creator=factset&amp;DOC_NAME=fat:reuters_annual_source_window.fat&amp;display_string=Audit&amp;DYN_ARGS=TRUE&amp;VAR:ID1=87612E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3__FDSAUDITLINK__" localSheetId="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3__FDSAUDITLINK__" localSheetId="1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3__FDSAUDITLINK__" localSheetId="7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3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4__FDSAUDITLINK__" localSheetId="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4__FDSAUDITLINK__" localSheetId="1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4__FDSAUDITLINK__" localSheetId="7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4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5__FDSAUDITLINK__" localSheetId="2" hidden="1">{"fdsup://IBCentral/FAT Viewer?action=UPDATE&amp;creator=factset&amp;DOC_NAME=fat:reuters_annual_source_window.fat&amp;display_string=Audit&amp;DYN_ARGS=TRUE&amp;VAR:ID1=85503010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5__FDSAUDITLINK__" localSheetId="12" hidden="1">{"fdsup://Directions/FactSet Auditing Viewer?action=AUDIT_VALUE&amp;DB=129&amp;ID1=39947310&amp;VALUEID=02001&amp;SDATE=2010&amp;PERIODTYPE=ANN_STD&amp;SCFT=3&amp;window=popup_no_bar&amp;width=385&amp;height=120&amp;START_MAXIMIZED=FALSE&amp;creator=factset&amp;display_string=Audit"}</definedName>
    <definedName name="_45__FDSAUDITLINK__" localSheetId="7" hidden="1">{"fdsup://Directions/FactSet Auditing Viewer?action=AUDIT_VALUE&amp;DB=129&amp;ID1=39947310&amp;VALUEID=02001&amp;SDATE=2010&amp;PERIODTYPE=ANN_STD&amp;SCFT=3&amp;window=popup_no_bar&amp;width=385&amp;height=120&amp;START_MAXIMIZED=FALSE&amp;creator=factset&amp;display_string=Audit"}</definedName>
    <definedName name="_45__FDSAUDITLINK__" hidden="1">{"fdsup://IBCentral/FAT Viewer?action=UPDATE&amp;creator=factset&amp;DOC_NAME=fat:reuters_annual_source_window.fat&amp;display_string=Audit&amp;DYN_ARGS=TRUE&amp;VAR:ID1=85503010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6__FDSAUDITLINK__" localSheetId="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6__FDSAUDITLINK__" localSheetId="1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6__FDSAUDITLINK__" localSheetId="7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6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7__FDSAUDITLINK__" localSheetId="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7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FCPS&amp;VAR:MEASURE=FCPS_MEAN&amp;VAR:NULL=.HTML&amp;VAR:PED=2011&amp;VAR:PERIOD=CY&amp;VAR:THRESH=-|-|-|-|-|-&amp;VAR:PCT=N&amp;VAR:V=79.964221&amp;VAR:P=1244.278024&amp;VAR:DATE=20111202"}</definedName>
    <definedName name="_47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FCPS&amp;VAR:MEASURE=FCPS_MEAN&amp;VAR:NULL=.HTML&amp;VAR:PED=2011&amp;VAR:PERIOD=CY&amp;VAR:THRESH=-|-|-|-|-|-&amp;VAR:PCT=N&amp;VAR:V=79.964221&amp;VAR:P=1244.278024&amp;VAR:DATE=20111202"}</definedName>
    <definedName name="_47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8__FDSAUDITLINK__" localSheetId="2" hidden="1">{"fdsup://IBCentral/FAT Viewer?action=UPDATE&amp;creator=factset&amp;DOC_NAME=fat:reuters_annual_source_window.fat&amp;display_string=Audit&amp;DYN_ARGS=TRUE&amp;VAR:ID1=81235010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8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EPS&amp;VAR:MEASURE=EPS_MEAN&amp;VAR:NULL=.HTML&amp;VAR:PED=2012&amp;VAR:PERIOD=CY&amp;VAR:THRESH=-|-|-|-|-|-&amp;VAR:PCT=N&amp;VAR:V=107.169705&amp;VAR:P=1244.278024&amp;VAR:DATE=20111202"}</definedName>
    <definedName name="_48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EPS&amp;VAR:MEASURE=EPS_MEAN&amp;VAR:NULL=.HTML&amp;VAR:PED=2012&amp;VAR:PERIOD=CY&amp;VAR:THRESH=-|-|-|-|-|-&amp;VAR:PCT=N&amp;VAR:V=107.169705&amp;VAR:P=1244.278024&amp;VAR:DATE=20111202"}</definedName>
    <definedName name="_48__FDSAUDITLINK__" hidden="1">{"fdsup://IBCentral/FAT Viewer?action=UPDATE&amp;creator=factset&amp;DOC_NAME=fat:reuters_annual_source_window.fat&amp;display_string=Audit&amp;DYN_ARGS=TRUE&amp;VAR:ID1=81235010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49__FDSAUDITLINK__" localSheetId="2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49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FCPS&amp;VAR:MEASURE=FCPS_MEAN&amp;VAR:NULL=.HTML&amp;VAR:PED=2013&amp;VAR:PERIOD=CY&amp;VAR:THRESH=-|-|-|-|-|-&amp;VAR:PCT=N&amp;VAR:V=99.640979&amp;VAR:P=1244.278024&amp;VAR:DATE=20111202"}</definedName>
    <definedName name="_49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FCPS&amp;VAR:MEASURE=FCPS_MEAN&amp;VAR:NULL=.HTML&amp;VAR:PED=2013&amp;VAR:PERIOD=CY&amp;VAR:THRESH=-|-|-|-|-|-&amp;VAR:PCT=N&amp;VAR:V=99.640979&amp;VAR:P=1244.278024&amp;VAR:DATE=20111202"}</definedName>
    <definedName name="_49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5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50__FDSAUDITLINK__" localSheetId="2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0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FCPS&amp;VAR:MEASURE=FCPS_MEAN&amp;VAR:NULL=.HTML&amp;VAR:PED=2011&amp;VAR:PERIOD=CY&amp;VAR:THRESH=-|-|-|-|-|-&amp;VAR:PCT=N&amp;VAR:V=179.317652&amp;VAR:P=2626.930000&amp;VAR:DATE=20111202"}</definedName>
    <definedName name="_50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FCPS&amp;VAR:MEASURE=FCPS_MEAN&amp;VAR:NULL=.HTML&amp;VAR:PED=2011&amp;VAR:PERIOD=CY&amp;VAR:THRESH=-|-|-|-|-|-&amp;VAR:PCT=N&amp;VAR:V=179.317652&amp;VAR:P=2626.930000&amp;VAR:DATE=20111202"}</definedName>
    <definedName name="_50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1__FDSAUDITLINK__" localSheetId="2" hidden="1">{"fdsup://IBCentral/FAT Viewer?action=UPDATE&amp;creator=factset&amp;DOC_NAME=fat:reuters_annual_source_window.fat&amp;display_string=Audit&amp;DYN_ARGS=TRUE&amp;VAR:ID1=43707610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1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EPS&amp;VAR:MEASURE=EPS_MEAN&amp;VAR:NULL=.HTML&amp;VAR:PED=2013&amp;VAR:PERIOD=CY&amp;VAR:THRESH=-|-|-|-|-|-&amp;VAR:PCT=N&amp;VAR:V=215.925597&amp;VAR:P=2626.930000&amp;VAR:DATE=20111202"}</definedName>
    <definedName name="_51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00000129&amp;VAR:CALC","_MODE=PORTFOLIO&amp;VAR:CHGPERIOD=NA&amp;DISPLAY_STRING=audit&amp;VAR:FQLFORMULA=FMA_EPS&amp;VAR:MEASURE=EPS_MEAN&amp;VAR:NULL=.HTML&amp;VAR:PED=2013&amp;VAR:PERIOD=CY&amp;VAR:THRESH=-|-|-|-|-|-&amp;VAR:PCT=N&amp;VAR:V=215.925597&amp;VAR:P=2626.930000&amp;VAR:DATE=20111202"}</definedName>
    <definedName name="_51__FDSAUDITLINK__" hidden="1">{"fdsup://IBCentral/FAT Viewer?action=UPDATE&amp;creator=factset&amp;DOC_NAME=fat:reuters_annual_source_window.fat&amp;display_string=Audit&amp;DYN_ARGS=TRUE&amp;VAR:ID1=43707610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2__FDSAUDITLINK__" localSheetId="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2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2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2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3__FDSAUDITLINK__" localSheetId="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3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3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3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54__FDSAUDITLINK__" localSheetId="2" hidden="1">{"fdsup://IBCentral/FAT Viewer?action=UPDATE&amp;creator=factset&amp;DOC_NAME=fat:reuters_annual_source_window.fat&amp;display_string=Audit&amp;DYN_ARGS=TRUE&amp;VAR:ID1=55616P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4__FDSAUDITLINK__" localSheetId="12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EVAL_SALES&amp;VAR:MEASURE=EVSALES&amp;VAR:NULL=.HTML&amp;VAR:PED=2013&amp;VAR:PERIOD=CY&amp;VAR:THRESH=-|-|-|-|-|-&amp;VAR:PCT=N&amp;VAR:V=1.575410&amp;VAR:P=1&amp;VAR:DATE=20111202"}</definedName>
    <definedName name="_54__FDSAUDITLINK__" localSheetId="7" hidden="1">{"fdsup://directions/FAT%20Viewer?WINDOW=first_popup&amp;DYN_ARGS=TRUE&amp;START_MAXIMIZED=FALSE&amp;TITLEBAR=FactSet Market Aggregates&amp;ACTION=UPDATE&amp;CREATOR=FACTSET&amp;HEIGHT=450&amp;WIDTH=500&amp;DOC_NAME=FAT:FMA_AUDIT_SUMMARY.FAT&amp;VAR:CURRENCY=USD&amp;VAR:AUDIT_ID=00000117&amp;VAR:CALC","_MODE=AGGREGATE&amp;VAR:CHGPERIOD=NA&amp;DISPLAY_STRING=audit&amp;VAR:FQLFORMULA=FMA_EVAL_SALES&amp;VAR:MEASURE=EVSALES&amp;VAR:NULL=.HTML&amp;VAR:PED=2013&amp;VAR:PERIOD=CY&amp;VAR:THRESH=-|-|-|-|-|-&amp;VAR:PCT=N&amp;VAR:V=1.575410&amp;VAR:P=1&amp;VAR:DATE=20111202"}</definedName>
    <definedName name="_54__FDSAUDITLINK__" hidden="1">{"fdsup://IBCentral/FAT Viewer?action=UPDATE&amp;creator=factset&amp;DOC_NAME=fat:reuters_annual_source_window.fat&amp;display_string=Audit&amp;DYN_ARGS=TRUE&amp;VAR:ID1=55616P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55__FDSAUDITLINK__" localSheetId="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5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5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5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6__FDSAUDITLINK__" localSheetId="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6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6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6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57__FDSAUDITLINK__" localSheetId="2" hidden="1">{"fdsup://directions/FAT Viewer?action=UPDATE&amp;creator=factset&amp;DYN_ARGS=TRUE&amp;DOC_NAME=FAT:FQL_AUDITING_CLIENT_TEMPLATE.FAT&amp;display_string=Audit&amp;VAR:KEY=YHEBOTULUB&amp;VAR:QUERY=Rk1BX0ZDUFMoKzQsMCwsLFVTRCwnUE9SVEFHRycsJ01FQU5SJyk=&amp;WINDOW=FIRST_POPUP&amp;HEIGHT=450&amp;WI","DTH=450&amp;START_MAXIMIZED=FALSE&amp;VAR:CALENDAR=FIVEDAY&amp;VAR:SYMBOL=SP50&amp;VAR:INDEX=0"}</definedName>
    <definedName name="_57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57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57__FDSAUDITLINK__" hidden="1">{"fdsup://directions/FAT Viewer?action=UPDATE&amp;creator=factset&amp;DYN_ARGS=TRUE&amp;DOC_NAME=FAT:FQL_AUDITING_CLIENT_TEMPLATE.FAT&amp;display_string=Audit&amp;VAR:KEY=YHEBOTULUB&amp;VAR:QUERY=Rk1BX0ZDUFMoKzQsMCwsLFVTRCwnUE9SVEFHRycsJ01FQU5SJyk=&amp;WINDOW=FIRST_POPUP&amp;HEIGHT=450&amp;WI","DTH=450&amp;START_MAXIMIZED=FALSE&amp;VAR:CALENDAR=FIVEDAY&amp;VAR:SYMBOL=SP50&amp;VAR:INDEX=0"}</definedName>
    <definedName name="_58__FDSAUDITLINK__" localSheetId="2" hidden="1">{"fdsup://directions/FAT Viewer?action=UPDATE&amp;creator=factset&amp;DYN_ARGS=TRUE&amp;DOC_NAME=FAT:FQL_AUDITING_CLIENT_TEMPLATE.FAT&amp;display_string=Audit&amp;VAR:KEY=IFKDAFQZUV&amp;VAR:QUERY=Rk1BX0VQUygrNCwwLCwsVVNELCdQT1JUQUdHJywnTUVBTlInKQ==&amp;WINDOW=FIRST_POPUP&amp;HEIGHT=450&amp;WI","DTH=450&amp;START_MAXIMIZED=FALSE&amp;VAR:CALENDAR=FIVEDAY&amp;VAR:SYMBOL=R.2000&amp;VAR:INDEX=0"}</definedName>
    <definedName name="_58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58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58__FDSAUDITLINK__" hidden="1">{"fdsup://directions/FAT Viewer?action=UPDATE&amp;creator=factset&amp;DYN_ARGS=TRUE&amp;DOC_NAME=FAT:FQL_AUDITING_CLIENT_TEMPLATE.FAT&amp;display_string=Audit&amp;VAR:KEY=IFKDAFQZUV&amp;VAR:QUERY=Rk1BX0VQUygrNCwwLCwsVVNELCdQT1JUQUdHJywnTUVBTlInKQ==&amp;WINDOW=FIRST_POPUP&amp;HEIGHT=450&amp;WI","DTH=450&amp;START_MAXIMIZED=FALSE&amp;VAR:CALENDAR=FIVEDAY&amp;VAR:SYMBOL=R.2000&amp;VAR:INDEX=0"}</definedName>
    <definedName name="_59__FDSAUDITLINK__" localSheetId="2" hidden="1">{"fdsup://directions/FAT Viewer?action=UPDATE&amp;creator=factset&amp;DYN_ARGS=TRUE&amp;DOC_NAME=FAT:FQL_AUDITING_CLIENT_TEMPLATE.FAT&amp;display_string=Audit&amp;VAR:KEY=INADAPETUD&amp;VAR:QUERY=Rk1BX0VWQUxfRUJJVERBKCs0LDAsLCwnUE9SVEFHRycsJ01FQU5SJyk=&amp;WINDOW=FIRST_POPUP&amp;HEIGHT=45","0&amp;WIDTH=450&amp;START_MAXIMIZED=FALSE&amp;VAR:CALENDAR=FIVEDAY&amp;VAR:SYMBOL=SP50&amp;VAR:INDEX=0"}</definedName>
    <definedName name="_59__FDSAUDITLINK__" localSheetId="12" hidden="1">{"fdsup://IBCentral/FAT Viewer?action=UPDATE&amp;creator=factset&amp;DOC_NAME=fat:reuters_annual_source_window.fat&amp;display_string=Audit&amp;DYN_ARGS=TRUE&amp;VAR:ID1=22160K10&amp;VAR:RCODE=SALES&amp;VAR:SDATE=20070899&amp;VAR:FREQ=Y&amp;VAR:RELITEM=RP&amp;VAR:CURRENCY=&amp;VAR:CURRSOURCE=EXSHARE&amp;","VAR:NATFREQ=ANNUAL&amp;VAR:RFIELD=FINALIZED&amp;VAR:DB_TYPE=&amp;VAR:UNITS=M&amp;window=popup&amp;width=450&amp;height=300&amp;START_MAXIMIZED=FALSE"}</definedName>
    <definedName name="_59__FDSAUDITLINK__" localSheetId="7" hidden="1">{"fdsup://IBCentral/FAT Viewer?action=UPDATE&amp;creator=factset&amp;DOC_NAME=fat:reuters_annual_source_window.fat&amp;display_string=Audit&amp;DYN_ARGS=TRUE&amp;VAR:ID1=22160K10&amp;VAR:RCODE=SALES&amp;VAR:SDATE=20070899&amp;VAR:FREQ=Y&amp;VAR:RELITEM=RP&amp;VAR:CURRENCY=&amp;VAR:CURRSOURCE=EXSHARE&amp;","VAR:NATFREQ=ANNUAL&amp;VAR:RFIELD=FINALIZED&amp;VAR:DB_TYPE=&amp;VAR:UNITS=M&amp;window=popup&amp;width=450&amp;height=300&amp;START_MAXIMIZED=FALSE"}</definedName>
    <definedName name="_59__FDSAUDITLINK__" hidden="1">{"fdsup://directions/FAT Viewer?action=UPDATE&amp;creator=factset&amp;DYN_ARGS=TRUE&amp;DOC_NAME=FAT:FQL_AUDITING_CLIENT_TEMPLATE.FAT&amp;display_string=Audit&amp;VAR:KEY=INADAPETUD&amp;VAR:QUERY=Rk1BX0VWQUxfRUJJVERBKCs0LDAsLCwnUE9SVEFHRycsJ01FQU5SJyk=&amp;WINDOW=FIRST_POPUP&amp;HEIGHT=45","0&amp;WIDTH=450&amp;START_MAXIMIZED=FALSE&amp;VAR:CALENDAR=FIVEDAY&amp;VAR:SYMBOL=SP50&amp;VAR:INDEX=0"}</definedName>
    <definedName name="_6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6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60__FDSAUDITLINK__" localSheetId="2" hidden="1">{"fdsup://directions/FAT Viewer?action=UPDATE&amp;creator=factset&amp;DYN_ARGS=TRUE&amp;DOC_NAME=FAT:FQL_AUDITING_CLIENT_TEMPLATE.FAT&amp;display_string=Audit&amp;VAR:KEY=IFGTCHCBIJ&amp;VAR:QUERY=Rk1BX0VWQUxfRUJJVERBKCszLDAsLCwnUE9SVEFHRycsJ01FQU5SJyk=&amp;WINDOW=FIRST_POPUP&amp;HEIGHT=45","0&amp;WIDTH=450&amp;START_MAXIMIZED=FALSE&amp;VAR:CALENDAR=FIVEDAY&amp;VAR:SYMBOL=COMP&amp;VAR:INDEX=0"}</definedName>
    <definedName name="_60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0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0__FDSAUDITLINK__" hidden="1">{"fdsup://directions/FAT Viewer?action=UPDATE&amp;creator=factset&amp;DYN_ARGS=TRUE&amp;DOC_NAME=FAT:FQL_AUDITING_CLIENT_TEMPLATE.FAT&amp;display_string=Audit&amp;VAR:KEY=IFGTCHCBIJ&amp;VAR:QUERY=Rk1BX0VWQUxfRUJJVERBKCszLDAsLCwnUE9SVEFHRycsJ01FQU5SJyk=&amp;WINDOW=FIRST_POPUP&amp;HEIGHT=45","0&amp;WIDTH=450&amp;START_MAXIMIZED=FALSE&amp;VAR:CALENDAR=FIVEDAY&amp;VAR:SYMBOL=COMP&amp;VAR:INDEX=0"}</definedName>
    <definedName name="_61__FDSAUDITLINK__" localSheetId="2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61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1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1__FDSAUDITLINK__" hidden="1">{"fdsup://directions/FAT Viewer?action=UPDATE&amp;creator=factset&amp;DYN_ARGS=TRUE&amp;DOC_NAME=FAT:FQL_AUDITING_CLIENT_TEMPLATE.FAT&amp;display_string=Audit&amp;VAR:KEY=YHABSBIVET&amp;VAR:QUERY=Rk1BX0VWQUxfU0FMRVMoKzQsMCwsLCdQT1JUQUdHJywnTUVBTlInKQ==&amp;WINDOW=FIRST_POPUP&amp;HEIGHT=45","0&amp;WIDTH=450&amp;START_MAXIMIZED=FALSE&amp;VAR:CALENDAR=FIVEDAY&amp;VAR:SYMBOL=R.2000&amp;VAR:INDEX=0"}</definedName>
    <definedName name="_62__FDSAUDITLINK__" localSheetId="2" hidden="1">{"fdsup://IBCentral/FAT Viewer?action=UPDATE&amp;creator=factset&amp;DOC_NAME=fat:reuters_annual_source_window.fat&amp;display_string=Audit&amp;DYN_ARGS=TRUE&amp;VAR:ID1=08651610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2__FDSAUDITLINK__" localSheetId="12" hidden="1">{"fdsup://IBCentral/FAT Viewer?action=UPDATE&amp;creator=factset&amp;DOC_NAME=fat:reuters_annual_source_window.fat&amp;display_string=Audit&amp;DYN_ARGS=TRUE&amp;VAR:ID1=08651610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2__FDSAUDITLINK__" localSheetId="7" hidden="1">{"fdsup://IBCentral/FAT Viewer?action=UPDATE&amp;creator=factset&amp;DOC_NAME=fat:reuters_annual_source_window.fat&amp;display_string=Audit&amp;DYN_ARGS=TRUE&amp;VAR:ID1=08651610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2__FDSAUDITLINK__" hidden="1">{"fdsup://IBCentral/FAT Viewer?action=UPDATE&amp;creator=factset&amp;DOC_NAME=fat:reuters_annual_source_window.fat&amp;display_string=Audit&amp;DYN_ARGS=TRUE&amp;VAR:ID1=08651610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3__FDSAUDITLINK__" localSheetId="2" hidden="1">{"fdsup://directions/FAT Viewer?action=UPDATE&amp;creator=factset&amp;DYN_ARGS=TRUE&amp;DOC_NAME=FAT:FQL_AUDITING_CLIENT_TEMPLATE.FAT&amp;display_string=Audit&amp;VAR:KEY=YXIPWPMLKR&amp;VAR:QUERY=Rk1BX0NBU0goTFRNLDAsLCxVU0QsJ1BPUlRBR0cnKQ==&amp;WINDOW=FIRST_POPUP&amp;HEIGHT=450&amp;WIDTH=450&amp;","START_MAXIMIZED=FALSE&amp;VAR:CALENDAR=FIVEDAY&amp;VAR:SYMBOL=R.2000&amp;VAR:INDEX=0"}</definedName>
    <definedName name="_63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3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3__FDSAUDITLINK__" hidden="1">{"fdsup://directions/FAT Viewer?action=UPDATE&amp;creator=factset&amp;DYN_ARGS=TRUE&amp;DOC_NAME=FAT:FQL_AUDITING_CLIENT_TEMPLATE.FAT&amp;display_string=Audit&amp;VAR:KEY=YXIPWPMLKR&amp;VAR:QUERY=Rk1BX0NBU0goTFRNLDAsLCxVU0QsJ1BPUlRBR0cnKQ==&amp;WINDOW=FIRST_POPUP&amp;HEIGHT=450&amp;WIDTH=450&amp;","START_MAXIMIZED=FALSE&amp;VAR:CALENDAR=FIVEDAY&amp;VAR:SYMBOL=R.2000&amp;VAR:INDEX=0"}</definedName>
    <definedName name="_64__FDSAUDITLINK__" localSheetId="2" hidden="1">{"fdsup://directions/FAT Viewer?action=UPDATE&amp;creator=factset&amp;DYN_ARGS=TRUE&amp;DOC_NAME=FAT:FQL_AUDITING_CLIENT_TEMPLATE.FAT&amp;display_string=Audit&amp;VAR:KEY=AXQFKXWZOX&amp;VAR:QUERY=Rk1BX0VWQUxfU0FMRVMoKzQsMCwsLCdQT1JUQUdHJywnTUVBTlInKQ==&amp;WINDOW=FIRST_POPUP&amp;HEIGHT=45","0&amp;WIDTH=450&amp;START_MAXIMIZED=FALSE&amp;VAR:CALENDAR=FIVEDAY&amp;VAR:SYMBOL=SP50&amp;VAR:INDEX=0"}</definedName>
    <definedName name="_64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4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4__FDSAUDITLINK__" hidden="1">{"fdsup://directions/FAT Viewer?action=UPDATE&amp;creator=factset&amp;DYN_ARGS=TRUE&amp;DOC_NAME=FAT:FQL_AUDITING_CLIENT_TEMPLATE.FAT&amp;display_string=Audit&amp;VAR:KEY=AXQFKXWZOX&amp;VAR:QUERY=Rk1BX0VWQUxfU0FMRVMoKzQsMCwsLCdQT1JUQUdHJywnTUVBTlInKQ==&amp;WINDOW=FIRST_POPUP&amp;HEIGHT=45","0&amp;WIDTH=450&amp;START_MAXIMIZED=FALSE&amp;VAR:CALENDAR=FIVEDAY&amp;VAR:SYMBOL=SP50&amp;VAR:INDEX=0"}</definedName>
    <definedName name="_65__FDSAUDITLINK__" localSheetId="2" hidden="1">{"fdsup://IBCentral/FAT Viewer?action=UPDATE&amp;creator=factset&amp;DOC_NAME=fat:reuters_annual_source_window.fat&amp;display_string=Audit&amp;DYN_ARGS=TRUE&amp;VAR:ID1=07589610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5__FDSAUDITLINK__" localSheetId="12" hidden="1">{"fdsup://IBCentral/FAT Viewer?action=UPDATE&amp;creator=factset&amp;DOC_NAME=fat:reuters_annual_source_window.fat&amp;display_string=Audit&amp;DYN_ARGS=TRUE&amp;VAR:ID1=07589610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5__FDSAUDITLINK__" localSheetId="7" hidden="1">{"fdsup://IBCentral/FAT Viewer?action=UPDATE&amp;creator=factset&amp;DOC_NAME=fat:reuters_annual_source_window.fat&amp;display_string=Audit&amp;DYN_ARGS=TRUE&amp;VAR:ID1=07589610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5__FDSAUDITLINK__" hidden="1">{"fdsup://IBCentral/FAT Viewer?action=UPDATE&amp;creator=factset&amp;DOC_NAME=fat:reuters_annual_source_window.fat&amp;display_string=Audit&amp;DYN_ARGS=TRUE&amp;VAR:ID1=07589610&amp;VAR:RCODE=SALES&amp;VAR:SDATE=20080299&amp;VAR:FREQ=Y&amp;VAR:RELITEM=RP&amp;VAR:CURRENCY=&amp;VAR:CURRSOURCE=EXSHARE&amp;","VAR:NATFREQ=ANNUAL&amp;VAR:RFIELD=FINALIZED&amp;VAR:DB_TYPE=&amp;VAR:UNITS=M&amp;window=popup&amp;width=450&amp;height=300&amp;START_MAXIMIZED=FALSE"}</definedName>
    <definedName name="_66__FDSAUDITLINK__" localSheetId="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6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6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6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7__FDSAUDITLINK__" localSheetId="2" hidden="1">{"fdsup://directions/FAT Viewer?action=UPDATE&amp;creator=factset&amp;DYN_ARGS=TRUE&amp;DOC_NAME=FAT:FQL_AUDITING_CLIENT_TEMPLATE.FAT&amp;display_string=Audit&amp;VAR:KEY=SVCXCXSRCR&amp;VAR:QUERY=Rk1BX0VQUygrMywwLCwsVVNELCdQT1JUQUdHJywnTUVBTlInKQ==&amp;WINDOW=FIRST_POPUP&amp;HEIGHT=450&amp;WI","DTH=450&amp;START_MAXIMIZED=FALSE&amp;VAR:CALENDAR=FIVEDAY&amp;VAR:SYMBOL=SP50&amp;VAR:INDEX=0"}</definedName>
    <definedName name="_67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7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67__FDSAUDITLINK__" hidden="1">{"fdsup://directions/FAT Viewer?action=UPDATE&amp;creator=factset&amp;DYN_ARGS=TRUE&amp;DOC_NAME=FAT:FQL_AUDITING_CLIENT_TEMPLATE.FAT&amp;display_string=Audit&amp;VAR:KEY=SVCXCXSRCR&amp;VAR:QUERY=Rk1BX0VQUygrMywwLCwsVVNELCdQT1JUQUdHJywnTUVBTlInKQ==&amp;WINDOW=FIRST_POPUP&amp;HEIGHT=450&amp;WI","DTH=450&amp;START_MAXIMIZED=FALSE&amp;VAR:CALENDAR=FIVEDAY&amp;VAR:SYMBOL=SP50&amp;VAR:INDEX=0"}</definedName>
    <definedName name="_68__FDSAUDITLINK__" localSheetId="2" hidden="1">{"fdsup://IBCentral/FAT Viewer?action=UPDATE&amp;creator=factset&amp;DOC_NAME=fat:reuters_annual_source_window.fat&amp;display_string=Audit&amp;DYN_ARGS=TRUE&amp;VAR:ID1=06777410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68__FDSAUDITLINK__" localSheetId="12" hidden="1">{"fdsup://IBCentral/FAT Viewer?action=UPDATE&amp;creator=factset&amp;DOC_NAME=fat:reuters_annual_source_window.fat&amp;display_string=Audit&amp;DYN_ARGS=TRUE&amp;VAR:ID1=06777410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68__FDSAUDITLINK__" localSheetId="7" hidden="1">{"fdsup://IBCentral/FAT Viewer?action=UPDATE&amp;creator=factset&amp;DOC_NAME=fat:reuters_annual_source_window.fat&amp;display_string=Audit&amp;DYN_ARGS=TRUE&amp;VAR:ID1=06777410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68__FDSAUDITLINK__" hidden="1">{"fdsup://IBCentral/FAT Viewer?action=UPDATE&amp;creator=factset&amp;DOC_NAME=fat:reuters_annual_source_window.fat&amp;display_string=Audit&amp;DYN_ARGS=TRUE&amp;VAR:ID1=06777410&amp;VAR:RCODE=SALES&amp;VAR:SDATE=20080199&amp;VAR:FREQ=Y&amp;VAR:RELITEM=RP&amp;VAR:CURRENCY=&amp;VAR:CURRSOURCE=EXSHARE&amp;","VAR:NATFREQ=ANNUAL&amp;VAR:RFIELD=FINALIZED&amp;VAR:DB_TYPE=&amp;VAR:UNITS=M&amp;window=popup&amp;width=450&amp;height=300&amp;START_MAXIMIZED=FALSE"}</definedName>
    <definedName name="_69__FDSAUDITLINK__" localSheetId="2" hidden="1">{"fdsup://IBCentral/FAT Viewer?action=UPDATE&amp;creator=factset&amp;DOC_NAME=fat:reuters_annual_source_window.fat&amp;display_string=Audit&amp;DYN_ARGS=TRUE&amp;VAR:ID1=02313510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9__FDSAUDITLINK__" localSheetId="12" hidden="1">{"fdsup://IBCentral/FAT Viewer?action=UPDATE&amp;creator=factset&amp;DOC_NAME=fat:reuters_annual_source_window.fat&amp;display_string=Audit&amp;DYN_ARGS=TRUE&amp;VAR:ID1=02313510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9__FDSAUDITLINK__" localSheetId="7" hidden="1">{"fdsup://IBCentral/FAT Viewer?action=UPDATE&amp;creator=factset&amp;DOC_NAME=fat:reuters_annual_source_window.fat&amp;display_string=Audit&amp;DYN_ARGS=TRUE&amp;VAR:ID1=02313510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69__FDSAUDITLINK__" hidden="1">{"fdsup://IBCentral/FAT Viewer?action=UPDATE&amp;creator=factset&amp;DOC_NAME=fat:reuters_annual_source_window.fat&amp;display_string=Audit&amp;DYN_ARGS=TRUE&amp;VAR:ID1=02313510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7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7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70__FDSAUDITLINK__" localSheetId="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0__FDSAUDITLINK__" localSheetId="1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0__FDSAUDITLINK__" localSheetId="7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0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1__FDSAUDITLINK__" localSheetId="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1__FDSAUDITLINK__" localSheetId="12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1__FDSAUDITLINK__" localSheetId="7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1__FDSAUDITLINK__" hidden="1">{"fdsup://IBCentral/FAT Viewer?action=UPDATE&amp;creator=factset&amp;DOC_NAME=fat:reuters_annual_source_window.fat&amp;display_string=Audit&amp;DYN_ARGS=TRUE&amp;VAR:ID1=93114210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2__FDSAUDITLINK__" localSheetId="2" hidden="1">{"fdsup://directions/FAT Viewer?action=UPDATE&amp;creator=factset&amp;DYN_ARGS=TRUE&amp;DOC_NAME=FAT:FQL_AUDITING_CLIENT_TEMPLATE.FAT&amp;display_string=Audit&amp;VAR:KEY=CZUZKNURMZ&amp;VAR:QUERY=Rk1BX0VWQUxfU0FMRVMoKzQsMCwsLCdQT1JUQUdHJywnTUVBTlInKQ==&amp;WINDOW=FIRST_POPUP&amp;HEIGHT=45","0&amp;WIDTH=450&amp;START_MAXIMIZED=FALSE&amp;VAR:CALENDAR=FIVEDAY&amp;VAR:SYMBOL=DJIAK&amp;VAR:INDEX=0"}</definedName>
    <definedName name="_72__FDSAUDITLINK__" localSheetId="1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2__FDSAUDITLINK__" localSheetId="7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2__FDSAUDITLINK__" hidden="1">{"fdsup://directions/FAT Viewer?action=UPDATE&amp;creator=factset&amp;DYN_ARGS=TRUE&amp;DOC_NAME=FAT:FQL_AUDITING_CLIENT_TEMPLATE.FAT&amp;display_string=Audit&amp;VAR:KEY=CZUZKNURMZ&amp;VAR:QUERY=Rk1BX0VWQUxfU0FMRVMoKzQsMCwsLCdQT1JUQUdHJywnTUVBTlInKQ==&amp;WINDOW=FIRST_POPUP&amp;HEIGHT=45","0&amp;WIDTH=450&amp;START_MAXIMIZED=FALSE&amp;VAR:CALENDAR=FIVEDAY&amp;VAR:SYMBOL=DJIAK&amp;VAR:INDEX=0"}</definedName>
    <definedName name="_73__FDSAUDITLINK__" localSheetId="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3__FDSAUDITLINK__" localSheetId="12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3__FDSAUDITLINK__" localSheetId="7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3__FDSAUDITLINK__" hidden="1">{"fdsup://IBCentral/FAT Viewer?action=UPDATE&amp;creator=factset&amp;DOC_NAME=fat:reuters_annual_source_window.fat&amp;display_string=Audit&amp;DYN_ARGS=TRUE&amp;VAR:ID1=87612E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4__FDSAUDITLINK__" localSheetId="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4__FDSAUDITLINK__" localSheetId="1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4__FDSAUDITLINK__" localSheetId="7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4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5__FDSAUDITLINK__" localSheetId="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5__FDSAUDITLINK__" localSheetId="12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5__FDSAUDITLINK__" localSheetId="7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5__FDSAUDITLINK__" hidden="1">{"fdsup://IBCentral/FAT Viewer?action=UPDATE&amp;creator=factset&amp;DOC_NAME=fat:reuters_annual_source_window.fat&amp;display_string=Audit&amp;DYN_ARGS=TRUE&amp;VAR:ID1=85503010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6__FDSAUDITLINK__" localSheetId="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6__FDSAUDITLINK__" localSheetId="1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6__FDSAUDITLINK__" localSheetId="7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6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7__FDSAUDITLINK__" localSheetId="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7__FDSAUDITLINK__" localSheetId="12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7__FDSAUDITLINK__" localSheetId="7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7__FDSAUDITLINK__" hidden="1">{"fdsup://IBCentral/FAT Viewer?action=UPDATE&amp;creator=factset&amp;DOC_NAME=fat:reuters_annual_source_window.fat&amp;display_string=Audit&amp;DYN_ARGS=TRUE&amp;VAR:ID1=81235010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8__FDSAUDITLINK__" localSheetId="2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8__FDSAUDITLINK__" localSheetId="12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8__FDSAUDITLINK__" localSheetId="7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8__FDSAUDITLINK__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9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79__FDSAUDITLINK__" localSheetId="12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9__FDSAUDITLINK__" localSheetId="7" hidden="1">{"fdsup://IBCentral/FAT Viewer?action=UPDATE&amp;creator=factset&amp;DOC_NAME=fat:reuters_annual_source_window.fat&amp;display_string=Audit&amp;DYN_ARGS=TRUE&amp;VAR:ID1=43707610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79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8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8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80__FDSAUDITLINK__" localSheetId="2" hidden="1">{"fdsup://directions/FAT Viewer?action=UPDATE&amp;creator=factset&amp;DYN_ARGS=TRUE&amp;DOC_NAME=FAT:FQL_AUDITING_CLIENT_TEMPLATE.FAT&amp;display_string=Audit&amp;VAR:KEY=UHMTOTKJQV&amp;VAR:QUERY=Rk1BX0VWQUxfU0FMRVMoKzQsMCwsLCdQT1JUQUdHJywnTUVBTlInKQ==&amp;WINDOW=FIRST_POPUP&amp;HEIGHT=45","0&amp;WIDTH=450&amp;START_MAXIMIZED=FALSE&amp;VAR:CALENDAR=FIVEDAY&amp;VAR:SYMBOL=COMP&amp;VAR:INDEX=0"}</definedName>
    <definedName name="_80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0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0__FDSAUDITLINK__" hidden="1">{"fdsup://directions/FAT Viewer?action=UPDATE&amp;creator=factset&amp;DYN_ARGS=TRUE&amp;DOC_NAME=FAT:FQL_AUDITING_CLIENT_TEMPLATE.FAT&amp;display_string=Audit&amp;VAR:KEY=UHMTOTKJQV&amp;VAR:QUERY=Rk1BX0VWQUxfU0FMRVMoKzQsMCwsLCdQT1JUQUdHJywnTUVBTlInKQ==&amp;WINDOW=FIRST_POPUP&amp;HEIGHT=45","0&amp;WIDTH=450&amp;START_MAXIMIZED=FALSE&amp;VAR:CALENDAR=FIVEDAY&amp;VAR:SYMBOL=COMP&amp;VAR:INDEX=0"}</definedName>
    <definedName name="_81__FDSAUDITLINK__" localSheetId="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1__FDSAUDITLINK__" localSheetId="12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1__FDSAUDITLINK__" localSheetId="7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1__FDSAUDITLINK__" hidden="1">{"fdsup://IBCentral/FAT Viewer?action=UPDATE&amp;creator=factset&amp;DOC_NAME=fat:reuters_annual_source_window.fat&amp;display_string=Audit&amp;DYN_ARGS=TRUE&amp;VAR:ID1=55616P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82__FDSAUDITLINK__" localSheetId="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2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2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2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3__FDSAUDITLINK__" localSheetId="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3__FDSAUDITLINK__" localSheetId="12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3__FDSAUDITLINK__" localSheetId="7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3__FDSAUDITLINK__" hidden="1">{"fdsup://IBCentral/FAT Viewer?action=UPDATE&amp;creator=factset&amp;DOC_NAME=fat:reuters_annual_source_window.fat&amp;display_string=Audit&amp;DYN_ARGS=TRUE&amp;VAR:ID1=27864210&amp;VAR:RCODE=CFFREE&amp;VAR:SDATE=20071299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4__FDSAUDITLINK__" localSheetId="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4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4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4__FDSAUDITLINK__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5__FDSAUDITLINK__" localSheetId="2" hidden="1">{"fdsup://directions/FAT Viewer?action=UPDATE&amp;creator=factset&amp;DYN_ARGS=TRUE&amp;DOC_NAME=FAT:FQL_AUDITING_CLIENT_TEMPLATE.FAT&amp;display_string=Audit&amp;VAR:KEY=CRELINGBUV&amp;VAR:QUERY=Rk1BX0ZDUFMoKzMsMCwsLFVTRCwnUE9SVEFHRycsJ01FQU5SJyk=&amp;WINDOW=FIRST_POPUP&amp;HEIGHT=450&amp;WI","DTH=450&amp;START_MAXIMIZED=FALSE&amp;VAR:CALENDAR=FIVEDAY&amp;VAR:SYMBOL=R.2000&amp;VAR:INDEX=0"}</definedName>
    <definedName name="_85__FDSAUDITLINK__" localSheetId="12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5__FDSAUDITLINK__" localSheetId="7" hidden="1">{"fdsup://IBCentral/FAT Viewer?action=UPDATE&amp;creator=factset&amp;DOC_NAME=fat:reuters_annual_source_window.fat&amp;display_string=Audit&amp;DYN_ARGS=TRUE&amp;VAR:ID1=22160K10&amp;VAR:RCODE=CFFREE&amp;VAR:SDATE=20070899&amp;VAR:FREQ=Y&amp;VAR:RELITEM=RP&amp;VAR:CURRENCY=&amp;VAR:CURRSOURCE=EXSHARE","&amp;VAR:NATFREQ=ANNUAL&amp;VAR:RFIELD=FINALIZED&amp;VAR:DB_TYPE=&amp;VAR:UNITS=M&amp;window=popup&amp;width=450&amp;height=300&amp;START_MAXIMIZED=FALSE"}</definedName>
    <definedName name="_85__FDSAUDITLINK__" hidden="1">{"fdsup://directions/FAT Viewer?action=UPDATE&amp;creator=factset&amp;DYN_ARGS=TRUE&amp;DOC_NAME=FAT:FQL_AUDITING_CLIENT_TEMPLATE.FAT&amp;display_string=Audit&amp;VAR:KEY=CRELINGBUV&amp;VAR:QUERY=Rk1BX0ZDUFMoKzMsMCwsLFVTRCwnUE9SVEFHRycsJ01FQU5SJyk=&amp;WINDOW=FIRST_POPUP&amp;HEIGHT=450&amp;WI","DTH=450&amp;START_MAXIMIZED=FALSE&amp;VAR:CALENDAR=FIVEDAY&amp;VAR:SYMBOL=R.2000&amp;VAR:INDEX=0"}</definedName>
    <definedName name="_86__FDSAUDITLINK__" localSheetId="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6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6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6__FDSAUDITLINK__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7__FDSAUDITLINK__" localSheetId="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7__FDSAUDITLINK__" localSheetId="12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7__FDSAUDITLINK__" localSheetId="7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7__FDSAUDITLINK__" hidden="1">{"fdsup://IBCentral/FAT Viewer?action=UPDATE&amp;creator=factset&amp;DOC_NAME=fat:reuters_annual_source_window.fat&amp;display_string=Audit&amp;DYN_ARGS=TRUE&amp;VAR:ID1=08651610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8__FDSAUDITLINK__" localSheetId="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8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8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8__FDSAUDITLINK__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9__FDSAUDITLINK__" localSheetId="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9__FDSAUDITLINK__" localSheetId="12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9__FDSAUDITLINK__" localSheetId="7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89__FDSAUDITLINK__" hidden="1">{"fdsup://IBCentral/FAT Viewer?action=UPDATE&amp;creator=factset&amp;DOC_NAME=fat:reuters_annual_source_window.fat&amp;display_string=Audit&amp;DYN_ARGS=TRUE&amp;VAR:ID1=07589610&amp;VAR:RCODE=CFFREE&amp;VAR:SDATE=20080299&amp;VAR:FREQ=Y&amp;VAR:RELITEM=RP&amp;VAR:CURRENCY=&amp;VAR:CURRSOURCE=EXSHARE","&amp;VAR:NATFREQ=ANNUAL&amp;VAR:RFIELD=FINALIZED&amp;VAR:DB_TYPE=&amp;VAR:UNITS=M&amp;window=popup&amp;width=450&amp;height=300&amp;START_MAXIMIZED=FALSE"}</definedName>
    <definedName name="_9__FDSAUDITLINK__" localSheetId="2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9__FDSAUDITLINK__" hidden="1">{"fdsup://directions/FAT Viewer?action=UPDATE&amp;creator=factset&amp;DYN_ARGS=TRUE&amp;DOC_NAME=FAT:FQL_AUDITING_CLIENT_TEMPLATE.FAT&amp;display_string=Audit&amp;VAR:KEY=AJGDCFAVIH&amp;VAR:QUERY=Rk1BX0VWQUxfU0FMRVMoKzEsMCwsLCdQT1JUQUdHJywnTUVBTlInKQ==&amp;WINDOW=FIRST_POPUP&amp;HEIGHT=45","0&amp;WIDTH=450&amp;START_MAXIMIZED=FALSE&amp;VAR:CALENDAR=FIVEDAY&amp;VAR:SYMBOL=DJIAK&amp;VAR:INDEX=0"}</definedName>
    <definedName name="_90__FDSAUDITLINK__" localSheetId="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0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0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0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1__FDSAUDITLINK__" localSheetId="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1__FDSAUDITLINK__" localSheetId="12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1__FDSAUDITLINK__" localSheetId="7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1__FDSAUDITLINK__" hidden="1">{"fdsup://IBCentral/FAT Viewer?action=UPDATE&amp;creator=factset&amp;DOC_NAME=fat:reuters_annual_source_window.fat&amp;display_string=Audit&amp;DYN_ARGS=TRUE&amp;VAR:ID1=06777410&amp;VAR:RCODE=CFFREE&amp;VAR:SDATE=20080199&amp;VAR:FREQ=Y&amp;VAR:RELITEM=RP&amp;VAR:CURRENCY=&amp;VAR:CURRSOURCE=EXSHARE","&amp;VAR:NATFREQ=ANNUAL&amp;VAR:RFIELD=FINALIZED&amp;VAR:DB_TYPE=&amp;VAR:UNITS=M&amp;window=popup&amp;width=450&amp;height=300&amp;START_MAXIMIZED=FALSE"}</definedName>
    <definedName name="_92__FDSAUDITLINK__" localSheetId="12" hidden="1">{"fdsup://directions/FAT Viewer?action=UPDATE&amp;creator=factset&amp;DYN_ARGS=TRUE&amp;DOC_NAME=FAT:FQL_AUDITING_CLIENT_TEMPLATE.FAT&amp;display_string=Audit&amp;VAR:KEY=ILYXGTWRQH&amp;VAR:QUERY=Rk1BX0ZDUFMoKzQsMCwsLFVTRCwnUE9SVEFHRycsJ01FQU5SJyk=&amp;WINDOW=FIRST_POPUP&amp;HEIGHT=450&amp;WI","DTH=450&amp;START_MAXIMIZED=FALSE&amp;VAR:CALENDAR=FIVEDAY&amp;VAR:SYMBOL=COMP&amp;VAR:INDEX=0"}</definedName>
    <definedName name="_92__FDSAUDITLINK__" hidden="1">{"fdsup://directions/FAT Viewer?action=UPDATE&amp;creator=factset&amp;DYN_ARGS=TRUE&amp;DOC_NAME=FAT:FQL_AUDITING_CLIENT_TEMPLATE.FAT&amp;display_string=Audit&amp;VAR:KEY=ILYXGTWRQH&amp;VAR:QUERY=Rk1BX0ZDUFMoKzQsMCwsLFVTRCwnUE9SVEFHRycsJ01FQU5SJyk=&amp;WINDOW=FIRST_POPUP&amp;HEIGHT=450&amp;WI","DTH=450&amp;START_MAXIMIZED=FALSE&amp;VAR:CALENDAR=FIVEDAY&amp;VAR:SYMBOL=COMP&amp;VAR:INDEX=0"}</definedName>
    <definedName name="_93__FDSAUDITLINK__" localSheetId="12" hidden="1">{"fdsup://directions/FAT Viewer?action=UPDATE&amp;creator=factset&amp;DYN_ARGS=TRUE&amp;DOC_NAME=FAT:FQL_AUDITING_CLIENT_TEMPLATE.FAT&amp;display_string=Audit&amp;VAR:KEY=UTGLKPIBMB&amp;VAR:QUERY=Rk1BX0VWQUxfRUJJVERBKCszLDAsLCwnUE9SVEFHRycsJ01FQU5SJyk=&amp;WINDOW=FIRST_POPUP&amp;HEIGHT=45","0&amp;WIDTH=450&amp;START_MAXIMIZED=FALSE&amp;VAR:CALENDAR=FIVEDAY&amp;VAR:SYMBOL=R.2000&amp;VAR:INDEX=0"}</definedName>
    <definedName name="_93__FDSAUDITLINK__" hidden="1">{"fdsup://directions/FAT Viewer?action=UPDATE&amp;creator=factset&amp;DYN_ARGS=TRUE&amp;DOC_NAME=FAT:FQL_AUDITING_CLIENT_TEMPLATE.FAT&amp;display_string=Audit&amp;VAR:KEY=UTGLKPIBMB&amp;VAR:QUERY=Rk1BX0VWQUxfRUJJVERBKCszLDAsLCwnUE9SVEFHRycsJ01FQU5SJyk=&amp;WINDOW=FIRST_POPUP&amp;HEIGHT=45","0&amp;WIDTH=450&amp;START_MAXIMIZED=FALSE&amp;VAR:CALENDAR=FIVEDAY&amp;VAR:SYMBOL=R.2000&amp;VAR:INDEX=0"}</definedName>
    <definedName name="_94__FDSAUDITLINK__" localSheetId="12" hidden="1">{"fdsup://directions/FAT Viewer?action=UPDATE&amp;creator=factset&amp;DYN_ARGS=TRUE&amp;DOC_NAME=FAT:FQL_AUDITING_CLIENT_TEMPLATE.FAT&amp;display_string=Audit&amp;VAR:KEY=WHIVULOPAX&amp;VAR:QUERY=Rk1BX0VWQUxfRUJJVERBKCsyLDAsLCwnUE9SVEFHRycsJ01FQU5SJyk=&amp;WINDOW=FIRST_POPUP&amp;HEIGHT=45","0&amp;WIDTH=450&amp;START_MAXIMIZED=FALSE&amp;VAR:CALENDAR=FIVEDAY&amp;VAR:SYMBOL=R.2000&amp;VAR:INDEX=0"}</definedName>
    <definedName name="_94__FDSAUDITLINK__" hidden="1">{"fdsup://directions/FAT Viewer?action=UPDATE&amp;creator=factset&amp;DYN_ARGS=TRUE&amp;DOC_NAME=FAT:FQL_AUDITING_CLIENT_TEMPLATE.FAT&amp;display_string=Audit&amp;VAR:KEY=WHIVULOPAX&amp;VAR:QUERY=Rk1BX0VWQUxfRUJJVERBKCsyLDAsLCwnUE9SVEFHRycsJ01FQU5SJyk=&amp;WINDOW=FIRST_POPUP&amp;HEIGHT=45","0&amp;WIDTH=450&amp;START_MAXIMIZED=FALSE&amp;VAR:CALENDAR=FIVEDAY&amp;VAR:SYMBOL=R.2000&amp;VAR:INDEX=0"}</definedName>
    <definedName name="_95__FDSAUDITLINK__" localSheetId="12" hidden="1">{"fdsup://directions/FAT Viewer?action=UPDATE&amp;creator=factset&amp;DYN_ARGS=TRUE&amp;DOC_NAME=FAT:FQL_AUDITING_CLIENT_TEMPLATE.FAT&amp;display_string=Audit&amp;VAR:KEY=YHEBOTULUB&amp;VAR:QUERY=Rk1BX0VWQUxfRUJJVERBKCsxLDAsLCwnUE9SVEFHRycsJ01FQU5SJyk=&amp;WINDOW=FIRST_POPUP&amp;HEIGHT=45","0&amp;WIDTH=450&amp;START_MAXIMIZED=FALSE&amp;VAR:CALENDAR=FIVEDAY&amp;VAR:SYMBOL=R.2000&amp;VAR:INDEX=0"}</definedName>
    <definedName name="_95__FDSAUDITLINK__" hidden="1">{"fdsup://directions/FAT Viewer?action=UPDATE&amp;creator=factset&amp;DYN_ARGS=TRUE&amp;DOC_NAME=FAT:FQL_AUDITING_CLIENT_TEMPLATE.FAT&amp;display_string=Audit&amp;VAR:KEY=YHEBOTULUB&amp;VAR:QUERY=Rk1BX0VWQUxfRUJJVERBKCsxLDAsLCwnUE9SVEFHRycsJ01FQU5SJyk=&amp;WINDOW=FIRST_POPUP&amp;HEIGHT=45","0&amp;WIDTH=450&amp;START_MAXIMIZED=FALSE&amp;VAR:CALENDAR=FIVEDAY&amp;VAR:SYMBOL=R.2000&amp;VAR:INDEX=0"}</definedName>
    <definedName name="_96__FDSAUDITLINK__" localSheetId="12" hidden="1">{"fdsup://directions/FAT Viewer?action=UPDATE&amp;creator=factset&amp;DYN_ARGS=TRUE&amp;DOC_NAME=FAT:FQL_AUDITING_CLIENT_TEMPLATE.FAT&amp;display_string=Audit&amp;VAR:KEY=QVKBOZKXAX&amp;VAR:QUERY=Rk1BX0VWQUxfRUJJVERBKCs0LDAsLCwnUE9SVEFHRycsJ01FQU5SJyk=&amp;WINDOW=FIRST_POPUP&amp;HEIGHT=45","0&amp;WIDTH=450&amp;START_MAXIMIZED=FALSE&amp;VAR:CALENDAR=FIVEDAY&amp;VAR:SYMBOL=DJIAK&amp;VAR:INDEX=0"}</definedName>
    <definedName name="_96__FDSAUDITLINK__" hidden="1">{"fdsup://directions/FAT Viewer?action=UPDATE&amp;creator=factset&amp;DYN_ARGS=TRUE&amp;DOC_NAME=FAT:FQL_AUDITING_CLIENT_TEMPLATE.FAT&amp;display_string=Audit&amp;VAR:KEY=QVKBOZKXAX&amp;VAR:QUERY=Rk1BX0VWQUxfRUJJVERBKCs0LDAsLCwnUE9SVEFHRycsJ01FQU5SJyk=&amp;WINDOW=FIRST_POPUP&amp;HEIGHT=45","0&amp;WIDTH=450&amp;START_MAXIMIZED=FALSE&amp;VAR:CALENDAR=FIVEDAY&amp;VAR:SYMBOL=DJIAK&amp;VAR:INDEX=0"}</definedName>
    <definedName name="_97__FDSAUDITLINK__" localSheetId="12" hidden="1">{"fdsup://directions/FAT Viewer?action=UPDATE&amp;creator=factset&amp;DYN_ARGS=TRUE&amp;DOC_NAME=FAT:FQL_AUDITING_CLIENT_TEMPLATE.FAT&amp;display_string=Audit&amp;VAR:KEY=YNGXCREVWP&amp;VAR:QUERY=Rk1BX0VWQUxfRUJJVERBKCszLDAsLCwnUE9SVEFHRycsJ01FQU5SJyk=&amp;WINDOW=FIRST_POPUP&amp;HEIGHT=45","0&amp;WIDTH=450&amp;START_MAXIMIZED=FALSE&amp;VAR:CALENDAR=FIVEDAY&amp;VAR:SYMBOL=DJIAK&amp;VAR:INDEX=0"}</definedName>
    <definedName name="_97__FDSAUDITLINK__" hidden="1">{"fdsup://directions/FAT Viewer?action=UPDATE&amp;creator=factset&amp;DYN_ARGS=TRUE&amp;DOC_NAME=FAT:FQL_AUDITING_CLIENT_TEMPLATE.FAT&amp;display_string=Audit&amp;VAR:KEY=YNGXCREVWP&amp;VAR:QUERY=Rk1BX0VWQUxfRUJJVERBKCszLDAsLCwnUE9SVEFHRycsJ01FQU5SJyk=&amp;WINDOW=FIRST_POPUP&amp;HEIGHT=45","0&amp;WIDTH=450&amp;START_MAXIMIZED=FALSE&amp;VAR:CALENDAR=FIVEDAY&amp;VAR:SYMBOL=DJIAK&amp;VAR:INDEX=0"}</definedName>
    <definedName name="_98__FDSAUDITLINK__" localSheetId="12" hidden="1">{"fdsup://directions/FAT Viewer?action=UPDATE&amp;creator=factset&amp;DYN_ARGS=TRUE&amp;DOC_NAME=FAT:FQL_AUDITING_CLIENT_TEMPLATE.FAT&amp;display_string=Audit&amp;VAR:KEY=ODEBOZIXAR&amp;VAR:QUERY=Rk1BX0VWQUxfRUJJVERBKCsyLDAsLCwnUE9SVEFHRycsJ01FQU5SJyk=&amp;WINDOW=FIRST_POPUP&amp;HEIGHT=45","0&amp;WIDTH=450&amp;START_MAXIMIZED=FALSE&amp;VAR:CALENDAR=FIVEDAY&amp;VAR:SYMBOL=DJIAK&amp;VAR:INDEX=0"}</definedName>
    <definedName name="_98__FDSAUDITLINK__" hidden="1">{"fdsup://directions/FAT Viewer?action=UPDATE&amp;creator=factset&amp;DYN_ARGS=TRUE&amp;DOC_NAME=FAT:FQL_AUDITING_CLIENT_TEMPLATE.FAT&amp;display_string=Audit&amp;VAR:KEY=ODEBOZIXAR&amp;VAR:QUERY=Rk1BX0VWQUxfRUJJVERBKCsyLDAsLCwnUE9SVEFHRycsJ01FQU5SJyk=&amp;WINDOW=FIRST_POPUP&amp;HEIGHT=45","0&amp;WIDTH=450&amp;START_MAXIMIZED=FALSE&amp;VAR:CALENDAR=FIVEDAY&amp;VAR:SYMBOL=DJIAK&amp;VAR:INDEX=0"}</definedName>
    <definedName name="_99__FDSAUDITLINK__" localSheetId="12" hidden="1">{"fdsup://directions/FAT Viewer?action=UPDATE&amp;creator=factset&amp;DYN_ARGS=TRUE&amp;DOC_NAME=FAT:FQL_AUDITING_CLIENT_TEMPLATE.FAT&amp;display_string=Audit&amp;VAR:KEY=ETYXEDATUP&amp;VAR:QUERY=Rk1BX0VWQUxfRUJJVERBKCsxLDAsLCwnUE9SVEFHRycsJ01FQU5SJyk=&amp;WINDOW=FIRST_POPUP&amp;HEIGHT=45","0&amp;WIDTH=450&amp;START_MAXIMIZED=FALSE&amp;VAR:CALENDAR=FIVEDAY&amp;VAR:SYMBOL=DJIAK&amp;VAR:INDEX=0"}</definedName>
    <definedName name="_99__FDSAUDITLINK__" hidden="1">{"fdsup://directions/FAT Viewer?action=UPDATE&amp;creator=factset&amp;DYN_ARGS=TRUE&amp;DOC_NAME=FAT:FQL_AUDITING_CLIENT_TEMPLATE.FAT&amp;display_string=Audit&amp;VAR:KEY=ETYXEDATUP&amp;VAR:QUERY=Rk1BX0VWQUxfRUJJVERBKCsxLDAsLCwnUE9SVEFHRycsJ01FQU5SJyk=&amp;WINDOW=FIRST_POPUP&amp;HEIGHT=45","0&amp;WIDTH=450&amp;START_MAXIMIZED=FALSE&amp;VAR:CALENDAR=FIVEDAY&amp;VAR:SYMBOL=DJIAK&amp;VAR:INDEX=0"}</definedName>
    <definedName name="_age01" localSheetId="2">#REF!</definedName>
    <definedName name="_age02" localSheetId="2">#REF!</definedName>
    <definedName name="_age99" localSheetId="2">#REF!</definedName>
    <definedName name="_art10" localSheetId="2">#REF!</definedName>
    <definedName name="_art2" localSheetId="2">#REF!</definedName>
    <definedName name="_art3" localSheetId="2">#REF!</definedName>
    <definedName name="_art4" localSheetId="2">#REF!</definedName>
    <definedName name="_art5" localSheetId="2">#REF!</definedName>
    <definedName name="_art6" localSheetId="2">#REF!</definedName>
    <definedName name="_art7" localSheetId="2">#REF!</definedName>
    <definedName name="_art9" localSheetId="2">#REF!</definedName>
    <definedName name="_bdm.2AB52F84AD5543969F6373371CAE61B8.edm" hidden="1">#REF!</definedName>
    <definedName name="_bdm.3805246567204471A1B783B7CD5D5075.edm" hidden="1">#REF!</definedName>
    <definedName name="_bdm.8897814CE0AD425EAEF5A18461B21AD2.edm" hidden="1">#REF!</definedName>
    <definedName name="_bdm.B4FB28AAA5D74C7896208F8F1A261F68.edm" hidden="1">#REF!</definedName>
    <definedName name="_bdm.C9C93CB279B64A8CAC44B23B9E17C156.edm" hidden="1">#REF!</definedName>
    <definedName name="_bdm.E9770E17AAE541B2B542BA871758451B.edm" localSheetId="2" hidden="1">#REF!</definedName>
    <definedName name="_bdm.E9770E17AAE541B2B542BA871758451B.edm" hidden="1">#REF!</definedName>
    <definedName name="_Dps2000" localSheetId="2">#REF!</definedName>
    <definedName name="_Dps2001" localSheetId="2">#REF!</definedName>
    <definedName name="_Dps2002" localSheetId="2">#REF!</definedName>
    <definedName name="_Dps2003" localSheetId="2">#REF!</definedName>
    <definedName name="_EPS97" localSheetId="2">#REF!</definedName>
    <definedName name="_EPS98" localSheetId="2">#REF!</definedName>
    <definedName name="_EPS99" localSheetId="2">#REF!</definedName>
    <definedName name="_FCF97" localSheetId="2">#REF!</definedName>
    <definedName name="_FCF98" localSheetId="2">#REF!</definedName>
    <definedName name="_FCF99" localSheetId="2">#REF!</definedName>
    <definedName name="_xlnm._FilterDatabase" hidden="1">#REF!</definedName>
    <definedName name="_fun1" localSheetId="2">#REF!</definedName>
    <definedName name="_fun2" localSheetId="2">#REF!</definedName>
    <definedName name="_fun3" localSheetId="2">#REF!</definedName>
    <definedName name="_fun4" localSheetId="2">#REF!</definedName>
    <definedName name="_fun5" localSheetId="2">#REF!</definedName>
    <definedName name="_fun6" localSheetId="2">#REF!</definedName>
    <definedName name="_fun8" localSheetId="2">#REF!</definedName>
    <definedName name="_fun9" localSheetId="2">#REF!</definedName>
    <definedName name="_g3" localSheetId="2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3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_g4" localSheetId="2" hidden="1">{"Line Efficiency",#N/A,FALSE,"Benchmarking"}</definedName>
    <definedName name="_g4" hidden="1">{"Line Efficiency",#N/A,FALSE,"Benchmarking"}</definedName>
    <definedName name="_g5" localSheetId="2" hidden="1">{"print 1",#N/A,FALSE,"PrimeCo PCS";"print 2",#N/A,FALSE,"PrimeCo PCS";"valuation",#N/A,FALSE,"PrimeCo PCS"}</definedName>
    <definedName name="_g5" hidden="1">{"print 1",#N/A,FALSE,"PrimeCo PCS";"print 2",#N/A,FALSE,"PrimeCo PCS";"valuation",#N/A,FALSE,"PrimeCo PCS"}</definedName>
    <definedName name="_g6" localSheetId="2" hidden="1">{#N/A,#N/A,FALSE,"Spain MKT";#N/A,#N/A,FALSE,"Assumptions";#N/A,#N/A,FALSE,"Adve";#N/A,#N/A,FALSE,"E-Commerce";#N/A,#N/A,FALSE,"Opex";#N/A,#N/A,FALSE,"P&amp;L";#N/A,#N/A,FALSE,"FCF &amp; DCF"}</definedName>
    <definedName name="_g6" hidden="1">{#N/A,#N/A,FALSE,"Spain MKT";#N/A,#N/A,FALSE,"Assumptions";#N/A,#N/A,FALSE,"Adve";#N/A,#N/A,FALSE,"E-Commerce";#N/A,#N/A,FALSE,"Opex";#N/A,#N/A,FALSE,"P&amp;L";#N/A,#N/A,FALSE,"FCF &amp; DCF"}</definedName>
    <definedName name="_g7" localSheetId="2" hidden="1">{"Tarifica91",#N/A,FALSE,"Tariffs";"Tarifica92",#N/A,FALSE,"Tariffs";"Tarifica93",#N/A,FALSE,"Tariffs";"Tarifica94",#N/A,FALSE,"Tariffs";"Tarifica95",#N/A,FALSE,"Tariffs";"Tarifica96",#N/A,FALSE,"Tariffs"}</definedName>
    <definedName name="_g7" hidden="1">{"Tarifica91",#N/A,FALSE,"Tariffs";"Tarifica92",#N/A,FALSE,"Tariffs";"Tarifica93",#N/A,FALSE,"Tariffs";"Tarifica94",#N/A,FALSE,"Tariffs";"Tarifica95",#N/A,FALSE,"Tariffs";"Tarifica96",#N/A,FALSE,"Tariffs"}</definedName>
    <definedName name="_g8" localSheetId="2" hidden="1">{"Tariff Comparison",#N/A,FALSE,"Benchmarking";"Tariff Comparison 2",#N/A,FALSE,"Benchmarking";"Tariff Comparison 3",#N/A,FALSE,"Benchmarking"}</definedName>
    <definedName name="_g8" hidden="1">{"Tariff Comparison",#N/A,FALSE,"Benchmarking";"Tariff Comparison 2",#N/A,FALSE,"Benchmarking";"Tariff Comparison 3",#N/A,FALSE,"Benchmarking"}</definedName>
    <definedName name="_Key1" hidden="1">#REF!</definedName>
    <definedName name="_Key1b" hidden="1">#REF!</definedName>
    <definedName name="_Key2" hidden="1">#REF!</definedName>
    <definedName name="_OPM97" localSheetId="2">#REF!</definedName>
    <definedName name="_OPM98" localSheetId="2">#REF!</definedName>
    <definedName name="_OPM99" localSheetId="2">#REF!</definedName>
    <definedName name="_Order1" localSheetId="2">0</definedName>
    <definedName name="_Order1" hidden="1">255</definedName>
    <definedName name="_Order2" hidden="1">0</definedName>
    <definedName name="_Parse_Out" hidden="1">#REF!</definedName>
    <definedName name="_PL1" localSheetId="2">#REF!</definedName>
    <definedName name="_pri93" localSheetId="2">#REF!</definedName>
    <definedName name="_pri94" localSheetId="2">#REF!</definedName>
    <definedName name="_pri95" localSheetId="2">#REF!</definedName>
    <definedName name="_pri96" localSheetId="2">#REF!</definedName>
    <definedName name="_pri97" localSheetId="2">#REF!</definedName>
    <definedName name="_Rf" localSheetId="2">#REF!</definedName>
    <definedName name="_Sort" hidden="1">#REF!</definedName>
    <definedName name="_Sortb" hidden="1">#REF!</definedName>
    <definedName name="_sqm90" localSheetId="2">#REF!</definedName>
    <definedName name="_sqm91" localSheetId="2">#REF!</definedName>
    <definedName name="_sqm92" localSheetId="2">#REF!</definedName>
    <definedName name="_sqm93" localSheetId="2">#REF!</definedName>
    <definedName name="_sqm94" localSheetId="2">#REF!</definedName>
    <definedName name="_sqm95" localSheetId="2">#REF!</definedName>
    <definedName name="_sqm96" localSheetId="2">#REF!</definedName>
    <definedName name="_sqm97" localSheetId="2">#REF!</definedName>
    <definedName name="_sqm98" localSheetId="2">#REF!</definedName>
    <definedName name="_sqm99" localSheetId="2">#REF!</definedName>
    <definedName name="_Table2_Out" localSheetId="2" hidden="1">#REF!</definedName>
    <definedName name="_Table2_Out" localSheetId="5" hidden="1">#REF!</definedName>
    <definedName name="_Table2_Out" hidden="1">#REF!</definedName>
    <definedName name="_TEV97" localSheetId="2">#REF!</definedName>
    <definedName name="_TEV98" localSheetId="2">#REF!</definedName>
    <definedName name="_TEV99" localSheetId="2">#REF!</definedName>
    <definedName name="_vol93" localSheetId="2">#REF!</definedName>
    <definedName name="_vol94" localSheetId="2">#REF!</definedName>
    <definedName name="_vol95" localSheetId="2">#REF!</definedName>
    <definedName name="_vol96" localSheetId="2">#REF!</definedName>
    <definedName name="_vol97" localSheetId="2">#REF!</definedName>
    <definedName name="a" localSheetId="2">#REF!</definedName>
    <definedName name="A_3" localSheetId="2">#REF!</definedName>
    <definedName name="a_4" localSheetId="2">#REF!</definedName>
    <definedName name="A_ALL_KEYWORDS_TYPE_ScalarContributed_EQTY_200014189" localSheetId="2">#REF!,#REF!,#REF!,#REF!,#REF!,#REF!,#REF!</definedName>
    <definedName name="A_ALL_KEYWORDS_TYPE_ScalarContributed_EQTY_200018121">#REF!,#REF!,#REF!,#REF!</definedName>
    <definedName name="A_ALL_KEYWORDS_TYPE_ScalarContributed_EQTY_200019464">#REF!,#REF!,#REF!,#REF!,#REF!,#REF!,#REF!</definedName>
    <definedName name="A_ALL_KEYWORDS_TYPE_ScalarContributed_EQTY_200019510">#REF!,#REF!,#REF!,#REF!,#REF!,#REF!,#REF!,#REF!</definedName>
    <definedName name="A_ALL_KEYWORDS_TYPE_ScalarContributed_EQTY_200021129">#REF!,#REF!,#REF!,#REF!,#REF!</definedName>
    <definedName name="A_ALL_KEYWORDS_TYPE_ScalarContributed_ISSR_208010870" localSheetId="2">#REF!,#REF!</definedName>
    <definedName name="A_ALL_KEYWORDS_TYPE_ScalarContributed_ISSR_208017931">#REF!,#REF!,#REF!</definedName>
    <definedName name="A_ALL_KEYWORDS_TYPE_ScalarContributed_ISSR_208017988">#REF!,#REF!,#REF!</definedName>
    <definedName name="A_ALL_KEYWORDS_TYPE_ScalarContributed_ISSR_208020452">#REF!,#REF!,#REF!</definedName>
    <definedName name="A_ALL_KEYWORDS_TYPE_Vector_EQTY_200014189" localSheetId="2">#REF!,#REF!,#REF!,#REF!,#REF!,#REF!,#REF!,#REF!,#REF!,#REF!,#REF!,#REF!,#REF!</definedName>
    <definedName name="A_ALL_KEYWORDS_TYPE_Vector_EQTY_200019464">#REF!,#REF!,#REF!,#REF!,#REF!,#REF!,#REF!,#REF!,#REF!,#REF!,#REF!,#REF!,#REF!</definedName>
    <definedName name="A_ALL_KEYWORDS_TYPE_Vector_EQTY_200019510">#REF!,#REF!,#REF!,#REF!,#REF!,#REF!,#REF!,#REF!,#REF!,#REF!,#REF!,#REF!,#REF!</definedName>
    <definedName name="A_ALL_KEYWORDS_TYPE_Vector_ISSR_208010870" localSheetId="2">#REF!,#REF!,#REF!,#REF!,#REF!,#REF!,#REF!,#REF!,#REF!,#REF!,#REF!,#REF!,#REF!,#REF!</definedName>
    <definedName name="A_ALL_KEYWORDS_TYPE_Vector_ISSR_208015408">#REF!,#REF!,#REF!,#REF!,#REF!,#REF!,#REF!,#REF!,#REF!,#REF!,#REF!,#REF!</definedName>
    <definedName name="A_ALL_KEYWORDS_TYPE_Vector_ISSR_208017931">#REF!,#REF!,#REF!,#REF!,#REF!,#REF!,#REF!,#REF!,#REF!,#REF!,#REF!,#REF!,#REF!,#REF!,#REF!,#REF!,#REF!,#REF!</definedName>
    <definedName name="A_ALL_KEYWORDS_TYPE_Vector_ISSR_208020452">#REF!,#REF!,#REF!,#REF!,#REF!,#REF!,#REF!,#REF!,#REF!,#REF!,#REF!,#REF!,#REF!</definedName>
    <definedName name="A_ALL_SECTION_KEYWORDS_EQTY_200019510_13A">#REF!</definedName>
    <definedName name="A_ALL_SECTION_KEYWORDS_EQTY_200019510_13K">#REF!</definedName>
    <definedName name="A_ALL_SECTION_KEYWORDS_ISSR_208010870_136E" localSheetId="2">#REF!,#REF!</definedName>
    <definedName name="A_ALL_SECTION_KEYWORDS_ISSR_208010870_13A" localSheetId="2">#REF!,#REF!</definedName>
    <definedName name="A_ALL_SECTION_KEYWORDS_ISSR_208015408_13168">#REF!,#REF!</definedName>
    <definedName name="A_ALL_SECTION_KEYWORDS_ISSR_208015408_131O">#REF!,#REF!</definedName>
    <definedName name="A_ALL_SECTION_KEYWORDS_ISSR_208015408_136E">#REF!,#REF!</definedName>
    <definedName name="A_ALL_SECTION_KEYWORDS_ISSR_208015408_136J">#REF!,#REF!</definedName>
    <definedName name="A_ALL_SECTION_KEYWORDS_ISSR_208015408_13V">#REF!,#REF!</definedName>
    <definedName name="A_ALL_SECTION_KEYWORDS_ISSR_208017931_13V">#REF!,#REF!</definedName>
    <definedName name="A_ALL_SECTION_KEYWORDS_ISSR_208017988_1314">#REF!</definedName>
    <definedName name="A_ALL_SECTION_KEYWORDS_ISSR_208017988_1319">#REF!</definedName>
    <definedName name="A_ALL_SECTION_KEYWORDS_ISSR_208017988_131E">#REF!</definedName>
    <definedName name="A_ALL_SECTION_KEYWORDS_ISSR_208017988_13V">#REF!,#REF!</definedName>
    <definedName name="A_ALL_SECTION_KEYWORDS_ISSR_208020452_131O">#REF!,#REF!</definedName>
    <definedName name="A_ALL_SECTION_KEYWORDS_ISSR_208020452_13V">#REF!,#REF!</definedName>
    <definedName name="A_ALL_SECTIONS_EQTY_200014189" localSheetId="2">#REF!,#REF!,#REF!,#REF!,#REF!,#REF!,#REF!,#REF!,#REF!,#REF!,#REF!,#REF!,#REF!</definedName>
    <definedName name="A_ALL_WTC.AX">#REF!</definedName>
    <definedName name="A_ALL_ZUO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ssas" localSheetId="2" hidden="1">{"PR1","pr1",TRUE,"Sch PR-1"}</definedName>
    <definedName name="aassas" localSheetId="12" hidden="1">{"PR1","pr1",TRUE,"Sch PR-1"}</definedName>
    <definedName name="aassas" localSheetId="7" hidden="1">{"PR1","pr1",TRUE,"Sch PR-1"}</definedName>
    <definedName name="aassas" hidden="1">{"PR1","pr1",TRUE,"Sch PR-1"}</definedName>
    <definedName name="abc" localSheetId="2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abc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Abnormal_items_after_tax" localSheetId="2">#REF!</definedName>
    <definedName name="Abnormal_items_after_tax">MODEL!$41:$41</definedName>
    <definedName name="Accounts_payable" localSheetId="2">#REF!</definedName>
    <definedName name="Accrued_Expenditure" localSheetId="2">#REF!</definedName>
    <definedName name="Accumulated_amortisation_goodwill" localSheetId="2">#REF!</definedName>
    <definedName name="Accumulated_amortisation_goodwill">MODEL!$160:$160</definedName>
    <definedName name="Accumulated_amortisation_other" localSheetId="2">#REF!</definedName>
    <definedName name="Accumulated_amortisation_other">MODEL!$163:$163</definedName>
    <definedName name="Accumulated_depreciation_ppe" localSheetId="2">#REF!</definedName>
    <definedName name="Accumulated_depreciation_ppe">MODEL!$156:$156</definedName>
    <definedName name="Acquisition_divestments" localSheetId="2">#REF!</definedName>
    <definedName name="Acquisitions" localSheetId="2">#REF!</definedName>
    <definedName name="Acquisitions">MODEL!$96:$96</definedName>
    <definedName name="Acquisitions_equity" localSheetId="2">#REF!</definedName>
    <definedName name="Acquisitions_equity">MODEL!$95:$95</definedName>
    <definedName name="Acquisitions_op_bus" localSheetId="2">#REF!</definedName>
    <definedName name="Acquisitions_op_bus">MODEL!$94:$94</definedName>
    <definedName name="Actual_Forecast" localSheetId="2">#REF!</definedName>
    <definedName name="adasdasdasdasd" localSheetId="2" hidden="1">{"PR1","pr1",TRUE,"Sch PR-1"}</definedName>
    <definedName name="adasdasdasdasd" localSheetId="12" hidden="1">{"PR1","pr1",TRUE,"Sch PR-1"}</definedName>
    <definedName name="adasdasdasdasd" localSheetId="7" hidden="1">{"PR1","pr1",TRUE,"Sch PR-1"}</definedName>
    <definedName name="adasdasdasdasd" hidden="1">{"PR1","pr1",TRUE,"Sch PR-1"}</definedName>
    <definedName name="Adj_net_oper_fore" localSheetId="2">#REF!</definedName>
    <definedName name="Adjusted_Net_Operating_Profit" localSheetId="2">#REF!</definedName>
    <definedName name="AG_ESTSPOT" localSheetId="2">#REF!</definedName>
    <definedName name="AG_ESTSPOT_L" localSheetId="2">#REF!</definedName>
    <definedName name="age00" localSheetId="2">#REF!</definedName>
    <definedName name="ALL" localSheetId="2">#REF!</definedName>
    <definedName name="Alstom" localSheetId="2">#REF!</definedName>
    <definedName name="AMITA" localSheetId="2">#REF!</definedName>
    <definedName name="Amortisation" localSheetId="2">#REF!</definedName>
    <definedName name="Amortisation">MODEL!$28:$28</definedName>
    <definedName name="AMZNEPS1" localSheetId="2">#REF!</definedName>
    <definedName name="AMZNEPS2" localSheetId="2">#REF!</definedName>
    <definedName name="AMZNRating" localSheetId="2">#REF!</definedName>
    <definedName name="AMZNTargetPrice" localSheetId="2">#REF!</definedName>
    <definedName name="Analyst" localSheetId="2">#REF!</definedName>
    <definedName name="ANN_NAME" localSheetId="2">#REF!</definedName>
    <definedName name="ANNREV" localSheetId="2">#REF!</definedName>
    <definedName name="annual" localSheetId="2">#REF!</definedName>
    <definedName name="ANNUALPL" localSheetId="2">#REF!</definedName>
    <definedName name="anscount" hidden="1">1</definedName>
    <definedName name="appCompanyCapE" localSheetId="2">#REF!</definedName>
    <definedName name="appDescriptionCapE" localSheetId="2">#REF!</definedName>
    <definedName name="appDevelopersCapE" localSheetId="2">#REF!</definedName>
    <definedName name="appTitleCapE" localSheetId="2">#REF!</definedName>
    <definedName name="appVersionCapE" localSheetId="2">#REF!</definedName>
    <definedName name="AS2DocOpenMode" hidden="1">"AS2DocumentEdit"</definedName>
    <definedName name="asasasasas" localSheetId="2" hidden="1">{"PR1","pr1",TRUE,"Sch PR-1"}</definedName>
    <definedName name="asasasasas" localSheetId="12" hidden="1">{"PR1","pr1",TRUE,"Sch PR-1"}</definedName>
    <definedName name="asasasasas" localSheetId="7" hidden="1">{"PR1","pr1",TRUE,"Sch PR-1"}</definedName>
    <definedName name="asasasasas" hidden="1">{"PR1","pr1",TRUE,"Sch PR-1"}</definedName>
    <definedName name="asd" hidden="1">#REF!</definedName>
    <definedName name="asdasd" localSheetId="2">Sheet1</definedName>
    <definedName name="Asia" localSheetId="2">#REF!</definedName>
    <definedName name="Asia_w" localSheetId="2">#REF!</definedName>
    <definedName name="assasdafsda" localSheetId="2" hidden="1">{"PR1","pr1",TRUE,"Sch PR-1"}</definedName>
    <definedName name="assasdafsda" localSheetId="12" hidden="1">{"PR1","pr1",TRUE,"Sch PR-1"}</definedName>
    <definedName name="assasdafsda" localSheetId="7" hidden="1">{"PR1","pr1",TRUE,"Sch PR-1"}</definedName>
    <definedName name="assasdafsda" hidden="1">{"PR1","pr1",TRUE,"Sch PR-1"}</definedName>
    <definedName name="Asset_sales" localSheetId="2">#REF!</definedName>
    <definedName name="Asset_sales">MODEL!$100:$100</definedName>
    <definedName name="Asset_sales_equity" localSheetId="2">#REF!</definedName>
    <definedName name="Asset_sales_equity">MODEL!$99:$99</definedName>
    <definedName name="Asset_sales_op_bus" localSheetId="2">#REF!</definedName>
    <definedName name="Asset_sales_op_bus">MODEL!$98:$98</definedName>
    <definedName name="Asset_sales_ppe" localSheetId="2">#REF!</definedName>
    <definedName name="Asset_sales_ppe">MODEL!$97:$97</definedName>
    <definedName name="Asset_sales_profit" localSheetId="2">#REF!</definedName>
    <definedName name="ASSOC" localSheetId="2">#REF!</definedName>
    <definedName name="ASSOCA" localSheetId="2">#REF!</definedName>
    <definedName name="Associated_income" localSheetId="2">#REF!</definedName>
    <definedName name="Associates" localSheetId="2">#REF!</definedName>
    <definedName name="Atlas" localSheetId="2">#REF!</definedName>
    <definedName name="ATVIEPS1" localSheetId="2">#REF!</definedName>
    <definedName name="ATVIEPS2" localSheetId="2">#REF!</definedName>
    <definedName name="ATVIRating" localSheetId="2">#REF!</definedName>
    <definedName name="ATVITargetPrice" localSheetId="2">#REF!</definedName>
    <definedName name="AU_ESTSPOT" localSheetId="2">#REF!</definedName>
    <definedName name="AU_ESTSPOT_L" localSheetId="2">#REF!</definedName>
    <definedName name="Aust_Risk_Free" localSheetId="2">#REF!</definedName>
    <definedName name="Aux_Data" localSheetId="2">#REF!</definedName>
    <definedName name="av_00" localSheetId="2">#REF!</definedName>
    <definedName name="av_01" localSheetId="2">#REF!</definedName>
    <definedName name="av_02" localSheetId="2">#REF!</definedName>
    <definedName name="av_99" localSheetId="2">#REF!</definedName>
    <definedName name="av_s00" localSheetId="2">#REF!</definedName>
    <definedName name="av_s01" localSheetId="2">#REF!</definedName>
    <definedName name="av_s02" localSheetId="2">#REF!</definedName>
    <definedName name="av_s99" localSheetId="2">#REF!</definedName>
    <definedName name="Average_invested_capital" localSheetId="2">#REF!</definedName>
    <definedName name="Average_invested_capital_DCF" localSheetId="2">#REF!</definedName>
    <definedName name="Average_net_debt">MODEL!$128:$128</definedName>
    <definedName name="b" localSheetId="2" hidden="1">{"IS",#N/A,FALSE,"IS";"RPTIS",#N/A,FALSE,"RPTIS";"STATS",#N/A,FALSE,"STATS";"CELL",#N/A,FALSE,"CELL";"BS",#N/A,FALSE,"BS"}</definedName>
    <definedName name="b" localSheetId="12" hidden="1">{"IS",#N/A,FALSE,"IS";"RPTIS",#N/A,FALSE,"RPTIS";"STATS",#N/A,FALSE,"STATS";"CELL",#N/A,FALSE,"CELL";"BS",#N/A,FALSE,"BS"}</definedName>
    <definedName name="b" localSheetId="7" hidden="1">{"IS",#N/A,FALSE,"IS";"RPTIS",#N/A,FALSE,"RPTIS";"STATS",#N/A,FALSE,"STATS";"CELL",#N/A,FALSE,"CELL";"BS",#N/A,FALSE,"BS"}</definedName>
    <definedName name="b" localSheetId="5" hidden="1">{"IS",#N/A,FALSE,"IS";"RPTIS",#N/A,FALSE,"RPTIS";"STATS",#N/A,FALSE,"STATS";"CELL",#N/A,FALSE,"CELL";"BS",#N/A,FALSE,"BS"}</definedName>
    <definedName name="b" hidden="1">{"IS",#N/A,FALSE,"IS";"RPTIS",#N/A,FALSE,"RPTIS";"STATS",#N/A,FALSE,"STATS";"CELL",#N/A,FALSE,"CELL";"BS",#N/A,FALSE,"BS"}</definedName>
    <definedName name="ba" localSheetId="2" hidden="1">{"IS",#N/A,FALSE,"IS";"RPTIS",#N/A,FALSE,"RPTIS";"STATS",#N/A,FALSE,"STATS";"CELL",#N/A,FALSE,"CELL";"BS",#N/A,FALSE,"BS"}</definedName>
    <definedName name="ba" localSheetId="12" hidden="1">{"IS",#N/A,FALSE,"IS";"RPTIS",#N/A,FALSE,"RPTIS";"STATS",#N/A,FALSE,"STATS";"CELL",#N/A,FALSE,"CELL";"BS",#N/A,FALSE,"BS"}</definedName>
    <definedName name="ba" localSheetId="7" hidden="1">{"IS",#N/A,FALSE,"IS";"RPTIS",#N/A,FALSE,"RPTIS";"STATS",#N/A,FALSE,"STATS";"CELL",#N/A,FALSE,"CELL";"BS",#N/A,FALSE,"BS"}</definedName>
    <definedName name="ba" hidden="1">{"IS",#N/A,FALSE,"IS";"RPTIS",#N/A,FALSE,"RPTIS";"STATS",#N/A,FALSE,"STATS";"CELL",#N/A,FALSE,"CELL";"BS",#N/A,FALSE,"BS"}</definedName>
    <definedName name="BAL86_87" localSheetId="2">#REF!</definedName>
    <definedName name="BAL88_89" localSheetId="2">#REF!</definedName>
    <definedName name="BAL89_90" localSheetId="2">#REF!</definedName>
    <definedName name="BAL90_91" localSheetId="2">#REF!</definedName>
    <definedName name="BALANCEA" localSheetId="2">#REF!</definedName>
    <definedName name="BALFULL" localSheetId="2">#REF!</definedName>
    <definedName name="BALNAME" localSheetId="2">#REF!</definedName>
    <definedName name="Bank_Indebtedness" localSheetId="2">#REF!</definedName>
    <definedName name="baseyear" localSheetId="2">#REF!</definedName>
    <definedName name="BBA" localSheetId="2">#REF!</definedName>
    <definedName name="belnew" localSheetId="2" hidden="1">{"IS",#N/A,FALSE,"IS";"RPTIS",#N/A,FALSE,"RPTIS";"STATS",#N/A,FALSE,"STATS";"CELL",#N/A,FALSE,"CELL";"BS",#N/A,FALSE,"BS"}</definedName>
    <definedName name="belnew" localSheetId="12" hidden="1">{"IS",#N/A,FALSE,"IS";"RPTIS",#N/A,FALSE,"RPTIS";"STATS",#N/A,FALSE,"STATS";"CELL",#N/A,FALSE,"CELL";"BS",#N/A,FALSE,"BS"}</definedName>
    <definedName name="belnew" localSheetId="7" hidden="1">{"IS",#N/A,FALSE,"IS";"RPTIS",#N/A,FALSE,"RPTIS";"STATS",#N/A,FALSE,"STATS";"CELL",#N/A,FALSE,"CELL";"BS",#N/A,FALSE,"BS"}</definedName>
    <definedName name="belnew" localSheetId="5" hidden="1">{"IS",#N/A,FALSE,"IS";"RPTIS",#N/A,FALSE,"RPTIS";"STATS",#N/A,FALSE,"STATS";"CELL",#N/A,FALSE,"CELL";"BS",#N/A,FALSE,"BS"}</definedName>
    <definedName name="belnew" hidden="1">{"IS",#N/A,FALSE,"IS";"RPTIS",#N/A,FALSE,"RPTIS";"STATS",#N/A,FALSE,"STATS";"CELL",#N/A,FALSE,"CELL";"BS",#N/A,FALSE,"BS"}</definedName>
    <definedName name="BETA" localSheetId="2">#REF!</definedName>
    <definedName name="BeyondFCF" localSheetId="2">DCF!#REF!</definedName>
    <definedName name="BLA" localSheetId="2">#REF!</definedName>
    <definedName name="BLPH1" hidden="1">#REF!</definedName>
    <definedName name="BLPH10" hidden="1">#REF!</definedName>
    <definedName name="BLPH2" hidden="1">#REF!</definedName>
    <definedName name="BLPH3" localSheetId="2" hidden="1">#REF!</definedName>
    <definedName name="BLPH3" hidden="1">#REF!</definedName>
    <definedName name="BLPH4" localSheetId="2" hidden="1">#REF!</definedName>
    <definedName name="BLPH4" hidden="1">#REF!</definedName>
    <definedName name="BLPH5" hidden="1">#REF!</definedName>
    <definedName name="BLPH6" hidden="1">#REF!</definedName>
    <definedName name="BLPH7" hidden="1">#REF!</definedName>
    <definedName name="BLPH77" hidden="1">#REF!</definedName>
    <definedName name="BLPH78" hidden="1">#REF!</definedName>
    <definedName name="BLPH79" hidden="1">#REF!</definedName>
    <definedName name="BLPH8" hidden="1">#REF!</definedName>
    <definedName name="BLPH80" hidden="1">#REF!</definedName>
    <definedName name="BLPH81" hidden="1">#REF!</definedName>
    <definedName name="BLPH82" hidden="1">#REF!</definedName>
    <definedName name="BLPH83" hidden="1">#REF!</definedName>
    <definedName name="BLPH84" hidden="1">#REF!</definedName>
    <definedName name="BLPH85" hidden="1">#REF!</definedName>
    <definedName name="BLPH86" hidden="1">#REF!</definedName>
    <definedName name="BLPH87" hidden="1">#REF!</definedName>
    <definedName name="BLPH88" hidden="1">#REF!</definedName>
    <definedName name="BLPH89" hidden="1">#REF!</definedName>
    <definedName name="BLPH9" hidden="1">#REF!</definedName>
    <definedName name="BLPH90" hidden="1">#REF!</definedName>
    <definedName name="BLPH91" hidden="1">#REF!</definedName>
    <definedName name="BLQ" localSheetId="2">#REF!</definedName>
    <definedName name="Borrowings_incurred" localSheetId="2">#REF!</definedName>
    <definedName name="Borrowings_incurred">MODEL!$108:$108</definedName>
    <definedName name="BottomRightCorner" localSheetId="2">#REF!</definedName>
    <definedName name="bowbow" localSheetId="2" hidden="1">{"AT","COMPANIES",TRUE}</definedName>
    <definedName name="bowbow" localSheetId="12" hidden="1">{"AT","COMPANIES",TRUE}</definedName>
    <definedName name="bowbow" localSheetId="7" hidden="1">{"AT","COMPANIES",TRUE}</definedName>
    <definedName name="bowbow" hidden="1">{"AT","COMPANIES",TRUE}</definedName>
    <definedName name="BrPt1" localSheetId="2">#REF!</definedName>
    <definedName name="BrPt2" localSheetId="2">#REF!</definedName>
    <definedName name="BrPt3" localSheetId="2">#REF!</definedName>
    <definedName name="BrPt4" localSheetId="2">#REF!</definedName>
    <definedName name="BrPt5" localSheetId="2">#REF!</definedName>
    <definedName name="bs" localSheetId="2">#REF!</definedName>
    <definedName name="BS_AA" localSheetId="2">#REF!</definedName>
    <definedName name="BS_AD" localSheetId="2">#REF!</definedName>
    <definedName name="BS_AT" localSheetId="2">#REF!</definedName>
    <definedName name="BS_AT_OT" localSheetId="2">#REF!</definedName>
    <definedName name="BS_CA" localSheetId="2">#REF!</definedName>
    <definedName name="BS_CA_CS" localSheetId="2">#REF!</definedName>
    <definedName name="BS_CA_EC" localSheetId="2">#REF!</definedName>
    <definedName name="BS_CA_OD" localSheetId="2">#REF!</definedName>
    <definedName name="BS_CA_OT" localSheetId="2">#REF!</definedName>
    <definedName name="BS_CA_PP" localSheetId="2">#REF!</definedName>
    <definedName name="BS_CA_SK" localSheetId="2">#REF!</definedName>
    <definedName name="BS_CA_TD" localSheetId="2">#REF!</definedName>
    <definedName name="BS_CC" localSheetId="2">#REF!</definedName>
    <definedName name="BS_CC_CC" localSheetId="2">#REF!</definedName>
    <definedName name="BS_CC_FL" localSheetId="2">#REF!</definedName>
    <definedName name="BS_CC_OL" localSheetId="2">#REF!</definedName>
    <definedName name="BS_CE" localSheetId="2">#REF!</definedName>
    <definedName name="BS_CL" localSheetId="2">#REF!</definedName>
    <definedName name="BS_CL_DD" localSheetId="2">#REF!</definedName>
    <definedName name="BS_CL_OC" localSheetId="2">#REF!</definedName>
    <definedName name="BS_CL_RD" localSheetId="2">#REF!</definedName>
    <definedName name="BS_CL_ST" localSheetId="2">#REF!</definedName>
    <definedName name="BS_CL_TC" localSheetId="2">#REF!</definedName>
    <definedName name="BS_CL_TD" localSheetId="2">#REF!</definedName>
    <definedName name="BS_DL" localSheetId="2">#REF!</definedName>
    <definedName name="BS_DL_LO" localSheetId="2">#REF!</definedName>
    <definedName name="BS_DL_LT" localSheetId="2">#REF!</definedName>
    <definedName name="BS_DL_OT" localSheetId="2">#REF!</definedName>
    <definedName name="BS_DL_PN" localSheetId="2">#REF!</definedName>
    <definedName name="BS_DL_PV" localSheetId="2">#REF!</definedName>
    <definedName name="BS_FA" localSheetId="2">#REF!</definedName>
    <definedName name="BS_FI_AS" localSheetId="2">#REF!</definedName>
    <definedName name="BS_FI_AT" localSheetId="2">#REF!</definedName>
    <definedName name="BS_FI_LT" localSheetId="2">#REF!</definedName>
    <definedName name="BS_GA" localSheetId="2">#REF!</definedName>
    <definedName name="BS_GD" localSheetId="2">#REF!</definedName>
    <definedName name="BS_GW_WO" localSheetId="2">#REF!</definedName>
    <definedName name="BS_IT_FA" localSheetId="2">#REF!</definedName>
    <definedName name="BS_IT_GW" localSheetId="2">#REF!</definedName>
    <definedName name="BS_IT_OI" localSheetId="2">#REF!</definedName>
    <definedName name="BS_IT_PL" localSheetId="2">#REF!</definedName>
    <definedName name="BS_LI" localSheetId="2">#REF!</definedName>
    <definedName name="BS_LI_OT" localSheetId="2">#REF!</definedName>
    <definedName name="BS_MI" localSheetId="2">#REF!</definedName>
    <definedName name="BS_NA" localSheetId="2">#REF!</definedName>
    <definedName name="BS_SF" localSheetId="2">#REF!</definedName>
    <definedName name="BS_SF_MI" localSheetId="2">#REF!</definedName>
    <definedName name="BS_SF_OS" localSheetId="2">#REF!</definedName>
    <definedName name="BS_SF_PS" localSheetId="2">#REF!</definedName>
    <definedName name="BS_SF_RS" localSheetId="2">#REF!</definedName>
    <definedName name="BS_TA_FA" localSheetId="2">#REF!</definedName>
    <definedName name="BS_TA_OT" localSheetId="2">#REF!</definedName>
    <definedName name="BS_TA_PE" localSheetId="2">#REF!</definedName>
    <definedName name="BS_TA_PTY" localSheetId="2">#REF!</definedName>
    <definedName name="BS_TL_SF_MI" localSheetId="2">#REF!</definedName>
    <definedName name="BSB_PV_ADV" localSheetId="2">#REF!</definedName>
    <definedName name="BSB_PV_YR" localSheetId="2">#REF!</definedName>
    <definedName name="BSH" localSheetId="2">#REF!</definedName>
    <definedName name="BSH_Primary" localSheetId="2">#REF!</definedName>
    <definedName name="BSI_AS_RAT" localSheetId="2">#REF!</definedName>
    <definedName name="BSMinorities" localSheetId="2">#REF!</definedName>
    <definedName name="ca_00" localSheetId="2">#REF!</definedName>
    <definedName name="ca_01" localSheetId="2">#REF!</definedName>
    <definedName name="ca_02" localSheetId="2">#REF!</definedName>
    <definedName name="ca_99" localSheetId="2">#REF!</definedName>
    <definedName name="cagnew" localSheetId="2" hidden="1">{"IS",#N/A,FALSE,"IS";"RPTIS",#N/A,FALSE,"RPTIS";"STATS",#N/A,FALSE,"STATS";"CELL",#N/A,FALSE,"CELL";"BS",#N/A,FALSE,"BS"}</definedName>
    <definedName name="cagnew" localSheetId="12" hidden="1">{"IS",#N/A,FALSE,"IS";"RPTIS",#N/A,FALSE,"RPTIS";"STATS",#N/A,FALSE,"STATS";"CELL",#N/A,FALSE,"CELL";"BS",#N/A,FALSE,"BS"}</definedName>
    <definedName name="cagnew" localSheetId="7" hidden="1">{"IS",#N/A,FALSE,"IS";"RPTIS",#N/A,FALSE,"RPTIS";"STATS",#N/A,FALSE,"STATS";"CELL",#N/A,FALSE,"CELL";"BS",#N/A,FALSE,"BS"}</definedName>
    <definedName name="cagnew" hidden="1">{"IS",#N/A,FALSE,"IS";"RPTIS",#N/A,FALSE,"RPTIS";"STATS",#N/A,FALSE,"STATS";"CELL",#N/A,FALSE,"CELL";"BS",#N/A,FALSE,"BS"}</definedName>
    <definedName name="cal94_eps" localSheetId="2">#REF!</definedName>
    <definedName name="Calendar" localSheetId="2">#REF!,#REF!</definedName>
    <definedName name="CAPEX" localSheetId="2">#REF!</definedName>
    <definedName name="CAPEX__Financial" localSheetId="2">#REF!</definedName>
    <definedName name="CAPEX__Intangibles" localSheetId="2">#REF!</definedName>
    <definedName name="capex_00" localSheetId="2">#REF!</definedName>
    <definedName name="capex_01" localSheetId="2">#REF!</definedName>
    <definedName name="capex_02" localSheetId="2">#REF!</definedName>
    <definedName name="capex_99" localSheetId="2">#REF!</definedName>
    <definedName name="capex_s00" localSheetId="2">#REF!</definedName>
    <definedName name="capex_s01" localSheetId="2">#REF!</definedName>
    <definedName name="capex_s02" localSheetId="2">#REF!</definedName>
    <definedName name="capex_s99" localSheetId="2">#REF!</definedName>
    <definedName name="Capital_gains" localSheetId="2">#REF!</definedName>
    <definedName name="Capital_spending" localSheetId="2">#REF!</definedName>
    <definedName name="CAPX00" localSheetId="2">#REF!</definedName>
    <definedName name="CAPX97" localSheetId="2">#REF!</definedName>
    <definedName name="CAPX98" localSheetId="2">#REF!</definedName>
    <definedName name="CAPX99" localSheetId="2">#REF!</definedName>
    <definedName name="Cash" localSheetId="2">#REF!</definedName>
    <definedName name="Cash">MODEL!$144:$144</definedName>
    <definedName name="Cash___Liquid_assets" localSheetId="2">#REF!</definedName>
    <definedName name="Cash_DCF" localSheetId="2">#REF!</definedName>
    <definedName name="CASH_FLOW_ANALYSIS" localSheetId="2">#REF!</definedName>
    <definedName name="Cash_fore" localSheetId="2">#REF!</definedName>
    <definedName name="Cash_Operating_Taxes" localSheetId="2">#REF!</definedName>
    <definedName name="Cash_operating_taxes_fore" localSheetId="2">#REF!</definedName>
    <definedName name="CASH2_90" localSheetId="2">#REF!</definedName>
    <definedName name="CASH86_87" localSheetId="2">#REF!</definedName>
    <definedName name="CASH88_89" localSheetId="2">#REF!</definedName>
    <definedName name="CASH90_91" localSheetId="2">#REF!</definedName>
    <definedName name="CASHANNU" localSheetId="2">#REF!</definedName>
    <definedName name="cashflow1" localSheetId="2">#REF!</definedName>
    <definedName name="CASHNAME" localSheetId="2">#REF!</definedName>
    <definedName name="CASHOP00" localSheetId="2">#REF!</definedName>
    <definedName name="CASHOP97" localSheetId="2">#REF!</definedName>
    <definedName name="CASHOP98" localSheetId="2">#REF!</definedName>
    <definedName name="CASHOP99" localSheetId="2">#REF!</definedName>
    <definedName name="CASHRECONCILE" localSheetId="2">#REF!</definedName>
    <definedName name="CBIT" localSheetId="2">#REF!</definedName>
    <definedName name="CBIT">MODEL!$85:$85</definedName>
    <definedName name="ccy" localSheetId="2">#REF!</definedName>
    <definedName name="cde" localSheetId="2" hidden="1">{"subs",#N/A,FALSE,"database ";"proportional",#N/A,FALSE,"database "}</definedName>
    <definedName name="cde" hidden="1">{"subs",#N/A,FALSE,"database ";"proportional",#N/A,FALSE,"database "}</definedName>
    <definedName name="cdff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" localSheetId="1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2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2" localSheetId="1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2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dff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ce_00" localSheetId="2">#REF!</definedName>
    <definedName name="ce_01" localSheetId="2">#REF!</definedName>
    <definedName name="ce_02" localSheetId="2">#REF!</definedName>
    <definedName name="ce_99" localSheetId="2">#REF!</definedName>
    <definedName name="cf" localSheetId="2">#REF!</definedName>
    <definedName name="cf_00" localSheetId="2">#REF!</definedName>
    <definedName name="cf_01" localSheetId="2">#REF!</definedName>
    <definedName name="cf_02" localSheetId="2">#REF!</definedName>
    <definedName name="cf_99" localSheetId="2">#REF!</definedName>
    <definedName name="CF_AD_RD" localSheetId="2">#REF!</definedName>
    <definedName name="CF_AS_AQ" localSheetId="2">#REF!</definedName>
    <definedName name="CF_AS_DV" localSheetId="2">#REF!</definedName>
    <definedName name="CF_AS_NT" localSheetId="2">#REF!</definedName>
    <definedName name="CF_CE" localSheetId="2">#REF!</definedName>
    <definedName name="CF_CE_MT" localSheetId="2">#REF!</definedName>
    <definedName name="CF_CF" localSheetId="2">#REF!</definedName>
    <definedName name="CF_CF_NO" localSheetId="2">#REF!</definedName>
    <definedName name="CF_CFPS_HS" localSheetId="2">#REF!</definedName>
    <definedName name="CF_DI_MN" localSheetId="2">#REF!</definedName>
    <definedName name="CF_DI_PD" localSheetId="2">#REF!</definedName>
    <definedName name="CF_EQ_NT" localSheetId="2">#REF!</definedName>
    <definedName name="CF_FA_DV" localSheetId="2">#REF!</definedName>
    <definedName name="CF_HS" localSheetId="2">#REF!</definedName>
    <definedName name="CF_IC" localSheetId="2">#REF!</definedName>
    <definedName name="CF_IN_PD" localSheetId="2">#REF!</definedName>
    <definedName name="CF_IN_RD" localSheetId="2">#REF!</definedName>
    <definedName name="CF_IV" localSheetId="2">#REF!</definedName>
    <definedName name="CF_IV_CF" localSheetId="2">#REF!</definedName>
    <definedName name="CF_IV_OT" localSheetId="2">#REF!</definedName>
    <definedName name="CF_NC_CH" localSheetId="2">#REF!</definedName>
    <definedName name="CF_NC_CL" localSheetId="2">#REF!</definedName>
    <definedName name="CF_NC_OP" localSheetId="2">#REF!</definedName>
    <definedName name="CF_NDE" localSheetId="2">#REF!</definedName>
    <definedName name="CF_NT" localSheetId="2">#REF!</definedName>
    <definedName name="CF_OP" localSheetId="2">#REF!</definedName>
    <definedName name="CF_OP_GR" localSheetId="2">#REF!</definedName>
    <definedName name="CF_PR_OT" localSheetId="2">#REF!</definedName>
    <definedName name="CF_PR_SP" localSheetId="2">#REF!</definedName>
    <definedName name="cf_ratios" localSheetId="2">#REF!</definedName>
    <definedName name="cf_ratios_summary" localSheetId="2">#REF!</definedName>
    <definedName name="CF_SB_AQ" localSheetId="2">#REF!</definedName>
    <definedName name="CF_SB_DV" localSheetId="2">#REF!</definedName>
    <definedName name="CF_SB_NT" localSheetId="2">#REF!</definedName>
    <definedName name="CF_SH_IS" localSheetId="2">#REF!</definedName>
    <definedName name="CF_SH_PU" localSheetId="2">#REF!</definedName>
    <definedName name="CF_TN_PD" localSheetId="2">#REF!</definedName>
    <definedName name="CF_TR" localSheetId="2">#REF!</definedName>
    <definedName name="CF_TR_OT" localSheetId="2">#REF!</definedName>
    <definedName name="CF_WC_CH" localSheetId="2">#REF!</definedName>
    <definedName name="CFA" localSheetId="2">#REF!</definedName>
    <definedName name="CFLFULL" localSheetId="2">#REF!</definedName>
    <definedName name="CFPS" localSheetId="2">#REF!</definedName>
    <definedName name="CFPS__DM" localSheetId="2">#REF!</definedName>
    <definedName name="CFShare95" localSheetId="2">#REF!</definedName>
    <definedName name="CFShare96" localSheetId="2">#REF!</definedName>
    <definedName name="CFShare97" localSheetId="2">#REF!</definedName>
    <definedName name="Change_in_NWC" localSheetId="2">#REF!</definedName>
    <definedName name="Change_in_working_capital" localSheetId="2">#REF!</definedName>
    <definedName name="Change_in_working_capital">MODEL!$83:$83</definedName>
    <definedName name="chart" localSheetId="2">#REF!</definedName>
    <definedName name="chartint" localSheetId="2">#REF!</definedName>
    <definedName name="Charts" localSheetId="2">#REF!</definedName>
    <definedName name="CHD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CHD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CL1_BONUS" localSheetId="2">#REF!</definedName>
    <definedName name="CL1_CCS" localSheetId="2">#REF!</definedName>
    <definedName name="CL1_CFPS" localSheetId="2">#REF!</definedName>
    <definedName name="CL1_CFPS_DV" localSheetId="2">#REF!</definedName>
    <definedName name="CL1_DPS_AD" localSheetId="2">#REF!</definedName>
    <definedName name="CL1_DPS_FD" localSheetId="2">#REF!</definedName>
    <definedName name="CL1_DPS_PD" localSheetId="2">#REF!</definedName>
    <definedName name="CL1_EFDW_SHN" localSheetId="2">#REF!</definedName>
    <definedName name="CL1_EFTW_SHN" localSheetId="2">#REF!</definedName>
    <definedName name="CL1_EPE_ADF" localSheetId="2">#REF!</definedName>
    <definedName name="CL1_EPE_SHN" localSheetId="2">#REF!</definedName>
    <definedName name="CL1_EPS" localSheetId="2">#REF!</definedName>
    <definedName name="CL1_EPS_DVFA" localSheetId="2">#REF!</definedName>
    <definedName name="CL1_EPS_HS" localSheetId="2">#REF!</definedName>
    <definedName name="CL1_EPSC" localSheetId="2">#REF!</definedName>
    <definedName name="CL1_EPSD" localSheetId="2">#REF!</definedName>
    <definedName name="CL1_EPSD_HS" localSheetId="2">#REF!</definedName>
    <definedName name="CL1_EPSG" localSheetId="2">#REF!</definedName>
    <definedName name="CL1_ETW_SHN" localSheetId="2">#REF!</definedName>
    <definedName name="CL1_FDW_SHN" localSheetId="2">#REF!</definedName>
    <definedName name="CL1_FF" localSheetId="2">#REF!</definedName>
    <definedName name="CL1_FX" localSheetId="2">#REF!</definedName>
    <definedName name="CL1_NAV" localSheetId="2">#REF!</definedName>
    <definedName name="CL1_NAV_SH" localSheetId="2">#REF!</definedName>
    <definedName name="CL1_PCF" localSheetId="2">#REF!</definedName>
    <definedName name="CL1_PCF_DV" localSheetId="2">#REF!</definedName>
    <definedName name="CL1_PE" localSheetId="2">#REF!</definedName>
    <definedName name="CL1_PE_DV" localSheetId="2">#REF!</definedName>
    <definedName name="CL1_PE_SHN" localSheetId="2">#REF!</definedName>
    <definedName name="CL1_PNAV" localSheetId="2">#REF!</definedName>
    <definedName name="CL1_Recommend" localSheetId="2">#REF!</definedName>
    <definedName name="CL1_W_SHN" localSheetId="2">#REF!</definedName>
    <definedName name="CL2_BONUS" localSheetId="2">#REF!</definedName>
    <definedName name="CL2_CCS" localSheetId="2">#REF!</definedName>
    <definedName name="CL2_CFPS" localSheetId="2">#REF!</definedName>
    <definedName name="CL2_CFPS_DV" localSheetId="2">#REF!</definedName>
    <definedName name="CL2_DPS_AD" localSheetId="2">#REF!</definedName>
    <definedName name="CL2_DPS_FD" localSheetId="2">#REF!</definedName>
    <definedName name="CL2_DPS_PD" localSheetId="2">#REF!</definedName>
    <definedName name="CL2_EFTW_SHN" localSheetId="2">#REF!</definedName>
    <definedName name="CL2_EPE_ADF" localSheetId="2">#REF!</definedName>
    <definedName name="CL2_EPE_SHN" localSheetId="2">#REF!</definedName>
    <definedName name="CL2_EPS" localSheetId="2">#REF!</definedName>
    <definedName name="CL2_EPS_DVFA" localSheetId="2">#REF!</definedName>
    <definedName name="CL2_EPS_HS" localSheetId="2">#REF!</definedName>
    <definedName name="CL2_EPSC" localSheetId="2">#REF!</definedName>
    <definedName name="CL2_EPSD" localSheetId="2">#REF!</definedName>
    <definedName name="CL2_EPSD_HS" localSheetId="2">#REF!</definedName>
    <definedName name="CL2_EPSG" localSheetId="2">#REF!</definedName>
    <definedName name="CL2_EQ_FCT" localSheetId="2">#REF!</definedName>
    <definedName name="CL2_ETW_SHN" localSheetId="2">#REF!</definedName>
    <definedName name="CL2_FDW_SHN" localSheetId="2">#REF!</definedName>
    <definedName name="CL2_FF" localSheetId="2">#REF!</definedName>
    <definedName name="CL2_FX" localSheetId="2">#REF!</definedName>
    <definedName name="CL2_NAV" localSheetId="2">#REF!</definedName>
    <definedName name="CL2_NAV_SH" localSheetId="2">#REF!</definedName>
    <definedName name="CL2_PCF" localSheetId="2">#REF!</definedName>
    <definedName name="CL2_PCF_DV" localSheetId="2">#REF!</definedName>
    <definedName name="CL2_PE" localSheetId="2">#REF!</definedName>
    <definedName name="CL2_PE_DV" localSheetId="2">#REF!</definedName>
    <definedName name="CL2_PE_SHN" localSheetId="2">#REF!</definedName>
    <definedName name="CL2_PNAV" localSheetId="2">#REF!</definedName>
    <definedName name="cl2_recommend" localSheetId="2">#REF!</definedName>
    <definedName name="CL2_W_SHN" localSheetId="2">#REF!</definedName>
    <definedName name="CL3_BONUS" localSheetId="2">#REF!</definedName>
    <definedName name="CL3_CCS" localSheetId="2">#REF!</definedName>
    <definedName name="CL3_CFPS" localSheetId="2">#REF!</definedName>
    <definedName name="CL3_CFPS_DV" localSheetId="2">#REF!</definedName>
    <definedName name="CL3_DPS_AD" localSheetId="2">#REF!</definedName>
    <definedName name="CL3_DPS_FD" localSheetId="2">#REF!</definedName>
    <definedName name="CL3_DPS_PD" localSheetId="2">#REF!</definedName>
    <definedName name="CL3_EFTW_SHN" localSheetId="2">#REF!</definedName>
    <definedName name="CL3_EPE_ADF" localSheetId="2">#REF!</definedName>
    <definedName name="CL3_EPE_SHN" localSheetId="2">#REF!</definedName>
    <definedName name="CL3_EPS" localSheetId="2">#REF!</definedName>
    <definedName name="CL3_EPS_DVFA" localSheetId="2">#REF!</definedName>
    <definedName name="CL3_EPS_HS" localSheetId="2">#REF!</definedName>
    <definedName name="CL3_EPSC" localSheetId="2">#REF!</definedName>
    <definedName name="CL3_EPSD" localSheetId="2">#REF!</definedName>
    <definedName name="CL3_EPSD_HS" localSheetId="2">#REF!</definedName>
    <definedName name="CL3_EPSG" localSheetId="2">#REF!</definedName>
    <definedName name="CL3_EQ_FCT" localSheetId="2">#REF!</definedName>
    <definedName name="CL3_ETW_SHN" localSheetId="2">#REF!</definedName>
    <definedName name="CL3_FDW_SHN" localSheetId="2">#REF!</definedName>
    <definedName name="CL3_FF" localSheetId="2">#REF!</definedName>
    <definedName name="CL3_FX" localSheetId="2">#REF!</definedName>
    <definedName name="CL3_NAV" localSheetId="2">#REF!</definedName>
    <definedName name="CL3_NAV_SH" localSheetId="2">#REF!</definedName>
    <definedName name="CL3_PCF" localSheetId="2">#REF!</definedName>
    <definedName name="CL3_PCF_DV" localSheetId="2">#REF!</definedName>
    <definedName name="CL3_PE" localSheetId="2">#REF!</definedName>
    <definedName name="CL3_PE_DV" localSheetId="2">#REF!</definedName>
    <definedName name="CL3_PE_SHN" localSheetId="2">#REF!</definedName>
    <definedName name="CL3_PNAV" localSheetId="2">#REF!</definedName>
    <definedName name="CL3_recommend" localSheetId="2">#REF!</definedName>
    <definedName name="CL3_W_SHN" localSheetId="2">#REF!</definedName>
    <definedName name="Closing_issued_shares" localSheetId="2">#REF!</definedName>
    <definedName name="Closing_issued_shares">MODEL!$249:$249</definedName>
    <definedName name="cmdCancelCapE" localSheetId="2">#REF!</definedName>
    <definedName name="cmdWhoCapE" localSheetId="2">#REF!</definedName>
    <definedName name="CoCode" localSheetId="2">#REF!</definedName>
    <definedName name="COGS" localSheetId="2">#REF!</definedName>
    <definedName name="combodata" localSheetId="2">#REF!</definedName>
    <definedName name="Company" localSheetId="2">#REF!</definedName>
    <definedName name="Company_Fig_ID" localSheetId="2">#REF!</definedName>
    <definedName name="Company_ID" localSheetId="2">#REF!</definedName>
    <definedName name="Comps" localSheetId="2">#REF!</definedName>
    <definedName name="ComRow" localSheetId="2">#REF!</definedName>
    <definedName name="comsum" localSheetId="2">#REF!</definedName>
    <definedName name="comsum_avg" localSheetId="2">#REF!</definedName>
    <definedName name="CoName" localSheetId="2">#REF!</definedName>
    <definedName name="CONSOLIDATED_BALANCE_SHEET" localSheetId="2">#REF!</definedName>
    <definedName name="ConversionRate" localSheetId="2">#REF!</definedName>
    <definedName name="Convertibles_options" localSheetId="2">#REF!</definedName>
    <definedName name="Converting_preference_dividends" localSheetId="2">#REF!</definedName>
    <definedName name="Converting_preference_dividends">MODEL!$39:$39</definedName>
    <definedName name="Cost_of_Sales" localSheetId="2">#REF!</definedName>
    <definedName name="CostDebt" localSheetId="2">#REF!</definedName>
    <definedName name="CostEquity" localSheetId="2">#REF!</definedName>
    <definedName name="Costs" localSheetId="2">#REF!</definedName>
    <definedName name="COUNTRY" localSheetId="2">#REF!</definedName>
    <definedName name="Country_Index" localSheetId="2">#REF!</definedName>
    <definedName name="Country_Name" localSheetId="2">#REF!</definedName>
    <definedName name="CountryCell" localSheetId="2">#REF!</definedName>
    <definedName name="CountryList" localSheetId="2">#REF!</definedName>
    <definedName name="CoverageStatus" localSheetId="2">#REF!</definedName>
    <definedName name="CRATIO00" localSheetId="2">#REF!</definedName>
    <definedName name="CRATIO97" localSheetId="2">#REF!</definedName>
    <definedName name="CRATIO98" localSheetId="2">#REF!</definedName>
    <definedName name="CRATIO99" localSheetId="2">#REF!</definedName>
    <definedName name="cratios" localSheetId="2">#REF!</definedName>
    <definedName name="croci_00" localSheetId="2">#REF!</definedName>
    <definedName name="croci_91" localSheetId="2">#REF!</definedName>
    <definedName name="croci_92" localSheetId="2">#REF!</definedName>
    <definedName name="croci_93" localSheetId="2">#REF!</definedName>
    <definedName name="croci_94" localSheetId="2">#REF!</definedName>
    <definedName name="croci_95" localSheetId="2">#REF!</definedName>
    <definedName name="croci_96" localSheetId="2">#REF!</definedName>
    <definedName name="croci_97" localSheetId="2">#REF!</definedName>
    <definedName name="croci_98" localSheetId="2">#REF!</definedName>
    <definedName name="croci_99" localSheetId="2">#REF!</definedName>
    <definedName name="cu102.ShareScalingFactor" hidden="1">1000000</definedName>
    <definedName name="cu103.EmployeeScalingFactor" hidden="1">1000</definedName>
    <definedName name="cu107.DPSSymbol" hidden="1">"US$"</definedName>
    <definedName name="cu107.EPSSymbol" hidden="1">"US$"</definedName>
    <definedName name="cu71.ScalingFactor" hidden="1">1000000</definedName>
    <definedName name="cube" localSheetId="2">#REF!</definedName>
    <definedName name="cube2" localSheetId="2">#REF!</definedName>
    <definedName name="Cumulative_Translation_Adjustment" localSheetId="2">#REF!</definedName>
    <definedName name="CurrencyMarker" localSheetId="2">#REF!</definedName>
    <definedName name="Current_borrowings" localSheetId="2">#REF!</definedName>
    <definedName name="Current_borrowings">MODEL!$177:$177</definedName>
    <definedName name="Current_cost_adjusted_net_income" localSheetId="2">#REF!</definedName>
    <definedName name="Current_Date" localSheetId="2">#REF!</definedName>
    <definedName name="Current_investments" localSheetId="2">#REF!</definedName>
    <definedName name="Current_investments">MODEL!$148:$148</definedName>
    <definedName name="Current_portion__capital_leases" localSheetId="2">#REF!</definedName>
    <definedName name="Current_provisions" localSheetId="2">#REF!</definedName>
    <definedName name="Current_provisions">MODEL!$180:$180</definedName>
    <definedName name="CurrentQ" localSheetId="2">Pro #REF!</definedName>
    <definedName name="CurrentQChange" localSheetId="2">Pro #REF!</definedName>
    <definedName name="Customer_advances" localSheetId="2">#REF!</definedName>
    <definedName name="CVCPMV99" localSheetId="2">#REF!</definedName>
    <definedName name="Data" localSheetId="2">#REF!</definedName>
    <definedName name="Databox_Date" localSheetId="2">#REF!</definedName>
    <definedName name="DATABOX2" localSheetId="2">#REF!</definedName>
    <definedName name="DataVariableCell" localSheetId="2">#REF!</definedName>
    <definedName name="date2" localSheetId="2">#REF!</definedName>
    <definedName name="DAYSINV00" localSheetId="2">#REF!</definedName>
    <definedName name="DAYSINV97" localSheetId="2">#REF!</definedName>
    <definedName name="DAYSINV98" localSheetId="2">#REF!</definedName>
    <definedName name="DAYSINV99" localSheetId="2">#REF!</definedName>
    <definedName name="DAYSINVC00" localSheetId="2">#REF!</definedName>
    <definedName name="DAYSINVC97" localSheetId="2">#REF!</definedName>
    <definedName name="DAYSINVC98" localSheetId="2">#REF!</definedName>
    <definedName name="DAYSINVC99" localSheetId="2">#REF!</definedName>
    <definedName name="DAYSREC00" localSheetId="2">#REF!</definedName>
    <definedName name="DAYSREC97" localSheetId="2">#REF!</definedName>
    <definedName name="DAYSREC98" localSheetId="2">#REF!</definedName>
    <definedName name="DAYSREC99" localSheetId="2">#REF!</definedName>
    <definedName name="DCF_EY1" localSheetId="2">#REF!</definedName>
    <definedName name="DCF_EY10" localSheetId="2">#REF!</definedName>
    <definedName name="DCF_EY14" localSheetId="2">#REF!</definedName>
    <definedName name="DCF_EY15" localSheetId="2">#REF!</definedName>
    <definedName name="DCF_EY2" localSheetId="2">#REF!</definedName>
    <definedName name="DCF_EY24" localSheetId="2">#REF!</definedName>
    <definedName name="DCF_EY25" localSheetId="2">#REF!</definedName>
    <definedName name="DCF_EY3" localSheetId="2">#REF!</definedName>
    <definedName name="DCF_EY4" localSheetId="2">#REF!</definedName>
    <definedName name="DCF_EY5" localSheetId="2">#REF!</definedName>
    <definedName name="DCF_EY9" localSheetId="2">#REF!</definedName>
    <definedName name="DCF_INF" localSheetId="2">DCF!$C$13</definedName>
    <definedName name="DCF_P" localSheetId="2">#REF!</definedName>
    <definedName name="DCF_PARA" localSheetId="2">#REF!</definedName>
    <definedName name="DCF_Result" localSheetId="2">DCF!$D$34</definedName>
    <definedName name="DCF_WACC" localSheetId="2">DCF!$C$12</definedName>
    <definedName name="DCFDATA" localSheetId="2">#REF!</definedName>
    <definedName name="dcflabel" localSheetId="2">#REF!</definedName>
    <definedName name="DD" localSheetId="2">#REF!</definedName>
    <definedName name="DEBT" localSheetId="2">#REF!</definedName>
    <definedName name="debt_00" localSheetId="2">#REF!</definedName>
    <definedName name="debt_01" localSheetId="2">#REF!</definedName>
    <definedName name="debt_02" localSheetId="2">#REF!</definedName>
    <definedName name="debt_99" localSheetId="2">#REF!</definedName>
    <definedName name="Debt_growth" localSheetId="2">#REF!</definedName>
    <definedName name="Deferred_Charges" localSheetId="2">#REF!</definedName>
    <definedName name="Deferred_income_taxes" localSheetId="2">#REF!</definedName>
    <definedName name="delete_this" hidden="1">#REF!</definedName>
    <definedName name="delete_this_2" hidden="1">#REF!</definedName>
    <definedName name="delete_this_3" hidden="1">#REF!</definedName>
    <definedName name="delete_this_4" hidden="1">#REF!</definedName>
    <definedName name="delete_this_5" hidden="1">#REF!</definedName>
    <definedName name="delete_this_6" hidden="1">#REF!</definedName>
    <definedName name="delete_this_8" hidden="1">#REF!</definedName>
    <definedName name="delete_this_9" hidden="1">#REF!</definedName>
    <definedName name="DEP" localSheetId="2">#REF!</definedName>
    <definedName name="Dep_and_Amort" localSheetId="2">#REF!</definedName>
    <definedName name="Depreciation" localSheetId="2">#REF!</definedName>
    <definedName name="Depreciation">MODEL!$27:$27</definedName>
    <definedName name="Depreciation_fore" localSheetId="2">#REF!</definedName>
    <definedName name="Depreciations" localSheetId="2">#REF!</definedName>
    <definedName name="DepreRatio" localSheetId="2">#REF!</definedName>
    <definedName name="DEPS94" localSheetId="2">#REF!</definedName>
    <definedName name="DEPS95" localSheetId="2">#REF!</definedName>
    <definedName name="DEPS96" localSheetId="2">#REF!</definedName>
    <definedName name="DEPS97" localSheetId="2">#REF!</definedName>
    <definedName name="DIA" localSheetId="2">#REF!</definedName>
    <definedName name="disc" localSheetId="2">#REF!</definedName>
    <definedName name="Disposals" localSheetId="2">#REF!</definedName>
    <definedName name="DIVFULL" localSheetId="2">#REF!</definedName>
    <definedName name="DIVI" localSheetId="2">#REF!</definedName>
    <definedName name="Dividend_income" localSheetId="2">#REF!</definedName>
    <definedName name="Dividend_payout">MODEL!$51:$51</definedName>
    <definedName name="DividendInc" localSheetId="2">#REF!</definedName>
    <definedName name="Dividends" localSheetId="2">#REF!</definedName>
    <definedName name="Dividends_paid" localSheetId="2">#REF!</definedName>
    <definedName name="Dividends_paid">MODEL!$91:$91</definedName>
    <definedName name="Dividends_received_from_associates" localSheetId="2">#REF!</definedName>
    <definedName name="Dividends_received_from_associates">MODEL!$104:$104</definedName>
    <definedName name="Dividends_received_from_other_investments" localSheetId="2">#REF!</definedName>
    <definedName name="Dividends_received_from_other_investments">MODEL!$105:$105</definedName>
    <definedName name="DIVQA" localSheetId="2">#REF!</definedName>
    <definedName name="DIVQB" localSheetId="2">#REF!</definedName>
    <definedName name="dm_AllView" localSheetId="2">#REF!</definedName>
    <definedName name="dm_driverView" localSheetId="2">#REF!</definedName>
    <definedName name="dm_FSView" localSheetId="2">#REF!</definedName>
    <definedName name="DnA_fore" localSheetId="2">#REF!</definedName>
    <definedName name="DocType" localSheetId="2">PPt</definedName>
    <definedName name="DPS">MODEL!$292:$292</definedName>
    <definedName name="DPS__DM__Ord" localSheetId="2">#REF!</definedName>
    <definedName name="DPS__DM__Pref" localSheetId="2">#REF!</definedName>
    <definedName name="DPS_past" localSheetId="2">#REF!</definedName>
    <definedName name="DrillThroughArea" localSheetId="2">#REF!,#REF!</definedName>
    <definedName name="DS" localSheetId="2" hidden="1">{"Full_Year",#N/A,FALSE,"PE1_S";#N/A,#N/A,FALSE,"DIVIS_S"}</definedName>
    <definedName name="DS" localSheetId="5" hidden="1">{"Full_Year",#N/A,FALSE,"PE1_S";#N/A,#N/A,FALSE,"DIVIS_S"}</definedName>
    <definedName name="DS" hidden="1">{"Full_Year",#N/A,FALSE,"PE1_S";#N/A,#N/A,FALSE,"DIVIS_S"}</definedName>
    <definedName name="dsafa" localSheetId="2" hidden="1">{"comp1",#N/A,FALSE,"COMPS";"footnotes",#N/A,FALSE,"COMPS"}</definedName>
    <definedName name="dsafa" localSheetId="12" hidden="1">{"comp1",#N/A,FALSE,"COMPS";"footnotes",#N/A,FALSE,"COMPS"}</definedName>
    <definedName name="dsafa" localSheetId="7" hidden="1">{"comp1",#N/A,FALSE,"COMPS";"footnotes",#N/A,FALSE,"COMPS"}</definedName>
    <definedName name="dsafa" hidden="1">{"comp1",#N/A,FALSE,"COMPS";"footnotes",#N/A,FALSE,"COMPS"}</definedName>
    <definedName name="DUPONT" localSheetId="2">#REF!</definedName>
    <definedName name="DVFA___SG_EPS__DM" localSheetId="2">#REF!</definedName>
    <definedName name="DVFA___SG_Net_Profit" localSheetId="2">#REF!</definedName>
    <definedName name="DVFAP" localSheetId="2">#REF!</definedName>
    <definedName name="E_ALL_DHG.AX">#REF!</definedName>
    <definedName name="E_ALL_ETWO">#REF!</definedName>
    <definedName name="E_ALL_KEYWORDS_TYPE_ScalarContributed_EQTY_200014189" localSheetId="2">#REF!,#REF!,#REF!,#REF!,#REF!,#REF!,#REF!</definedName>
    <definedName name="E_ALL_KEYWORDS_TYPE_ScalarContributed_EQTY_200014621" localSheetId="2">#REF!,#REF!,#REF!,#REF!,#REF!,#REF!,#REF!</definedName>
    <definedName name="E_ALL_KEYWORDS_TYPE_ScalarContributed_EQTY_200015044" localSheetId="2">#REF!,#REF!,#REF!,#REF!</definedName>
    <definedName name="E_ALL_KEYWORDS_TYPE_ScalarContributed_EQTY_200018121">#REF!,#REF!,#REF!,#REF!</definedName>
    <definedName name="E_ALL_KEYWORDS_TYPE_ScalarContributed_EQTY_200019464">#REF!,#REF!,#REF!,#REF!,#REF!,#REF!,#REF!</definedName>
    <definedName name="E_ALL_KEYWORDS_TYPE_ScalarContributed_EQTY_200021129">#REF!,#REF!,#REF!,#REF!,#REF!</definedName>
    <definedName name="E_ALL_KEYWORDS_TYPE_ScalarContributed_ISSR_208010870" localSheetId="2">#REF!,#REF!</definedName>
    <definedName name="E_ALL_KEYWORDS_TYPE_ScalarContributed_ISSR_208011371" localSheetId="2">#REF!,#REF!</definedName>
    <definedName name="E_ALL_KEYWORDS_TYPE_ScalarContributed_ISSR_208011802" localSheetId="2">#REF!</definedName>
    <definedName name="E_ALL_KEYWORDS_TYPE_ScalarContributed_ISSR_208020452">#REF!,#REF!,#REF!</definedName>
    <definedName name="E_ALL_KEYWORDS_TYPE_ScalarReference_EQTY_200014621" localSheetId="2">#REF!</definedName>
    <definedName name="E_ALL_KEYWORDS_TYPE_ScalarReference_EQTY_200015044" localSheetId="2">#REF!</definedName>
    <definedName name="E_ALL_KEYWORDS_TYPE_ScalarReference_ISSR_208011371" localSheetId="2">#REF!</definedName>
    <definedName name="E_ALL_KEYWORDS_TYPE_ScalarReference_ISSR_208011802" localSheetId="2">#REF!</definedName>
    <definedName name="E_ALL_KEYWORDS_TYPE_Vector_EQTY_200014189" localSheetId="2">#REF!,#REF!,#REF!,#REF!,#REF!,#REF!,#REF!,#REF!,#REF!,#REF!,#REF!,#REF!,#REF!</definedName>
    <definedName name="E_ALL_KEYWORDS_TYPE_Vector_EQTY_200014621" localSheetId="2">#REF!,#REF!,#REF!,#REF!,#REF!,#REF!,#REF!,#REF!,#REF!,#REF!,#REF!,#REF!,#REF!,#REF!</definedName>
    <definedName name="E_ALL_KEYWORDS_TYPE_Vector_EQTY_200015044" localSheetId="2">#REF!,#REF!,#REF!,#REF!,#REF!,#REF!,#REF!</definedName>
    <definedName name="E_ALL_KEYWORDS_TYPE_Vector_ISSR_208010870" localSheetId="2">#REF!,#REF!,#REF!,#REF!,#REF!,#REF!,#REF!,#REF!,#REF!,#REF!,#REF!,#REF!,#REF!,#REF!</definedName>
    <definedName name="E_ALL_KEYWORDS_TYPE_Vector_ISSR_208011371" localSheetId="2">#REF!,#REF!,#REF!,#REF!,#REF!,#REF!,#REF!,#REF!,#REF!,#REF!,#REF!,#REF!,#REF!,#REF!,#REF!,#REF!,#REF!,#REF!,#REF!,#REF!,#REF!,#REF!,#REF!</definedName>
    <definedName name="E_ALL_KEYWORDS_TYPE_Vector_ISSR_208011802" localSheetId="2">#REF!,#REF!,#REF!,#REF!,#REF!,#REF!,#REF!,#REF!,#REF!,#REF!,#REF!,#REF!,#REF!,#REF!,#REF!</definedName>
    <definedName name="E_ALL_KEYWORDS_TYPE_Vector_ISSR_208015408">#REF!,#REF!,#REF!,#REF!,#REF!,#REF!,#REF!,#REF!,#REF!,#REF!,#REF!,#REF!</definedName>
    <definedName name="E_ALL_KEYWORDS_TYPE_Vector_ISSR_208020452">#REF!,#REF!,#REF!,#REF!,#REF!,#REF!,#REF!,#REF!,#REF!,#REF!,#REF!,#REF!,#REF!</definedName>
    <definedName name="E_ALL_MTU.AX" localSheetId="2">#REF!</definedName>
    <definedName name="E_ALL_PYPL">#REF!</definedName>
    <definedName name="E_ALL_REA.AX" localSheetId="2">#REF!</definedName>
    <definedName name="E_ALL_SECTION_KEYWORDS_EQTY_200014621_1314" localSheetId="2">#REF!</definedName>
    <definedName name="E_ALL_SECTION_KEYWORDS_EQTY_200014621_1316A" localSheetId="2">#REF!</definedName>
    <definedName name="E_ALL_SECTION_KEYWORDS_EQTY_200014621_1316B" localSheetId="2">#REF!</definedName>
    <definedName name="E_ALL_SECTION_KEYWORDS_EQTY_200014621_1316C" localSheetId="2">#REF!</definedName>
    <definedName name="E_ALL_SECTION_KEYWORDS_EQTY_200014621_1316D" localSheetId="2">#REF!</definedName>
    <definedName name="E_ALL_SECTION_KEYWORDS_EQTY_200014621_1316E" localSheetId="2">#REF!</definedName>
    <definedName name="E_ALL_SECTION_KEYWORDS_EQTY_200014621_131E" localSheetId="2">#REF!</definedName>
    <definedName name="E_ALL_SECTION_KEYWORDS_EQTY_200014621_131O" localSheetId="2">#REF!</definedName>
    <definedName name="E_ALL_SECTION_KEYWORDS_EQTY_200014621_131P" localSheetId="2">#REF!</definedName>
    <definedName name="E_ALL_SECTION_KEYWORDS_EQTY_200014621_13A" localSheetId="2">#REF!</definedName>
    <definedName name="E_ALL_SECTION_KEYWORDS_EQTY_200014621_13K" localSheetId="2">#REF!</definedName>
    <definedName name="E_ALL_SECTION_KEYWORDS_EQTY_200014621_13U" localSheetId="2">#REF!</definedName>
    <definedName name="E_ALL_SECTION_KEYWORDS_EQTY_200014621_13V" localSheetId="2">#REF!</definedName>
    <definedName name="E_ALL_SECTION_KEYWORDS_EQTY_200014621_Reference_Data" localSheetId="2">#REF!</definedName>
    <definedName name="E_ALL_SECTION_KEYWORDS_EQTY_200015044_1314" localSheetId="2">#REF!</definedName>
    <definedName name="E_ALL_SECTION_KEYWORDS_EQTY_200015044_1319" localSheetId="2">#REF!</definedName>
    <definedName name="E_ALL_SECTION_KEYWORDS_EQTY_200015044_131E" localSheetId="2">#REF!</definedName>
    <definedName name="E_ALL_SECTION_KEYWORDS_EQTY_200015044_131O" localSheetId="2">#REF!</definedName>
    <definedName name="E_ALL_SECTION_KEYWORDS_EQTY_200015044_13A" localSheetId="2">#REF!</definedName>
    <definedName name="E_ALL_SECTION_KEYWORDS_EQTY_200015044_13K" localSheetId="2">#REF!</definedName>
    <definedName name="E_ALL_SECTION_KEYWORDS_EQTY_200015044_13U" localSheetId="2">#REF!</definedName>
    <definedName name="E_ALL_SECTION_KEYWORDS_EQTY_200015044_13V" localSheetId="2">#REF!</definedName>
    <definedName name="E_ALL_SECTION_KEYWORDS_EQTY_200015044_13W" localSheetId="2">#REF!</definedName>
    <definedName name="E_ALL_SECTION_KEYWORDS_EQTY_200015044_Reference_Data" localSheetId="2">#REF!</definedName>
    <definedName name="E_ALL_SECTION_KEYWORDS_EQTY_200019464_13A">#REF!</definedName>
    <definedName name="E_ALL_SECTION_KEYWORDS_EQTY_200021129_13A">#REF!</definedName>
    <definedName name="E_ALL_SECTION_KEYWORDS_ISSR_208010870_136E" localSheetId="2">#REF!,#REF!</definedName>
    <definedName name="E_ALL_SECTION_KEYWORDS_ISSR_208010870_13A" localSheetId="2">#REF!,#REF!</definedName>
    <definedName name="E_ALL_SECTION_KEYWORDS_ISSR_208011371_1314" localSheetId="2">#REF!</definedName>
    <definedName name="E_ALL_SECTION_KEYWORDS_ISSR_208011371_13168" localSheetId="2">#REF!</definedName>
    <definedName name="E_ALL_SECTION_KEYWORDS_ISSR_208011371_1316B" localSheetId="2">#REF!</definedName>
    <definedName name="E_ALL_SECTION_KEYWORDS_ISSR_208011371_1316C" localSheetId="2">#REF!</definedName>
    <definedName name="E_ALL_SECTION_KEYWORDS_ISSR_208011371_1316D" localSheetId="2">#REF!</definedName>
    <definedName name="E_ALL_SECTION_KEYWORDS_ISSR_208011371_1316E" localSheetId="2">#REF!</definedName>
    <definedName name="E_ALL_SECTION_KEYWORDS_ISSR_208011371_1316P" localSheetId="2">#REF!</definedName>
    <definedName name="E_ALL_SECTION_KEYWORDS_ISSR_208011371_1316T" localSheetId="2">#REF!</definedName>
    <definedName name="E_ALL_SECTION_KEYWORDS_ISSR_208011371_1316U" localSheetId="2">#REF!</definedName>
    <definedName name="E_ALL_SECTION_KEYWORDS_ISSR_208011371_1319" localSheetId="2">#REF!</definedName>
    <definedName name="E_ALL_SECTION_KEYWORDS_ISSR_208011371_131E" localSheetId="2">#REF!</definedName>
    <definedName name="E_ALL_SECTION_KEYWORDS_ISSR_208011371_131J" localSheetId="2">#REF!</definedName>
    <definedName name="E_ALL_SECTION_KEYWORDS_ISSR_208011371_131O" localSheetId="2">#REF!</definedName>
    <definedName name="E_ALL_SECTION_KEYWORDS_ISSR_208011371_131P" localSheetId="2">#REF!</definedName>
    <definedName name="E_ALL_SECTION_KEYWORDS_ISSR_208011371_131Y" localSheetId="2">#REF!</definedName>
    <definedName name="E_ALL_SECTION_KEYWORDS_ISSR_208011371_134L" localSheetId="2">#REF!</definedName>
    <definedName name="E_ALL_SECTION_KEYWORDS_ISSR_208011371_13U" localSheetId="2">#REF!</definedName>
    <definedName name="E_ALL_SECTION_KEYWORDS_ISSR_208011371_13V" localSheetId="2">#REF!</definedName>
    <definedName name="E_ALL_SECTION_KEYWORDS_ISSR_208011371_Reference_Data" localSheetId="2">#REF!</definedName>
    <definedName name="E_ALL_SECTION_KEYWORDS_ISSR_208011802_1314" localSheetId="2">#REF!</definedName>
    <definedName name="E_ALL_SECTION_KEYWORDS_ISSR_208011802_13168" localSheetId="2">#REF!</definedName>
    <definedName name="E_ALL_SECTION_KEYWORDS_ISSR_208011802_1316T" localSheetId="2">#REF!</definedName>
    <definedName name="E_ALL_SECTION_KEYWORDS_ISSR_208011802_1316U" localSheetId="2">#REF!</definedName>
    <definedName name="E_ALL_SECTION_KEYWORDS_ISSR_208011802_1319" localSheetId="2">#REF!</definedName>
    <definedName name="E_ALL_SECTION_KEYWORDS_ISSR_208011802_131E" localSheetId="2">#REF!</definedName>
    <definedName name="E_ALL_SECTION_KEYWORDS_ISSR_208011802_131J" localSheetId="2">#REF!</definedName>
    <definedName name="E_ALL_SECTION_KEYWORDS_ISSR_208011802_131O" localSheetId="2">#REF!</definedName>
    <definedName name="E_ALL_SECTION_KEYWORDS_ISSR_208011802_13A" localSheetId="2">#REF!</definedName>
    <definedName name="E_ALL_SECTION_KEYWORDS_ISSR_208011802_13U" localSheetId="2">#REF!</definedName>
    <definedName name="E_ALL_SECTION_KEYWORDS_ISSR_208011802_13V" localSheetId="2">#REF!</definedName>
    <definedName name="E_ALL_SECTION_KEYWORDS_ISSR_208011802_Reference_Data" localSheetId="2">#REF!</definedName>
    <definedName name="E_ALL_SECTION_KEYWORDS_ISSR_208015408_13168">#REF!,#REF!</definedName>
    <definedName name="E_ALL_SECTION_KEYWORDS_ISSR_208015408_131O">#REF!,#REF!</definedName>
    <definedName name="E_ALL_SECTION_KEYWORDS_ISSR_208015408_136E">#REF!,#REF!</definedName>
    <definedName name="E_ALL_SECTION_KEYWORDS_ISSR_208015408_136J">#REF!,#REF!</definedName>
    <definedName name="E_ALL_SECTION_KEYWORDS_ISSR_208015408_13V">#REF!,#REF!</definedName>
    <definedName name="E_ALL_SECTION_KEYWORDS_ISSR_208020452_131O">#REF!,#REF!</definedName>
    <definedName name="E_ALL_SECTION_KEYWORDS_ISSR_208020452_13V">#REF!,#REF!</definedName>
    <definedName name="E_ALL_SECTIONS_EQTY_200014189" localSheetId="2">#REF!,#REF!,#REF!,#REF!,#REF!,#REF!,#REF!,#REF!,#REF!,#REF!,#REF!,#REF!,#REF!</definedName>
    <definedName name="E_ALL_SECTIONS_EQTY_200015044" localSheetId="2">#REF!,#REF!,#REF!,#REF!,#REF!,#REF!,#REF!,#REF!,#REF!,#REF!</definedName>
    <definedName name="E_ALL_SECTIONS_ISSR_208011371" localSheetId="2">#REF!,#REF!,#REF!,#REF!,#REF!,#REF!,#REF!,#REF!,#REF!,#REF!,#REF!,#REF!,#REF!,#REF!,#REF!</definedName>
    <definedName name="E_ALL_SECTIONS_ISSR_208011802" localSheetId="2">#REF!,#REF!,#REF!,#REF!,#REF!,#REF!,#REF!,#REF!,#REF!,#REF!,#REF!</definedName>
    <definedName name="E_ALL_WK">#REF!</definedName>
    <definedName name="E_ALL_WTC.AX">#REF!</definedName>
    <definedName name="E_ALL_ZG" localSheetId="2">#REF!</definedName>
    <definedName name="E_ALL_ZUO">#REF!</definedName>
    <definedName name="E_CURRENCY_EQTY_200014189_PRI" localSheetId="2">#REF!</definedName>
    <definedName name="E_CURRENCY_EQTY_200014189_PUB" localSheetId="2">#REF!</definedName>
    <definedName name="E_CURRENCY_EQTY_200014189_REP" localSheetId="2">#REF!</definedName>
    <definedName name="E_CURRENCY_EQTY_200014621_PRI" localSheetId="2">#REF!</definedName>
    <definedName name="E_CURRENCY_EQTY_200014621_PUB" localSheetId="2">#REF!</definedName>
    <definedName name="E_CURRENCY_EQTY_200014621_REP" localSheetId="2">#REF!</definedName>
    <definedName name="E_CURRENCY_EQTY_200015044_PRI" localSheetId="2">#REF!</definedName>
    <definedName name="E_CURRENCY_EQTY_200015044_PUB" localSheetId="2">#REF!</definedName>
    <definedName name="E_CURRENCY_EQTY_200015044_REP" localSheetId="2">#REF!</definedName>
    <definedName name="E_CURRENCY_ISSR_208010870_REP" localSheetId="2">#REF!</definedName>
    <definedName name="E_CURRENCY_ISSR_208011371_REP" localSheetId="2">#REF!</definedName>
    <definedName name="E_CURRENCY_ISSR_208011802_REP" localSheetId="2">#REF!</definedName>
    <definedName name="E_ENTITY_DATA_EQTY_200014621" localSheetId="2">#REF!</definedName>
    <definedName name="E_ENTITY_DATA_ISSR_208011802" localSheetId="2">#REF!</definedName>
    <definedName name="E_KEYWORD_EQTY_200014621_ANZ_CONVICTION" localSheetId="2">#REF!</definedName>
    <definedName name="E_KEYWORD_EQTY_200014621_ANZ_LIST" localSheetId="2">#REF!</definedName>
    <definedName name="E_KEYWORD_EQTY_200014621_ASSET_SALES_GAIN_LOSS" localSheetId="2">#REF!</definedName>
    <definedName name="E_KEYWORD_EQTY_200014621_BASE_CASE_VAL_DCF" localSheetId="2">#REF!</definedName>
    <definedName name="E_KEYWORD_EQTY_200014621_BENEFITS_TAX_LOSSES" localSheetId="2">#REF!</definedName>
    <definedName name="E_KEYWORD_EQTY_200014621_BETA_ANALYST" localSheetId="2">#REF!</definedName>
    <definedName name="E_KEYWORD_EQTY_200014621_BVPS" localSheetId="2">#REF!</definedName>
    <definedName name="E_KEYWORD_EQTY_200014621_BVPS_PUB" localSheetId="2">#REF!</definedName>
    <definedName name="E_KEYWORD_EQTY_200014621_CATALYST1_DATE" localSheetId="2">#REF!</definedName>
    <definedName name="E_KEYWORD_EQTY_200014621_CATALYST1_EVENT" localSheetId="2">#REF!</definedName>
    <definedName name="E_KEYWORD_EQTY_200014621_CATALYST2_DATE" localSheetId="2">#REF!</definedName>
    <definedName name="E_KEYWORD_EQTY_200014621_CATALYST2_EVENT" localSheetId="2">#REF!</definedName>
    <definedName name="E_KEYWORD_EQTY_200014621_CATALYST3_DATE" localSheetId="2">#REF!</definedName>
    <definedName name="E_KEYWORD_EQTY_200014621_CATALYST3_EVENT" localSheetId="2">#REF!</definedName>
    <definedName name="E_KEYWORD_EQTY_200014621_CATALYST4_DATE" localSheetId="2">#REF!</definedName>
    <definedName name="E_KEYWORD_EQTY_200014621_CATALYST4_EVENT" localSheetId="2">#REF!</definedName>
    <definedName name="E_KEYWORD_EQTY_200014621_CATALYST5_DATE" localSheetId="2">#REF!</definedName>
    <definedName name="E_KEYWORD_EQTY_200014621_CATALYST5_EVENT" localSheetId="2">#REF!</definedName>
    <definedName name="E_KEYWORD_EQTY_200014621_CF_NI_PRE_PREF" localSheetId="2">#REF!</definedName>
    <definedName name="E_KEYWORD_EQTY_200014621_CF_OPS_SHARE_NZ" localSheetId="2">#REF!</definedName>
    <definedName name="E_KEYWORD_EQTY_200014621_COMMON_DIV_PAID" localSheetId="2">#REF!</definedName>
    <definedName name="E_KEYWORD_EQTY_200014621_CONVERTIBLE_NOTES" localSheetId="2">#REF!</definedName>
    <definedName name="E_KEYWORD_EQTY_200014621_COST_OF_EQUITY_DCF" localSheetId="2">#REF!</definedName>
    <definedName name="E_KEYWORD_EQTY_200014621_CUM_PRESENT_VAL_CASH_FLOWS_DCF" localSheetId="2">#REF!</definedName>
    <definedName name="E_KEYWORD_EQTY_200014621_CURRENCY_ISO" localSheetId="2">#REF!</definedName>
    <definedName name="E_KEYWORD_EQTY_200014621_DCF_CASH_FLOW" localSheetId="2">#REF!</definedName>
    <definedName name="E_KEYWORD_EQTY_200014621_DEBT_EQUITY" localSheetId="2">#REF!</definedName>
    <definedName name="E_KEYWORD_EQTY_200014621_DEBT_RISK_MARGIN_DCF" localSheetId="2">#REF!</definedName>
    <definedName name="E_KEYWORD_EQTY_200014621_DILUTE_SHARES" localSheetId="2">#REF!</definedName>
    <definedName name="E_KEYWORD_EQTY_200014621_DISCOUNT_FACTOR_DCF" localSheetId="2">#REF!</definedName>
    <definedName name="E_KEYWORD_EQTY_200014621_DPS" localSheetId="2">#REF!</definedName>
    <definedName name="E_KEYWORD_EQTY_200014621_DPS_PUB" localSheetId="2">#REF!</definedName>
    <definedName name="E_KEYWORD_EQTY_200014621_EBIT_PUB" localSheetId="2">#REF!</definedName>
    <definedName name="E_KEYWORD_EQTY_200014621_EBITDA_PUB" localSheetId="2">#REF!</definedName>
    <definedName name="E_KEYWORD_EQTY_200014621_EBITDAF" localSheetId="2">#REF!</definedName>
    <definedName name="E_KEYWORD_EQTY_200014621_EFPO" localSheetId="2">#REF!</definedName>
    <definedName name="E_KEYWORD_EQTY_200014621_EFPOWA" localSheetId="2">#REF!</definedName>
    <definedName name="E_KEYWORD_EQTY_200014621_EPS_CONS_PUB" localSheetId="2">#REF!</definedName>
    <definedName name="E_KEYWORD_EQTY_200014621_EPS_FUL_DIL" localSheetId="2">#REF!</definedName>
    <definedName name="E_KEYWORD_EQTY_200014621_EPS_PRE_GWILL" localSheetId="2">#REF!</definedName>
    <definedName name="E_KEYWORD_EQTY_200014621_EPS_PUB" localSheetId="2">#REF!</definedName>
    <definedName name="E_KEYWORD_EQTY_200014621_EPS_REPORTED" localSheetId="2">#REF!</definedName>
    <definedName name="E_KEYWORD_EQTY_200014621_EQ_PUB" localSheetId="2">#REF!</definedName>
    <definedName name="E_KEYWORD_EQTY_200014621_EQUITY_VALUE_DCF" localSheetId="2">#REF!</definedName>
    <definedName name="E_KEYWORD_EQTY_200014621_EV_ADJ_PUB" localSheetId="2">#REF!</definedName>
    <definedName name="E_KEYWORD_EQTY_200014621_FIN_INSTRUMENT_HEDGE_POST_TAX" localSheetId="2">#REF!</definedName>
    <definedName name="E_KEYWORD_EQTY_200014621_FINAL_DIV_AMOUNT" localSheetId="2">#REF!</definedName>
    <definedName name="E_KEYWORD_EQTY_200014621_FINAL_DIV_EXDATE" localSheetId="2">#REF!</definedName>
    <definedName name="E_KEYWORD_EQTY_200014621_FINAL_DIV_FRANK" localSheetId="2">#REF!</definedName>
    <definedName name="E_KEYWORD_EQTY_200014621_FINAL_DIV_TAXRATE" localSheetId="2">#REF!</definedName>
    <definedName name="E_KEYWORD_EQTY_200014621_FOREIGN_EXCHANGE_GAIN_LOSS" localSheetId="2">#REF!</definedName>
    <definedName name="E_KEYWORD_EQTY_200014621_FOREIGN_HOLDNG" localSheetId="2">#REF!</definedName>
    <definedName name="E_KEYWORD_EQTY_200014621_FRANK_TAX_RATE" localSheetId="2">#REF!</definedName>
    <definedName name="E_KEYWORD_EQTY_200014621_FRANKING" localSheetId="2">#REF!</definedName>
    <definedName name="E_KEYWORD_EQTY_200014621_FRANKING_ANZPUB" localSheetId="2">#REF!</definedName>
    <definedName name="E_KEYWORD_EQTY_200014621_FREE_FLOAT" localSheetId="2">#REF!</definedName>
    <definedName name="E_KEYWORD_EQTY_200014621_FULLY_DIL_EPS" localSheetId="2">#REF!</definedName>
    <definedName name="E_KEYWORD_EQTY_200014621_GT_BETA" localSheetId="2">#REF!</definedName>
    <definedName name="E_KEYWORD_EQTY_200014621_GWILL_ASSET_IMP_CHG_POST_TAX" localSheetId="2">#REF!</definedName>
    <definedName name="E_KEYWORD_EQTY_200014621_IMP_CREDITS_PER_SHARE_DCF" localSheetId="2">#REF!</definedName>
    <definedName name="E_KEYWORD_EQTY_200014621_INC_MINORITY" localSheetId="2">#REF!</definedName>
    <definedName name="E_KEYWORD_EQTY_200014621_INCTAX_PL_ON_AB" localSheetId="2">#REF!</definedName>
    <definedName name="E_KEYWORD_EQTY_200014621_INCTAX_PL_POST_AB" localSheetId="2">#REF!</definedName>
    <definedName name="E_KEYWORD_EQTY_200014621_INT_DIV_AMOUNT" localSheetId="2">#REF!</definedName>
    <definedName name="E_KEYWORD_EQTY_200014621_INT_DIV_EXDATE" localSheetId="2">#REF!</definedName>
    <definedName name="E_KEYWORD_EQTY_200014621_INT_DIV_FRANK" localSheetId="2">#REF!</definedName>
    <definedName name="E_KEYWORD_EQTY_200014621_INT_DIV_TAXRATE" localSheetId="2">#REF!</definedName>
    <definedName name="E_KEYWORD_EQTY_200014621_Interim_Type" localSheetId="2">#REF!</definedName>
    <definedName name="E_KEYWORD_EQTY_200014621_INTRINSIC_PER_SHARE_VALUE_DCF" localSheetId="2">#REF!</definedName>
    <definedName name="E_KEYWORD_EQTY_200014621_LEGAL_RATING" localSheetId="2">#REF!</definedName>
    <definedName name="E_KEYWORD_EQTY_200014621_MARKET_VALUE_OF_INVESTMENTS_DCF" localSheetId="2">#REF!</definedName>
    <definedName name="E_KEYWORD_EQTY_200014621_MKT_EQ_RISK_PREM" localSheetId="2">#REF!</definedName>
    <definedName name="E_KEYWORD_EQTY_200014621_NET_DEBT_NET_CASH_DCF" localSheetId="2">#REF!</definedName>
    <definedName name="E_KEYWORD_EQTY_200014621_NET_DEBT_PUB" localSheetId="2">#REF!</definedName>
    <definedName name="E_KEYWORD_EQTY_200014621_NET_EARNING" localSheetId="2">#REF!</definedName>
    <definedName name="E_KEYWORD_EQTY_200014621_NET_INC" localSheetId="2">#REF!</definedName>
    <definedName name="E_KEYWORD_EQTY_200014621_NET_PROFIT" localSheetId="2">#REF!</definedName>
    <definedName name="E_KEYWORD_EQTY_200014621_NET_TANGIBLE_ASSETS_ADJUSTED_NZ" localSheetId="2">#REF!</definedName>
    <definedName name="E_KEYWORD_EQTY_200014621_NI_CONS" localSheetId="2">#REF!</definedName>
    <definedName name="E_KEYWORD_EQTY_200014621_NI_PRE_PREF" localSheetId="2">#REF!</definedName>
    <definedName name="E_KEYWORD_EQTY_200014621_NI_REPT_PUB" localSheetId="2">#REF!</definedName>
    <definedName name="E_KEYWORD_EQTY_200014621_NON_OP_ADD" localSheetId="2">#REF!</definedName>
    <definedName name="E_KEYWORD_EQTY_200014621_NOPAT" localSheetId="2">#REF!</definedName>
    <definedName name="E_KEYWORD_EQTY_200014621_NUM_SH" localSheetId="2">#REF!</definedName>
    <definedName name="E_KEYWORD_EQTY_200014621_NZ_FRANKING" localSheetId="2">#REF!</definedName>
    <definedName name="E_KEYWORD_EQTY_200014621_OPPL_ATAX_POST_AB" localSheetId="2">#REF!</definedName>
    <definedName name="E_KEYWORD_EQTY_200014621_OPPL_ATAX_PRE_AB" localSheetId="2">#REF!</definedName>
    <definedName name="E_KEYWORD_EQTY_200014621_OPTIONS" localSheetId="2">#REF!</definedName>
    <definedName name="E_KEYWORD_EQTY_200014621_OTH_ASSET_IMPAIR_CHG_POST_TAX" localSheetId="2">#REF!</definedName>
    <definedName name="E_KEYWORD_EQTY_200014621_OTHER_ABNORMAL_ITEMS" localSheetId="2">#REF!</definedName>
    <definedName name="E_KEYWORD_EQTY_200014621_OTHER_CAPITAL" localSheetId="2">#REF!</definedName>
    <definedName name="E_KEYWORD_EQTY_200014621_OTHER_IFRS_ADJUST_POST_TAX" localSheetId="2">#REF!</definedName>
    <definedName name="E_KEYWORD_EQTY_200014621_PARTLY_PAID_SHARES" localSheetId="2">#REF!</definedName>
    <definedName name="E_KEYWORD_EQTY_200014621_PERPETUITY_GROWTH_RATE_DCF" localSheetId="2">#REF!</definedName>
    <definedName name="E_KEYWORD_EQTY_200014621_PREF_DIV" localSheetId="2">#REF!</definedName>
    <definedName name="E_KEYWORD_EQTY_200014621_PREFERENCE_SHARES" localSheetId="2">#REF!</definedName>
    <definedName name="E_KEYWORD_EQTY_200014621_PRESENT_VALUE_OF_CASH_FLOW_DCF" localSheetId="2">#REF!</definedName>
    <definedName name="E_KEYWORD_EQTY_200014621_PRI_TARG_METH" localSheetId="2">#REF!</definedName>
    <definedName name="E_KEYWORD_EQTY_200014621_PRI_TARG_MULT" localSheetId="2">#REF!</definedName>
    <definedName name="E_KEYWORD_EQTY_200014621_PRICE_CURRENCY_ISO" localSheetId="2">#REF!</definedName>
    <definedName name="E_KEYWORD_EQTY_200014621_PROF_ADJUST_EPS" localSheetId="2">#REF!</definedName>
    <definedName name="E_KEYWORD_EQTY_200014621_PROV_INC_TAX" localSheetId="2">#REF!</definedName>
    <definedName name="E_KEYWORD_EQTY_200014621_PTP_PUB" localSheetId="2">#REF!</definedName>
    <definedName name="E_KEYWORD_EQTY_200014621_PUB_CURRENCY_ISO" localSheetId="2">#REF!</definedName>
    <definedName name="E_KEYWORD_EQTY_200014621_RESTRUC_COSTS" localSheetId="2">#REF!</definedName>
    <definedName name="E_KEYWORD_EQTY_200014621_REVS_PUB" localSheetId="2">#REF!</definedName>
    <definedName name="E_KEYWORD_EQTY_200014621_RISK_ADJ_OPTION_VALUE_DCF" localSheetId="2">#REF!</definedName>
    <definedName name="E_KEYWORD_EQTY_200014621_RISK_FR_RATE" localSheetId="2">#REF!</definedName>
    <definedName name="E_KEYWORD_EQTY_200014621_RISK_TO_EARNINGS" localSheetId="2">#REF!</definedName>
    <definedName name="E_KEYWORD_EQTY_200014621_ROCE_ANZ" localSheetId="2">#REF!</definedName>
    <definedName name="E_KEYWORD_EQTY_200014621_Security_Name" localSheetId="2">#REF!</definedName>
    <definedName name="E_KEYWORD_EQTY_200014621_SH" localSheetId="2">#REF!</definedName>
    <definedName name="E_KEYWORD_EQTY_200014621_SHOLDERS_EQUITY_MBRS" localSheetId="2">#REF!</definedName>
    <definedName name="E_KEYWORD_EQTY_200014621_STD_FREE_OP_CASH_FLOW_DCF" localSheetId="2">#REF!</definedName>
    <definedName name="E_KEYWORD_EQTY_200014621_TARGET_PRICE" localSheetId="2">#REF!</definedName>
    <definedName name="E_KEYWORD_EQTY_200014621_TAX_EXC" localSheetId="2">#REF!</definedName>
    <definedName name="E_KEYWORD_EQTY_200014621_TAX_RATE_DCF" localSheetId="2">#REF!</definedName>
    <definedName name="E_KEYWORD_EQTY_200014621_TERMINAL_YEAR_DCF" localSheetId="2">#REF!</definedName>
    <definedName name="E_KEYWORD_EQTY_200014621_Ticker" localSheetId="2">#REF!</definedName>
    <definedName name="E_KEYWORD_EQTY_200014621_TOTAL_CAPITAL" localSheetId="2">#REF!</definedName>
    <definedName name="E_KEYWORD_EQTY_200014621_TOTAL_IFRS_ADJUST_POST_TAX" localSheetId="2">#REF!</definedName>
    <definedName name="E_KEYWORD_EQTY_200014621_TP_PERIOD" localSheetId="2">#REF!</definedName>
    <definedName name="E_KEYWORD_EQTY_200014621_WACC_DCF" localSheetId="2">#REF!</definedName>
    <definedName name="E_KEYWORD_EQTY_200014621_YEAR_END_CAPITAL_EVA" localSheetId="2">#REF!</definedName>
    <definedName name="E_KEYWORD_EQTY_200015044_AMER_CONVICTION" localSheetId="2">#REF!</definedName>
    <definedName name="E_KEYWORD_EQTY_200015044_AMER_LIST" localSheetId="2">#REF!</definedName>
    <definedName name="E_KEYWORD_EQTY_200015044_BETA_ANALYST" localSheetId="2">#REF!</definedName>
    <definedName name="E_KEYWORD_EQTY_200015044_BVPS" localSheetId="2">#REF!</definedName>
    <definedName name="E_KEYWORD_EQTY_200015044_BVPS_PUB" localSheetId="2">#REF!</definedName>
    <definedName name="E_KEYWORD_EQTY_200015044_CEEE_EPS" localSheetId="2">#REF!</definedName>
    <definedName name="E_KEYWORD_EQTY_200015044_CF_NI_PRE_PREF" localSheetId="2">#REF!</definedName>
    <definedName name="E_KEYWORD_EQTY_200015044_COMMON_DIV_PAID" localSheetId="2">#REF!</definedName>
    <definedName name="E_KEYWORD_EQTY_200015044_CURRENCY_ISO" localSheetId="2">#REF!</definedName>
    <definedName name="E_KEYWORD_EQTY_200015044_DILUTE_SHARES" localSheetId="2">#REF!</definedName>
    <definedName name="E_KEYWORD_EQTY_200015044_DPS" localSheetId="2">#REF!</definedName>
    <definedName name="E_KEYWORD_EQTY_200015044_DPS_PUB" localSheetId="2">#REF!</definedName>
    <definedName name="E_KEYWORD_EQTY_200015044_EBIT_PUB" localSheetId="2">#REF!</definedName>
    <definedName name="E_KEYWORD_EQTY_200015044_EBITDA_PUB" localSheetId="2">#REF!</definedName>
    <definedName name="E_KEYWORD_EQTY_200015044_EPS" localSheetId="2">#REF!</definedName>
    <definedName name="E_KEYWORD_EQTY_200015044_EPS_EX_ESO_B" localSheetId="2">#REF!</definedName>
    <definedName name="E_KEYWORD_EQTY_200015044_EPS_EX_ESO_D" localSheetId="2">#REF!</definedName>
    <definedName name="E_KEYWORD_EQTY_200015044_EPS_FUL_DIL" localSheetId="2">#REF!</definedName>
    <definedName name="E_KEYWORD_EQTY_200015044_EPS_POST_BASIC" localSheetId="2">#REF!</definedName>
    <definedName name="E_KEYWORD_EQTY_200015044_EPS_PUB" localSheetId="2">#REF!</definedName>
    <definedName name="E_KEYWORD_EQTY_200015044_EPS_PUB_EX_ESO" localSheetId="2">#REF!</definedName>
    <definedName name="E_KEYWORD_EQTY_200015044_EQ_PUB" localSheetId="2">#REF!</definedName>
    <definedName name="E_KEYWORD_EQTY_200015044_ESO_POST_TAX" localSheetId="2">#REF!</definedName>
    <definedName name="E_KEYWORD_EQTY_200015044_ESO_YEAR" localSheetId="2">#REF!</definedName>
    <definedName name="E_KEYWORD_EQTY_200015044_EV_ADJ_PUB" localSheetId="2">#REF!</definedName>
    <definedName name="E_KEYWORD_EQTY_200015044_FREE_FLOAT" localSheetId="2">#REF!</definedName>
    <definedName name="E_KEYWORD_EQTY_200015044_FULLY_DIL_EPS" localSheetId="2">#REF!</definedName>
    <definedName name="E_KEYWORD_EQTY_200015044_FV_GRANT" localSheetId="2">#REF!</definedName>
    <definedName name="E_KEYWORD_EQTY_200015044_INC_MINORITY" localSheetId="2">#REF!</definedName>
    <definedName name="E_KEYWORD_EQTY_200015044_Interim_Type" localSheetId="2">#REF!</definedName>
    <definedName name="E_KEYWORD_EQTY_200015044_LEGAL_RATING" localSheetId="2">#REF!</definedName>
    <definedName name="E_KEYWORD_EQTY_200015044_MARGIN_TAX_RATE" localSheetId="2">#REF!</definedName>
    <definedName name="E_KEYWORD_EQTY_200015044_MKT_EQ_RISK_PREM" localSheetId="2">#REF!</definedName>
    <definedName name="E_KEYWORD_EQTY_200015044_NET_DEBT_PUB" localSheetId="2">#REF!</definedName>
    <definedName name="E_KEYWORD_EQTY_200015044_NET_EARNING" localSheetId="2">#REF!</definedName>
    <definedName name="E_KEYWORD_EQTY_200015044_NET_INC" localSheetId="2">#REF!</definedName>
    <definedName name="E_KEYWORD_EQTY_200015044_NI_PRE_PREF" localSheetId="2">#REF!</definedName>
    <definedName name="E_KEYWORD_EQTY_200015044_NI_PUB" localSheetId="2">#REF!</definedName>
    <definedName name="E_KEYWORD_EQTY_200015044_NON_OP_ADD" localSheetId="2">#REF!</definedName>
    <definedName name="E_KEYWORD_EQTY_200015044_NUM_SH" localSheetId="2">#REF!</definedName>
    <definedName name="E_KEYWORD_EQTY_200015044_PREF_DIV" localSheetId="2">#REF!</definedName>
    <definedName name="E_KEYWORD_EQTY_200015044_PRICE_CURRENCY_ISO" localSheetId="2">#REF!</definedName>
    <definedName name="E_KEYWORD_EQTY_200015044_PROV_INC_TAX" localSheetId="2">#REF!</definedName>
    <definedName name="E_KEYWORD_EQTY_200015044_PTP_PUB" localSheetId="2">#REF!</definedName>
    <definedName name="E_KEYWORD_EQTY_200015044_PUB_CURRENCY_ISO" localSheetId="2">#REF!</definedName>
    <definedName name="E_KEYWORD_EQTY_200015044_REPUR_ACTUAL" localSheetId="2">#REF!</definedName>
    <definedName name="E_KEYWORD_EQTY_200015044_REPUR_REMAINING" localSheetId="2">#REF!</definedName>
    <definedName name="E_KEYWORD_EQTY_200015044_REPUR_SUSPENDED" localSheetId="2">#REF!</definedName>
    <definedName name="E_KEYWORD_EQTY_200015044_REPUR_TOT_AUTH" localSheetId="2">#REF!</definedName>
    <definedName name="E_KEYWORD_EQTY_200015044_REVS_PUB" localSheetId="2">#REF!</definedName>
    <definedName name="E_KEYWORD_EQTY_200015044_RISK_FR_RATE" localSheetId="2">#REF!</definedName>
    <definedName name="E_KEYWORD_EQTY_200015044_Security_Name" localSheetId="2">#REF!</definedName>
    <definedName name="E_KEYWORD_EQTY_200015044_SH" localSheetId="2">#REF!</definedName>
    <definedName name="E_KEYWORD_EQTY_200015044_TARGET_PRICE" localSheetId="2">#REF!</definedName>
    <definedName name="E_KEYWORD_EQTY_200015044_TAX_EXC" localSheetId="2">#REF!</definedName>
    <definedName name="E_KEYWORD_EQTY_200015044_Ticker" localSheetId="2">#REF!</definedName>
    <definedName name="E_KEYWORD_EQTY_200015044_TP_PERIOD" localSheetId="2">#REF!</definedName>
    <definedName name="E_KEYWORD_ISSR_208011371_ACC_AMORT" localSheetId="2">#REF!</definedName>
    <definedName name="E_KEYWORD_ISSR_208011371_ACC_DDA" localSheetId="2">#REF!</definedName>
    <definedName name="E_KEYWORD_ISSR_208011371_ACC_END_DATE" localSheetId="2">#REF!</definedName>
    <definedName name="E_KEYWORD_ISSR_208011371_ACC_GW_AM" localSheetId="2">#REF!</definedName>
    <definedName name="E_KEYWORD_ISSR_208011371_ACC_PAY_GQ" localSheetId="2">#REF!</definedName>
    <definedName name="E_KEYWORD_ISSR_208011371_ACCESS_CONNECTION" localSheetId="2">#REF!</definedName>
    <definedName name="E_KEYWORD_ISSR_208011371_ACCUM_AMORT" localSheetId="2">#REF!</definedName>
    <definedName name="E_KEYWORD_ISSR_208011371_ACQ" localSheetId="2">#REF!</definedName>
    <definedName name="E_KEYWORD_ISSR_208011371_ADJ_UNF_PENS_GOOD" localSheetId="2">#REF!</definedName>
    <definedName name="E_KEYWORD_ISSR_208011371_AMORT_OF_INTANGIBLES" localSheetId="2">#REF!</definedName>
    <definedName name="E_KEYWORD_ISSR_208011371_AMORT_OF_INTANGIBLES_ADJ" localSheetId="2">#REF!</definedName>
    <definedName name="E_KEYWORD_ISSR_208011371_ASSOC_JV_ADDBK" localSheetId="2">#REF!</definedName>
    <definedName name="E_KEYWORD_ISSR_208011371_ASSOCIATE" localSheetId="2">#REF!</definedName>
    <definedName name="E_KEYWORD_ISSR_208011371_ASSOCIATE_OP" localSheetId="2">#REF!</definedName>
    <definedName name="E_KEYWORD_ISSR_208011371_AVG_CAPITAL_EMPLOYED_ADJ" localSheetId="2">#REF!</definedName>
    <definedName name="E_KEYWORD_ISSR_208011371_BAL_MINO_INT" localSheetId="2">#REF!</definedName>
    <definedName name="E_KEYWORD_ISSR_208011371_BAL_OF_FRANK_CREDITS" localSheetId="2">#REF!</definedName>
    <definedName name="E_KEYWORD_ISSR_208011371_BANK_ODRAFT" localSheetId="2">#REF!</definedName>
    <definedName name="E_KEYWORD_ISSR_208011371_BORROWINGS" localSheetId="2">#REF!</definedName>
    <definedName name="E_KEYWORD_ISSR_208011371_BRBND_MKT_SH" localSheetId="2">#REF!</definedName>
    <definedName name="E_KEYWORD_ISSR_208011371_BRBND_MKT_SH_MOMENTUM" localSheetId="2">#REF!</definedName>
    <definedName name="E_KEYWORD_ISSR_208011371_BRBND_PEN" localSheetId="2">#REF!</definedName>
    <definedName name="E_KEYWORD_ISSR_208011371_BRDBND_SUB_ARGNT" localSheetId="2">#REF!</definedName>
    <definedName name="E_KEYWORD_ISSR_208011371_BRDBND_SUB_AUST" localSheetId="2">#REF!</definedName>
    <definedName name="E_KEYWORD_ISSR_208011371_BRDBND_SUB_BRAZIL" localSheetId="2">#REF!</definedName>
    <definedName name="E_KEYWORD_ISSR_208011371_BRDBND_SUB_CAN" localSheetId="2">#REF!</definedName>
    <definedName name="E_KEYWORD_ISSR_208011371_BRDBND_SUB_CHILE" localSheetId="2">#REF!</definedName>
    <definedName name="E_KEYWORD_ISSR_208011371_BRDBND_SUB_CHINA" localSheetId="2">#REF!</definedName>
    <definedName name="E_KEYWORD_ISSR_208011371_BRDBND_SUB_COLUMB" localSheetId="2">#REF!</definedName>
    <definedName name="E_KEYWORD_ISSR_208011371_BRDBND_SUB_DEN" localSheetId="2">#REF!</definedName>
    <definedName name="E_KEYWORD_ISSR_208011371_BRDBND_SUB_FRA" localSheetId="2">#REF!</definedName>
    <definedName name="E_KEYWORD_ISSR_208011371_BRDBND_SUB_GER" localSheetId="2">#REF!</definedName>
    <definedName name="E_KEYWORD_ISSR_208011371_BRDBND_SUB_HK" localSheetId="2">#REF!</definedName>
    <definedName name="E_KEYWORD_ISSR_208011371_BRDBND_SUB_INDIA" localSheetId="2">#REF!</definedName>
    <definedName name="E_KEYWORD_ISSR_208011371_BRDBND_SUB_INDO" localSheetId="2">#REF!</definedName>
    <definedName name="E_KEYWORD_ISSR_208011371_BRDBND_SUB_ITALY" localSheetId="2">#REF!</definedName>
    <definedName name="E_KEYWORD_ISSR_208011371_BRDBND_SUB_JPN" localSheetId="2">#REF!</definedName>
    <definedName name="E_KEYWORD_ISSR_208011371_BRDBND_SUB_MALAY" localSheetId="2">#REF!</definedName>
    <definedName name="E_KEYWORD_ISSR_208011371_BRDBND_SUB_MEX" localSheetId="2">#REF!</definedName>
    <definedName name="E_KEYWORD_ISSR_208011371_BRDBND_SUB_NETH" localSheetId="2">#REF!</definedName>
    <definedName name="E_KEYWORD_ISSR_208011371_BRDBND_SUB_NIG" localSheetId="2">#REF!</definedName>
    <definedName name="E_KEYWORD_ISSR_208011371_BRDBND_SUB_NOR" localSheetId="2">#REF!</definedName>
    <definedName name="E_KEYWORD_ISSR_208011371_BRDBND_SUB_NZ" localSheetId="2">#REF!</definedName>
    <definedName name="E_KEYWORD_ISSR_208011371_BRDBND_SUB_PHIL" localSheetId="2">#REF!</definedName>
    <definedName name="E_KEYWORD_ISSR_208011371_BRDBND_SUB_POL" localSheetId="2">#REF!</definedName>
    <definedName name="E_KEYWORD_ISSR_208011371_BRDBND_SUB_POR" localSheetId="2">#REF!</definedName>
    <definedName name="E_KEYWORD_ISSR_208011371_BRDBND_SUB_RUS" localSheetId="2">#REF!</definedName>
    <definedName name="E_KEYWORD_ISSR_208011371_BRDBND_SUB_SA" localSheetId="2">#REF!</definedName>
    <definedName name="E_KEYWORD_ISSR_208011371_BRDBND_SUB_SA_ARAB" localSheetId="2">#REF!</definedName>
    <definedName name="E_KEYWORD_ISSR_208011371_BRDBND_SUB_SK" localSheetId="2">#REF!</definedName>
    <definedName name="E_KEYWORD_ISSR_208011371_BRDBND_SUB_SNG" localSheetId="2">#REF!</definedName>
    <definedName name="E_KEYWORD_ISSR_208011371_BRDBND_SUB_SPAIN" localSheetId="2">#REF!</definedName>
    <definedName name="E_KEYWORD_ISSR_208011371_BRDBND_SUB_SWED" localSheetId="2">#REF!</definedName>
    <definedName name="E_KEYWORD_ISSR_208011371_BRDBND_SUB_SWIT" localSheetId="2">#REF!</definedName>
    <definedName name="E_KEYWORD_ISSR_208011371_BRDBND_SUB_TAIWAN" localSheetId="2">#REF!</definedName>
    <definedName name="E_KEYWORD_ISSR_208011371_BRDBND_SUB_THAI" localSheetId="2">#REF!</definedName>
    <definedName name="E_KEYWORD_ISSR_208011371_BRDBND_SUB_TOTAL" localSheetId="2">#REF!</definedName>
    <definedName name="E_KEYWORD_ISSR_208011371_BRDBND_SUB_TURK" localSheetId="2">#REF!</definedName>
    <definedName name="E_KEYWORD_ISSR_208011371_BRDBND_SUB_UK" localSheetId="2">#REF!</definedName>
    <definedName name="E_KEYWORD_ISSR_208011371_BRDBND_SUB_US" localSheetId="2">#REF!</definedName>
    <definedName name="E_KEYWORD_ISSR_208011371_CAP_LEASES" localSheetId="2">#REF!</definedName>
    <definedName name="E_KEYWORD_ISSR_208011371_CAPEX" localSheetId="2">#REF!</definedName>
    <definedName name="E_KEYWORD_ISSR_208011371_CAPEX_EXPANSION" localSheetId="2">#REF!</definedName>
    <definedName name="E_KEYWORD_ISSR_208011371_CAPEX_MAINTENANCE" localSheetId="2">#REF!</definedName>
    <definedName name="E_KEYWORD_ISSR_208011371_CASH_EQ" localSheetId="2">#REF!</definedName>
    <definedName name="E_KEYWORD_ISSR_208011371_CASH_INT_EXP" localSheetId="2">#REF!</definedName>
    <definedName name="E_KEYWORD_ISSR_208011371_CASH_TAX_EXP" localSheetId="2">#REF!</definedName>
    <definedName name="E_KEYWORD_ISSR_208011371_CF_FIN" localSheetId="2">#REF!</definedName>
    <definedName name="E_KEYWORD_ISSR_208011371_CF_INC_MINORITY" localSheetId="2">#REF!</definedName>
    <definedName name="E_KEYWORD_ISSR_208011371_CF_INV" localSheetId="2">#REF!</definedName>
    <definedName name="E_KEYWORD_ISSR_208011371_CF_INV_MISC" localSheetId="2">#REF!</definedName>
    <definedName name="E_KEYWORD_ISSR_208011371_CF_OPS" localSheetId="2">#REF!</definedName>
    <definedName name="E_KEYWORD_ISSR_208011371_CF_OPS_MISC" localSheetId="2">#REF!</definedName>
    <definedName name="E_KEYWORD_ISSR_208011371_CHG_LT_DEBT" localSheetId="2">#REF!</definedName>
    <definedName name="E_KEYWORD_ISSR_208011371_CO_BOR_MARGIN" localSheetId="2">#REF!</definedName>
    <definedName name="E_KEYWORD_ISSR_208011371_COST_GD_SD" localSheetId="2">#REF!</definedName>
    <definedName name="E_KEYWORD_ISSR_208011371_COST_OF_DEBT_DCF" localSheetId="2">#REF!</definedName>
    <definedName name="E_KEYWORD_ISSR_208011371_CUR_ASS" localSheetId="2">#REF!</definedName>
    <definedName name="E_KEYWORD_ISSR_208011371_CUR_ASS_MISC" localSheetId="2">#REF!</definedName>
    <definedName name="E_KEYWORD_ISSR_208011371_CUR_LIABS_MISC" localSheetId="2">#REF!</definedName>
    <definedName name="E_KEYWORD_ISSR_208011371_CURRENCY_ISO" localSheetId="2">#REF!</definedName>
    <definedName name="E_KEYWORD_ISSR_208011371_CUSTOMER_RECEIPTS" localSheetId="2">#REF!</definedName>
    <definedName name="E_KEYWORD_ISSR_208011371_DEBT_TO_EQUITY_MKT_VALUES_DCF" localSheetId="2">#REF!</definedName>
    <definedName name="E_KEYWORD_ISSR_208011371_DEBTORS" localSheetId="2">#REF!</definedName>
    <definedName name="E_KEYWORD_ISSR_208011371_DEF_INC_TAX" localSheetId="2">#REF!</definedName>
    <definedName name="E_KEYWORD_ISSR_208011371_DEFINED_BENEFIT_OBLIGATION" localSheetId="2">#REF!</definedName>
    <definedName name="E_KEYWORD_ISSR_208011371_DEFINED_BENEFIT_SURPLUS" localSheetId="2">#REF!</definedName>
    <definedName name="E_KEYWORD_ISSR_208011371_DEPR_AMORT" localSheetId="2">#REF!</definedName>
    <definedName name="E_KEYWORD_ISSR_208011371_DEPREC" localSheetId="2">#REF!</definedName>
    <definedName name="E_KEYWORD_ISSR_208011371_DIV_PAID" localSheetId="2">#REF!</definedName>
    <definedName name="E_KEYWORD_ISSR_208011371_DIVDS_ASSOC_JV" localSheetId="2">#REF!</definedName>
    <definedName name="E_KEYWORD_ISSR_208011371_DIVDS_PD_MINORITIES" localSheetId="2">#REF!</definedName>
    <definedName name="E_KEYWORD_ISSR_208011371_DIVEST" localSheetId="2">#REF!</definedName>
    <definedName name="E_KEYWORD_ISSR_208011371_DIVIDENDS_RECEIVED" localSheetId="2">#REF!</definedName>
    <definedName name="E_KEYWORD_ISSR_208011371_EBIT" localSheetId="2">#REF!</definedName>
    <definedName name="E_KEYWORD_ISSR_208011371_EBIT_CONSOLIDATED" localSheetId="2">#REF!</definedName>
    <definedName name="E_KEYWORD_ISSR_208011371_EBIT_CONSOLIDATED_PRE_ASSOC" localSheetId="2">#REF!</definedName>
    <definedName name="E_KEYWORD_ISSR_208011371_EBITDA_CALC" localSheetId="2">#REF!</definedName>
    <definedName name="E_KEYWORD_ISSR_208011371_EBITDA_CONSOLIDATED" localSheetId="2">#REF!</definedName>
    <definedName name="E_KEYWORD_ISSR_208011371_EMPLOYEES" localSheetId="2">#REF!</definedName>
    <definedName name="E_KEYWORD_ISSR_208011371_EQ" localSheetId="2">#REF!</definedName>
    <definedName name="E_KEYWORD_ISSR_208011371_EXP_COPPER" localSheetId="2">#REF!</definedName>
    <definedName name="E_KEYWORD_ISSR_208011371_EXP_OTH_COMMODITY" localSheetId="2">#REF!</definedName>
    <definedName name="E_KEYWORD_ISSR_208011371_EXP_OTH_COST" localSheetId="2">#REF!</definedName>
    <definedName name="E_KEYWORD_ISSR_208011371_EXP_STEEL" localSheetId="2">#REF!</definedName>
    <definedName name="E_KEYWORD_ISSR_208011371_FIN_INSTR_HEDGE_CURR_LIABILITY" localSheetId="2">#REF!</definedName>
    <definedName name="E_KEYWORD_ISSR_208011371_FIN_INSTR_HEDGE_CURRENT" localSheetId="2">#REF!</definedName>
    <definedName name="E_KEYWORD_ISSR_208011371_FIN_INSTR_HEDGE_NON_CURR_LIAB" localSheetId="2">#REF!</definedName>
    <definedName name="E_KEYWORD_ISSR_208011371_FIN_INSTR_HEDGE_NON_CURRENT" localSheetId="2">#REF!</definedName>
    <definedName name="E_KEYWORD_ISSR_208011371_FIN_INSTRUMENT_HEDGE_PRE_TAX" localSheetId="2">#REF!</definedName>
    <definedName name="E_KEYWORD_ISSR_208011371_FIX_ASS_INV" localSheetId="2">#REF!</definedName>
    <definedName name="E_KEYWORD_ISSR_208011371_FIX_VOICE_SUB_ARGNT" localSheetId="2">#REF!</definedName>
    <definedName name="E_KEYWORD_ISSR_208011371_FIX_VOICE_SUB_AUST" localSheetId="2">#REF!</definedName>
    <definedName name="E_KEYWORD_ISSR_208011371_FIX_VOICE_SUB_BRAZIL" localSheetId="2">#REF!</definedName>
    <definedName name="E_KEYWORD_ISSR_208011371_FIX_VOICE_SUB_CAN" localSheetId="2">#REF!</definedName>
    <definedName name="E_KEYWORD_ISSR_208011371_FIX_VOICE_SUB_CHILE" localSheetId="2">#REF!</definedName>
    <definedName name="E_KEYWORD_ISSR_208011371_FIX_VOICE_SUB_CHINA" localSheetId="2">#REF!</definedName>
    <definedName name="E_KEYWORD_ISSR_208011371_FIX_VOICE_SUB_COLUMB" localSheetId="2">#REF!</definedName>
    <definedName name="E_KEYWORD_ISSR_208011371_FIX_VOICE_SUB_DEN" localSheetId="2">#REF!</definedName>
    <definedName name="E_KEYWORD_ISSR_208011371_FIX_VOICE_SUB_FRA" localSheetId="2">#REF!</definedName>
    <definedName name="E_KEYWORD_ISSR_208011371_FIX_VOICE_SUB_GER" localSheetId="2">#REF!</definedName>
    <definedName name="E_KEYWORD_ISSR_208011371_FIX_VOICE_SUB_HK" localSheetId="2">#REF!</definedName>
    <definedName name="E_KEYWORD_ISSR_208011371_FIX_VOICE_SUB_INDIA" localSheetId="2">#REF!</definedName>
    <definedName name="E_KEYWORD_ISSR_208011371_FIX_VOICE_SUB_INDO" localSheetId="2">#REF!</definedName>
    <definedName name="E_KEYWORD_ISSR_208011371_FIX_VOICE_SUB_ITALY" localSheetId="2">#REF!</definedName>
    <definedName name="E_KEYWORD_ISSR_208011371_FIX_VOICE_SUB_JPN" localSheetId="2">#REF!</definedName>
    <definedName name="E_KEYWORD_ISSR_208011371_FIX_VOICE_SUB_MALAY" localSheetId="2">#REF!</definedName>
    <definedName name="E_KEYWORD_ISSR_208011371_FIX_VOICE_SUB_MEX" localSheetId="2">#REF!</definedName>
    <definedName name="E_KEYWORD_ISSR_208011371_FIX_VOICE_SUB_NETH" localSheetId="2">#REF!</definedName>
    <definedName name="E_KEYWORD_ISSR_208011371_FIX_VOICE_SUB_NIG" localSheetId="2">#REF!</definedName>
    <definedName name="E_KEYWORD_ISSR_208011371_FIX_VOICE_SUB_NOR" localSheetId="2">#REF!</definedName>
    <definedName name="E_KEYWORD_ISSR_208011371_FIX_VOICE_SUB_NZ" localSheetId="2">#REF!</definedName>
    <definedName name="E_KEYWORD_ISSR_208011371_FIX_VOICE_SUB_PHIL" localSheetId="2">#REF!</definedName>
    <definedName name="E_KEYWORD_ISSR_208011371_FIX_VOICE_SUB_POL" localSheetId="2">#REF!</definedName>
    <definedName name="E_KEYWORD_ISSR_208011371_FIX_VOICE_SUB_POR" localSheetId="2">#REF!</definedName>
    <definedName name="E_KEYWORD_ISSR_208011371_FIX_VOICE_SUB_RUS" localSheetId="2">#REF!</definedName>
    <definedName name="E_KEYWORD_ISSR_208011371_FIX_VOICE_SUB_SA" localSheetId="2">#REF!</definedName>
    <definedName name="E_KEYWORD_ISSR_208011371_FIX_VOICE_SUB_SA_ARAB" localSheetId="2">#REF!</definedName>
    <definedName name="E_KEYWORD_ISSR_208011371_FIX_VOICE_SUB_SK" localSheetId="2">#REF!</definedName>
    <definedName name="E_KEYWORD_ISSR_208011371_FIX_VOICE_SUB_SNG" localSheetId="2">#REF!</definedName>
    <definedName name="E_KEYWORD_ISSR_208011371_FIX_VOICE_SUB_SPAIN" localSheetId="2">#REF!</definedName>
    <definedName name="E_KEYWORD_ISSR_208011371_FIX_VOICE_SUB_SWED" localSheetId="2">#REF!</definedName>
    <definedName name="E_KEYWORD_ISSR_208011371_FIX_VOICE_SUB_SWIT" localSheetId="2">#REF!</definedName>
    <definedName name="E_KEYWORD_ISSR_208011371_FIX_VOICE_SUB_TAIWAN" localSheetId="2">#REF!</definedName>
    <definedName name="E_KEYWORD_ISSR_208011371_FIX_VOICE_SUB_THAI" localSheetId="2">#REF!</definedName>
    <definedName name="E_KEYWORD_ISSR_208011371_FIX_VOICE_SUB_TOTAL" localSheetId="2">#REF!</definedName>
    <definedName name="E_KEYWORD_ISSR_208011371_FIX_VOICE_SUB_TURK" localSheetId="2">#REF!</definedName>
    <definedName name="E_KEYWORD_ISSR_208011371_FIX_VOICE_SUB_UK" localSheetId="2">#REF!</definedName>
    <definedName name="E_KEYWORD_ISSR_208011371_FIX_VOICE_SUB_US" localSheetId="2">#REF!</definedName>
    <definedName name="E_KEYWORD_ISSR_208011371_GCI_INFL" localSheetId="2">#REF!</definedName>
    <definedName name="E_KEYWORD_ISSR_208011371_GDP_GWTH_EMKT" localSheetId="2">#REF!</definedName>
    <definedName name="E_KEYWORD_ISSR_208011371_GOODWILL_AMORT" localSheetId="2">#REF!</definedName>
    <definedName name="E_KEYWORD_ISSR_208011371_GOODWILL_NET_AMNT" localSheetId="2">#REF!</definedName>
    <definedName name="E_KEYWORD_ISSR_208011371_GR_FIX_ASS" localSheetId="2">#REF!</definedName>
    <definedName name="E_KEYWORD_ISSR_208011371_GR_INTANG" localSheetId="2">#REF!</definedName>
    <definedName name="E_KEYWORD_ISSR_208011371_GROSS_GW" localSheetId="2">#REF!</definedName>
    <definedName name="E_KEYWORD_ISSR_208011371_GROSS_OTH_INTANG" localSheetId="2">#REF!</definedName>
    <definedName name="E_KEYWORD_ISSR_208011371_GT_BLEND_ARPU_PC" localSheetId="2">#REF!</definedName>
    <definedName name="E_KEYWORD_ISSR_208011371_GT_BLEND_MOU" localSheetId="2">#REF!</definedName>
    <definedName name="E_KEYWORD_ISSR_208011371_GT_CAPEX_MOU" localSheetId="2">#REF!</definedName>
    <definedName name="E_KEYWORD_ISSR_208011371_GT_DSL_SUB" localSheetId="2">#REF!</definedName>
    <definedName name="E_KEYWORD_ISSR_208011371_GT_FIX_DATA_REV" localSheetId="2">#REF!</definedName>
    <definedName name="E_KEYWORD_ISSR_208011371_GT_FIX_VOICE_REV" localSheetId="2">#REF!</definedName>
    <definedName name="E_KEYWORD_ISSR_208011371_GT_LD_SUB" localSheetId="2">#REF!</definedName>
    <definedName name="E_KEYWORD_ISSR_208011371_GT_MOB_DATA_REV" localSheetId="2">#REF!</definedName>
    <definedName name="E_KEYWORD_ISSR_208011371_GT_MOB_VOICE_REV" localSheetId="2">#REF!</definedName>
    <definedName name="E_KEYWORD_ISSR_208011371_GT_OTH_CAPEX" localSheetId="2">#REF!</definedName>
    <definedName name="E_KEYWORD_ISSR_208011371_GT_OTH_REV" localSheetId="2">#REF!</definedName>
    <definedName name="E_KEYWORD_ISSR_208011371_GT_OTHER_REV" localSheetId="2">#REF!</definedName>
    <definedName name="E_KEYWORD_ISSR_208011371_GT_PAY_TV_REV" localSheetId="2">#REF!</definedName>
    <definedName name="E_KEYWORD_ISSR_208011371_GT_SERVC_REV" localSheetId="2">#REF!</definedName>
    <definedName name="E_KEYWORD_ISSR_208011371_GT_TOT_ACC_LINE" localSheetId="2">#REF!</definedName>
    <definedName name="E_KEYWORD_ISSR_208011371_GT_TOT_BUS_LINE" localSheetId="2">#REF!</definedName>
    <definedName name="E_KEYWORD_ISSR_208011371_GT_TOT_MINS" localSheetId="2">#REF!</definedName>
    <definedName name="E_KEYWORD_ISSR_208011371_GT_TOT_PPD_SUB_PC" localSheetId="2">#REF!</definedName>
    <definedName name="E_KEYWORD_ISSR_208011371_GT_TOT_RES_LINE" localSheetId="2">#REF!</definedName>
    <definedName name="E_KEYWORD_ISSR_208011371_GT_TOT_RET_LINE" localSheetId="2">#REF!</definedName>
    <definedName name="E_KEYWORD_ISSR_208011371_GT_WRLN_CAPEX" localSheetId="2">#REF!</definedName>
    <definedName name="E_KEYWORD_ISSR_208011371_GT_WRLN_REV" localSheetId="2">#REF!</definedName>
    <definedName name="E_KEYWORD_ISSR_208011371_GT_WRLS_ARPU" localSheetId="2">#REF!</definedName>
    <definedName name="E_KEYWORD_ISSR_208011371_GT_WRLS_CAPEX" localSheetId="2">#REF!</definedName>
    <definedName name="E_KEYWORD_ISSR_208011371_GT_WRLS_CHURN" localSheetId="2">#REF!</definedName>
    <definedName name="E_KEYWORD_ISSR_208011371_GT_WRLS_REV" localSheetId="2">#REF!</definedName>
    <definedName name="E_KEYWORD_ISSR_208011371_GT_WRLS_SUB" localSheetId="2">#REF!</definedName>
    <definedName name="E_KEYWORD_ISSR_208011371_GWILL_ASSET_IMPAIR_CHG_PRE_TAX" localSheetId="2">#REF!</definedName>
    <definedName name="E_KEYWORD_ISSR_208011371_HSP_FIX" localSheetId="2">#REF!</definedName>
    <definedName name="E_KEYWORD_ISSR_208011371_INT_EXP_IND" localSheetId="2">#REF!</definedName>
    <definedName name="E_KEYWORD_ISSR_208011371_INT_INC_IND" localSheetId="2">#REF!</definedName>
    <definedName name="E_KEYWORD_ISSR_208011371_INT_OTHERS_RECEIVED" localSheetId="2">#REF!</definedName>
    <definedName name="E_KEYWORD_ISSR_208011371_INT_PAID_CF" localSheetId="2">#REF!</definedName>
    <definedName name="E_KEYWORD_ISSR_208011371_INTANG_CAPEX" localSheetId="2">#REF!</definedName>
    <definedName name="E_KEYWORD_ISSR_208011371_INV_SECUR" localSheetId="2">#REF!</definedName>
    <definedName name="E_KEYWORD_ISSR_208011371_INVESTMENTS" localSheetId="2">#REF!</definedName>
    <definedName name="E_KEYWORD_ISSR_208011371_Issuer_Name" localSheetId="2">#REF!</definedName>
    <definedName name="E_KEYWORD_ISSR_208011371_LABOUR" localSheetId="2">#REF!</definedName>
    <definedName name="E_KEYWORD_ISSR_208011371_LAND_BUILDINGS" localSheetId="2">#REF!</definedName>
    <definedName name="E_KEYWORD_ISSR_208011371_LEASE_DEEM_DEPR" localSheetId="2">#REF!</definedName>
    <definedName name="E_KEYWORD_ISSR_208011371_LEASE_DEEM_INT" localSheetId="2">#REF!</definedName>
    <definedName name="E_KEYWORD_ISSR_208011371_LEASE_PAY" localSheetId="2">#REF!</definedName>
    <definedName name="E_KEYWORD_ISSR_208011371_LOAN_REPAID_OTHER_ENTS" localSheetId="2">#REF!</definedName>
    <definedName name="E_KEYWORD_ISSR_208011371_LOANS_OTHER_ENTITIES" localSheetId="2">#REF!</definedName>
    <definedName name="E_KEYWORD_ISSR_208011371_LT_DEBT" localSheetId="2">#REF!</definedName>
    <definedName name="E_KEYWORD_ISSR_208011371_MARKETING_ADVERTISNIG" localSheetId="2">#REF!</definedName>
    <definedName name="E_KEYWORD_ISSR_208011371_MINORITIES" localSheetId="2">#REF!</definedName>
    <definedName name="E_KEYWORD_ISSR_208011371_MKT_STRCT_FIX" localSheetId="2">#REF!</definedName>
    <definedName name="E_KEYWORD_ISSR_208011371_MKT_STRCT_FIX_FWD" localSheetId="2">#REF!</definedName>
    <definedName name="E_KEYWORD_ISSR_208011371_MKT_STRCT_MOBILE" localSheetId="2">#REF!</definedName>
    <definedName name="E_KEYWORD_ISSR_208011371_MKT_STRCT_MOBILE_FWD" localSheetId="2">#REF!</definedName>
    <definedName name="E_KEYWORD_ISSR_208011371_MOBILE_MKT_SH" localSheetId="2">#REF!</definedName>
    <definedName name="E_KEYWORD_ISSR_208011371_MOBILE_MKT_SH_MOMENTUM" localSheetId="2">#REF!</definedName>
    <definedName name="E_KEYWORD_ISSR_208011371_MV_ASSOCIATES" localSheetId="2">#REF!</definedName>
    <definedName name="E_KEYWORD_ISSR_208011371_MV_CONVERTIBLE_NOTES" localSheetId="2">#REF!</definedName>
    <definedName name="E_KEYWORD_ISSR_208011371_MV_NET_OTHER_STAKEHOLDERS" localSheetId="2">#REF!</definedName>
    <definedName name="E_KEYWORD_ISSR_208011371_NCASSET_INVENTORIES" localSheetId="2">#REF!</definedName>
    <definedName name="E_KEYWORD_ISSR_208011371_NCASSET_INVESTMENT" localSheetId="2">#REF!</definedName>
    <definedName name="E_KEYWORD_ISSR_208011371_NCASSET_MISC" localSheetId="2">#REF!</definedName>
    <definedName name="E_KEYWORD_ISSR_208011371_NCASSET_RECEIVABLES" localSheetId="2">#REF!</definedName>
    <definedName name="E_KEYWORD_ISSR_208011371_NCASSET_TRADE_DEBTORS" localSheetId="2">#REF!</definedName>
    <definedName name="E_KEYWORD_ISSR_208011371_NCLIAB_MISC" localSheetId="2">#REF!</definedName>
    <definedName name="E_KEYWORD_ISSR_208011371_NCLIAB_OTHER_CREDITORS" localSheetId="2">#REF!</definedName>
    <definedName name="E_KEYWORD_ISSR_208011371_NCLIAB_PROVISIONS" localSheetId="2">#REF!</definedName>
    <definedName name="E_KEYWORD_ISSR_208011371_NCLIAB_TRADE_CREDITORS" localSheetId="2">#REF!</definedName>
    <definedName name="E_KEYWORD_ISSR_208011371_NET_ASSETS" localSheetId="2">#REF!</definedName>
    <definedName name="E_KEYWORD_ISSR_208011371_NET_DEBT" localSheetId="2">#REF!</definedName>
    <definedName name="E_KEYWORD_ISSR_208011371_NET_DEBT_ADJ" localSheetId="2">#REF!</definedName>
    <definedName name="E_KEYWORD_ISSR_208011371_NET_FIX_ASS" localSheetId="2">#REF!</definedName>
    <definedName name="E_KEYWORD_ISSR_208011371_NET_GW" localSheetId="2">#REF!</definedName>
    <definedName name="E_KEYWORD_ISSR_208011371_NET_INT_CH" localSheetId="2">#REF!</definedName>
    <definedName name="E_KEYWORD_ISSR_208011371_NET_INT_EXP" localSheetId="2">#REF!</definedName>
    <definedName name="E_KEYWORD_ISSR_208011371_NET_INTANG" localSheetId="2">#REF!</definedName>
    <definedName name="E_KEYWORD_ISSR_208011371_NET_OTH_INTANG" localSheetId="2">#REF!</definedName>
    <definedName name="E_KEYWORD_ISSR_208011371_NET_TANGIBLE_ASSETS" localSheetId="2">#REF!</definedName>
    <definedName name="E_KEYWORD_ISSR_208011371_NONPPE_CAPEX" localSheetId="2">#REF!</definedName>
    <definedName name="E_KEYWORD_ISSR_208011371_NTWK_ADV_FIX" localSheetId="2">#REF!</definedName>
    <definedName name="E_KEYWORD_ISSR_208011371_OP_COST" localSheetId="2">#REF!</definedName>
    <definedName name="E_KEYWORD_ISSR_208011371_OPPL_BTAX_EX_ASSOC" localSheetId="2">#REF!</definedName>
    <definedName name="E_KEYWORD_ISSR_208011371_OPPL_BTAX_POST_AB" localSheetId="2">#REF!</definedName>
    <definedName name="E_KEYWORD_ISSR_208011371_ORD_SH_FUND" localSheetId="2">#REF!</definedName>
    <definedName name="E_KEYWORD_ISSR_208011371_ORD_SHARE_CAPITAL" localSheetId="2">#REF!</definedName>
    <definedName name="E_KEYWORD_ISSR_208011371_OTH_COST_INC" localSheetId="2">#REF!</definedName>
    <definedName name="E_KEYWORD_ISSR_208011371_OTH_CUR_ASS" localSheetId="2">#REF!</definedName>
    <definedName name="E_KEYWORD_ISSR_208011371_OTH_CUR_LIABS" localSheetId="2">#REF!</definedName>
    <definedName name="E_KEYWORD_ISSR_208011371_OTH_DACF_ADJ" localSheetId="2">#REF!</definedName>
    <definedName name="E_KEYWORD_ISSR_208011371_OTH_FIN_CF" localSheetId="2">#REF!</definedName>
    <definedName name="E_KEYWORD_ISSR_208011371_OTH_GCI_ADJ" localSheetId="2">#REF!</definedName>
    <definedName name="E_KEYWORD_ISSR_208011371_OTH_INV_CF" localSheetId="2">#REF!</definedName>
    <definedName name="E_KEYWORD_ISSR_208011371_OTH_LT_ASS" localSheetId="2">#REF!</definedName>
    <definedName name="E_KEYWORD_ISSR_208011371_OTH_LT_CRED_GQ" localSheetId="2">#REF!</definedName>
    <definedName name="E_KEYWORD_ISSR_208011371_OTH_NONCASH_ADJ" localSheetId="2">#REF!</definedName>
    <definedName name="E_KEYWORD_ISSR_208011371_OTH_OP_CF" localSheetId="2">#REF!</definedName>
    <definedName name="E_KEYWORD_ISSR_208011371_OTH_OP_INC_EXP" localSheetId="2">#REF!</definedName>
    <definedName name="E_KEYWORD_ISSR_208011371_OTHER_ASSET_IMPAIR_CHG_PRE_TAX" localSheetId="2">#REF!</definedName>
    <definedName name="E_KEYWORD_ISSR_208011371_OTHER_CREDITORS" localSheetId="2">#REF!</definedName>
    <definedName name="E_KEYWORD_ISSR_208011371_OTHER_IFRS_ADJUST_PRE_TAX" localSheetId="2">#REF!</definedName>
    <definedName name="E_KEYWORD_ISSR_208011371_OTHER_INTANGIBLES_DEPREC" localSheetId="2">#REF!</definedName>
    <definedName name="E_KEYWORD_ISSR_208011371_OTHER_INTANGIBLES_NON_DEPREC" localSheetId="2">#REF!</definedName>
    <definedName name="E_KEYWORD_ISSR_208011371_OTHER_RECEIVABLES" localSheetId="2">#REF!</definedName>
    <definedName name="E_KEYWORD_ISSR_208011371_OTHER_REVENUE" localSheetId="2">#REF!</definedName>
    <definedName name="E_KEYWORD_ISSR_208011371_PAY_TV_PEN" localSheetId="2">#REF!</definedName>
    <definedName name="E_KEYWORD_ISSR_208011371_PAY_TV_SUB_ARGNT" localSheetId="2">#REF!</definedName>
    <definedName name="E_KEYWORD_ISSR_208011371_PAY_TV_SUB_AUST" localSheetId="2">#REF!</definedName>
    <definedName name="E_KEYWORD_ISSR_208011371_PAY_TV_SUB_BRAZIL" localSheetId="2">#REF!</definedName>
    <definedName name="E_KEYWORD_ISSR_208011371_PAY_TV_SUB_CAN" localSheetId="2">#REF!</definedName>
    <definedName name="E_KEYWORD_ISSR_208011371_PAY_TV_SUB_CHILE" localSheetId="2">#REF!</definedName>
    <definedName name="E_KEYWORD_ISSR_208011371_PAY_TV_SUB_CHINA" localSheetId="2">#REF!</definedName>
    <definedName name="E_KEYWORD_ISSR_208011371_PAY_TV_SUB_COLUMB" localSheetId="2">#REF!</definedName>
    <definedName name="E_KEYWORD_ISSR_208011371_PAY_TV_SUB_DEN" localSheetId="2">#REF!</definedName>
    <definedName name="E_KEYWORD_ISSR_208011371_PAY_TV_SUB_FRA" localSheetId="2">#REF!</definedName>
    <definedName name="E_KEYWORD_ISSR_208011371_PAY_TV_SUB_GER" localSheetId="2">#REF!</definedName>
    <definedName name="E_KEYWORD_ISSR_208011371_PAY_TV_SUB_HK" localSheetId="2">#REF!</definedName>
    <definedName name="E_KEYWORD_ISSR_208011371_PAY_TV_SUB_INDIA" localSheetId="2">#REF!</definedName>
    <definedName name="E_KEYWORD_ISSR_208011371_PAY_TV_SUB_INDO" localSheetId="2">#REF!</definedName>
    <definedName name="E_KEYWORD_ISSR_208011371_PAY_TV_SUB_ITALY" localSheetId="2">#REF!</definedName>
    <definedName name="E_KEYWORD_ISSR_208011371_PAY_TV_SUB_JPN" localSheetId="2">#REF!</definedName>
    <definedName name="E_KEYWORD_ISSR_208011371_PAY_TV_SUB_MALAY" localSheetId="2">#REF!</definedName>
    <definedName name="E_KEYWORD_ISSR_208011371_PAY_TV_SUB_MEX" localSheetId="2">#REF!</definedName>
    <definedName name="E_KEYWORD_ISSR_208011371_PAY_TV_SUB_NETH" localSheetId="2">#REF!</definedName>
    <definedName name="E_KEYWORD_ISSR_208011371_PAY_TV_SUB_NIG" localSheetId="2">#REF!</definedName>
    <definedName name="E_KEYWORD_ISSR_208011371_PAY_TV_SUB_NOR" localSheetId="2">#REF!</definedName>
    <definedName name="E_KEYWORD_ISSR_208011371_PAY_TV_SUB_NZ" localSheetId="2">#REF!</definedName>
    <definedName name="E_KEYWORD_ISSR_208011371_PAY_TV_SUB_PHIL" localSheetId="2">#REF!</definedName>
    <definedName name="E_KEYWORD_ISSR_208011371_PAY_TV_SUB_POL" localSheetId="2">#REF!</definedName>
    <definedName name="E_KEYWORD_ISSR_208011371_PAY_TV_SUB_POR" localSheetId="2">#REF!</definedName>
    <definedName name="E_KEYWORD_ISSR_208011371_PAY_TV_SUB_RUS" localSheetId="2">#REF!</definedName>
    <definedName name="E_KEYWORD_ISSR_208011371_PAY_TV_SUB_SA" localSheetId="2">#REF!</definedName>
    <definedName name="E_KEYWORD_ISSR_208011371_PAY_TV_SUB_SA_ARAB" localSheetId="2">#REF!</definedName>
    <definedName name="E_KEYWORD_ISSR_208011371_PAY_TV_SUB_SK" localSheetId="2">#REF!</definedName>
    <definedName name="E_KEYWORD_ISSR_208011371_PAY_TV_SUB_SNG" localSheetId="2">#REF!</definedName>
    <definedName name="E_KEYWORD_ISSR_208011371_PAY_TV_SUB_SPAIN" localSheetId="2">#REF!</definedName>
    <definedName name="E_KEYWORD_ISSR_208011371_PAY_TV_SUB_SWED" localSheetId="2">#REF!</definedName>
    <definedName name="E_KEYWORD_ISSR_208011371_PAY_TV_SUB_SWIT" localSheetId="2">#REF!</definedName>
    <definedName name="E_KEYWORD_ISSR_208011371_PAY_TV_SUB_TAIWAN" localSheetId="2">#REF!</definedName>
    <definedName name="E_KEYWORD_ISSR_208011371_PAY_TV_SUB_THAI" localSheetId="2">#REF!</definedName>
    <definedName name="E_KEYWORD_ISSR_208011371_PAY_TV_SUB_TOTAL" localSheetId="2">#REF!</definedName>
    <definedName name="E_KEYWORD_ISSR_208011371_PAY_TV_SUB_TURK" localSheetId="2">#REF!</definedName>
    <definedName name="E_KEYWORD_ISSR_208011371_PAY_TV_SUB_UK" localSheetId="2">#REF!</definedName>
    <definedName name="E_KEYWORD_ISSR_208011371_PAY_TV_SUB_US" localSheetId="2">#REF!</definedName>
    <definedName name="E_KEYWORD_ISSR_208011371_PERIOD_MILESTONE" localSheetId="2">#REF!</definedName>
    <definedName name="E_KEYWORD_ISSR_208011371_PERSONNEL" localSheetId="2">#REF!</definedName>
    <definedName name="E_KEYWORD_ISSR_208011371_PL_BTAX_ON_AB" localSheetId="2">#REF!</definedName>
    <definedName name="E_KEYWORD_ISSR_208011371_PL_SALE_ASSETS" localSheetId="2">#REF!</definedName>
    <definedName name="E_KEYWORD_ISSR_208011371_PLANT_EQUIP" localSheetId="2">#REF!</definedName>
    <definedName name="E_KEYWORD_ISSR_208011371_POSTPD_WRLESS_ARPU_ARGNT" localSheetId="2">#REF!</definedName>
    <definedName name="E_KEYWORD_ISSR_208011371_POSTPD_WRLESS_ARPU_AUST" localSheetId="2">#REF!</definedName>
    <definedName name="E_KEYWORD_ISSR_208011371_POSTPD_WRLESS_ARPU_BRAZIL" localSheetId="2">#REF!</definedName>
    <definedName name="E_KEYWORD_ISSR_208011371_POSTPD_WRLESS_ARPU_CAN" localSheetId="2">#REF!</definedName>
    <definedName name="E_KEYWORD_ISSR_208011371_POSTPD_WRLESS_ARPU_CHILE" localSheetId="2">#REF!</definedName>
    <definedName name="E_KEYWORD_ISSR_208011371_POSTPD_WRLESS_ARPU_CHINA" localSheetId="2">#REF!</definedName>
    <definedName name="E_KEYWORD_ISSR_208011371_POSTPD_WRLESS_ARPU_COLUMB" localSheetId="2">#REF!</definedName>
    <definedName name="E_KEYWORD_ISSR_208011371_POSTPD_WRLESS_ARPU_DEN" localSheetId="2">#REF!</definedName>
    <definedName name="E_KEYWORD_ISSR_208011371_POSTPD_WRLESS_ARPU_FRA" localSheetId="2">#REF!</definedName>
    <definedName name="E_KEYWORD_ISSR_208011371_POSTPD_WRLESS_ARPU_GER" localSheetId="2">#REF!</definedName>
    <definedName name="E_KEYWORD_ISSR_208011371_POSTPD_WRLESS_ARPU_HK" localSheetId="2">#REF!</definedName>
    <definedName name="E_KEYWORD_ISSR_208011371_POSTPD_WRLESS_ARPU_INDIA" localSheetId="2">#REF!</definedName>
    <definedName name="E_KEYWORD_ISSR_208011371_POSTPD_WRLESS_ARPU_INDO" localSheetId="2">#REF!</definedName>
    <definedName name="E_KEYWORD_ISSR_208011371_POSTPD_WRLESS_ARPU_ITALY" localSheetId="2">#REF!</definedName>
    <definedName name="E_KEYWORD_ISSR_208011371_POSTPD_WRLESS_ARPU_JPN" localSheetId="2">#REF!</definedName>
    <definedName name="E_KEYWORD_ISSR_208011371_POSTPD_WRLESS_ARPU_MALAY" localSheetId="2">#REF!</definedName>
    <definedName name="E_KEYWORD_ISSR_208011371_POSTPD_WRLESS_ARPU_MEX" localSheetId="2">#REF!</definedName>
    <definedName name="E_KEYWORD_ISSR_208011371_POSTPD_WRLESS_ARPU_NETH" localSheetId="2">#REF!</definedName>
    <definedName name="E_KEYWORD_ISSR_208011371_POSTPD_WRLESS_ARPU_NIG" localSheetId="2">#REF!</definedName>
    <definedName name="E_KEYWORD_ISSR_208011371_POSTPD_WRLESS_ARPU_NOR" localSheetId="2">#REF!</definedName>
    <definedName name="E_KEYWORD_ISSR_208011371_POSTPD_WRLESS_ARPU_NZ" localSheetId="2">#REF!</definedName>
    <definedName name="E_KEYWORD_ISSR_208011371_POSTPD_WRLESS_ARPU_PHIL" localSheetId="2">#REF!</definedName>
    <definedName name="E_KEYWORD_ISSR_208011371_POSTPD_WRLESS_ARPU_POL" localSheetId="2">#REF!</definedName>
    <definedName name="E_KEYWORD_ISSR_208011371_POSTPD_WRLESS_ARPU_POR" localSheetId="2">#REF!</definedName>
    <definedName name="E_KEYWORD_ISSR_208011371_POSTPD_WRLESS_ARPU_RUS" localSheetId="2">#REF!</definedName>
    <definedName name="E_KEYWORD_ISSR_208011371_POSTPD_WRLESS_ARPU_SA" localSheetId="2">#REF!</definedName>
    <definedName name="E_KEYWORD_ISSR_208011371_POSTPD_WRLESS_ARPU_SA_ARAB" localSheetId="2">#REF!</definedName>
    <definedName name="E_KEYWORD_ISSR_208011371_POSTPD_WRLESS_ARPU_SK" localSheetId="2">#REF!</definedName>
    <definedName name="E_KEYWORD_ISSR_208011371_POSTPD_WRLESS_ARPU_SNG" localSheetId="2">#REF!</definedName>
    <definedName name="E_KEYWORD_ISSR_208011371_POSTPD_WRLESS_ARPU_SPAIN" localSheetId="2">#REF!</definedName>
    <definedName name="E_KEYWORD_ISSR_208011371_POSTPD_WRLESS_ARPU_SWED" localSheetId="2">#REF!</definedName>
    <definedName name="E_KEYWORD_ISSR_208011371_POSTPD_WRLESS_ARPU_SWIT" localSheetId="2">#REF!</definedName>
    <definedName name="E_KEYWORD_ISSR_208011371_POSTPD_WRLESS_ARPU_TAIWAN" localSheetId="2">#REF!</definedName>
    <definedName name="E_KEYWORD_ISSR_208011371_POSTPD_WRLESS_ARPU_THAI" localSheetId="2">#REF!</definedName>
    <definedName name="E_KEYWORD_ISSR_208011371_POSTPD_WRLESS_ARPU_TOTAL" localSheetId="2">#REF!</definedName>
    <definedName name="E_KEYWORD_ISSR_208011371_POSTPD_WRLESS_ARPU_TURK" localSheetId="2">#REF!</definedName>
    <definedName name="E_KEYWORD_ISSR_208011371_POSTPD_WRLESS_ARPU_UK" localSheetId="2">#REF!</definedName>
    <definedName name="E_KEYWORD_ISSR_208011371_POSTPD_WRLESS_ARPU_US" localSheetId="2">#REF!</definedName>
    <definedName name="E_KEYWORD_ISSR_208011371_POSTPD_WRLESS_SUB_ARGNT" localSheetId="2">#REF!</definedName>
    <definedName name="E_KEYWORD_ISSR_208011371_POSTPD_WRLESS_SUB_AUST" localSheetId="2">#REF!</definedName>
    <definedName name="E_KEYWORD_ISSR_208011371_POSTPD_WRLESS_SUB_BRAZIL" localSheetId="2">#REF!</definedName>
    <definedName name="E_KEYWORD_ISSR_208011371_POSTPD_WRLESS_SUB_CAN" localSheetId="2">#REF!</definedName>
    <definedName name="E_KEYWORD_ISSR_208011371_POSTPD_WRLESS_SUB_CHILE" localSheetId="2">#REF!</definedName>
    <definedName name="E_KEYWORD_ISSR_208011371_POSTPD_WRLESS_SUB_CHINA" localSheetId="2">#REF!</definedName>
    <definedName name="E_KEYWORD_ISSR_208011371_POSTPD_WRLESS_SUB_COLUMB" localSheetId="2">#REF!</definedName>
    <definedName name="E_KEYWORD_ISSR_208011371_POSTPD_WRLESS_SUB_DEN" localSheetId="2">#REF!</definedName>
    <definedName name="E_KEYWORD_ISSR_208011371_POSTPD_WRLESS_SUB_FRA" localSheetId="2">#REF!</definedName>
    <definedName name="E_KEYWORD_ISSR_208011371_POSTPD_WRLESS_SUB_GER" localSheetId="2">#REF!</definedName>
    <definedName name="E_KEYWORD_ISSR_208011371_POSTPD_WRLESS_SUB_HK" localSheetId="2">#REF!</definedName>
    <definedName name="E_KEYWORD_ISSR_208011371_POSTPD_WRLESS_SUB_INDIA" localSheetId="2">#REF!</definedName>
    <definedName name="E_KEYWORD_ISSR_208011371_POSTPD_WRLESS_SUB_INDO" localSheetId="2">#REF!</definedName>
    <definedName name="E_KEYWORD_ISSR_208011371_POSTPD_WRLESS_SUB_ITALY" localSheetId="2">#REF!</definedName>
    <definedName name="E_KEYWORD_ISSR_208011371_POSTPD_WRLESS_SUB_JPN" localSheetId="2">#REF!</definedName>
    <definedName name="E_KEYWORD_ISSR_208011371_POSTPD_WRLESS_SUB_MALAY" localSheetId="2">#REF!</definedName>
    <definedName name="E_KEYWORD_ISSR_208011371_POSTPD_WRLESS_SUB_MEX" localSheetId="2">#REF!</definedName>
    <definedName name="E_KEYWORD_ISSR_208011371_POSTPD_WRLESS_SUB_NETH" localSheetId="2">#REF!</definedName>
    <definedName name="E_KEYWORD_ISSR_208011371_POSTPD_WRLESS_SUB_NIG" localSheetId="2">#REF!</definedName>
    <definedName name="E_KEYWORD_ISSR_208011371_POSTPD_WRLESS_SUB_NOR" localSheetId="2">#REF!</definedName>
    <definedName name="E_KEYWORD_ISSR_208011371_POSTPD_WRLESS_SUB_NZ" localSheetId="2">#REF!</definedName>
    <definedName name="E_KEYWORD_ISSR_208011371_POSTPD_WRLESS_SUB_PHIL" localSheetId="2">#REF!</definedName>
    <definedName name="E_KEYWORD_ISSR_208011371_POSTPD_WRLESS_SUB_POL" localSheetId="2">#REF!</definedName>
    <definedName name="E_KEYWORD_ISSR_208011371_POSTPD_WRLESS_SUB_POR" localSheetId="2">#REF!</definedName>
    <definedName name="E_KEYWORD_ISSR_208011371_POSTPD_WRLESS_SUB_RUS" localSheetId="2">#REF!</definedName>
    <definedName name="E_KEYWORD_ISSR_208011371_POSTPD_WRLESS_SUB_SA" localSheetId="2">#REF!</definedName>
    <definedName name="E_KEYWORD_ISSR_208011371_POSTPD_WRLESS_SUB_SA_ARAB" localSheetId="2">#REF!</definedName>
    <definedName name="E_KEYWORD_ISSR_208011371_POSTPD_WRLESS_SUB_SK" localSheetId="2">#REF!</definedName>
    <definedName name="E_KEYWORD_ISSR_208011371_POSTPD_WRLESS_SUB_SNG" localSheetId="2">#REF!</definedName>
    <definedName name="E_KEYWORD_ISSR_208011371_POSTPD_WRLESS_SUB_SPAIN" localSheetId="2">#REF!</definedName>
    <definedName name="E_KEYWORD_ISSR_208011371_POSTPD_WRLESS_SUB_SWED" localSheetId="2">#REF!</definedName>
    <definedName name="E_KEYWORD_ISSR_208011371_POSTPD_WRLESS_SUB_SWIT" localSheetId="2">#REF!</definedName>
    <definedName name="E_KEYWORD_ISSR_208011371_POSTPD_WRLESS_SUB_TAIWAN" localSheetId="2">#REF!</definedName>
    <definedName name="E_KEYWORD_ISSR_208011371_POSTPD_WRLESS_SUB_THAI" localSheetId="2">#REF!</definedName>
    <definedName name="E_KEYWORD_ISSR_208011371_POSTPD_WRLESS_SUB_TOTAL" localSheetId="2">#REF!</definedName>
    <definedName name="E_KEYWORD_ISSR_208011371_POSTPD_WRLESS_SUB_TURK" localSheetId="2">#REF!</definedName>
    <definedName name="E_KEYWORD_ISSR_208011371_POSTPD_WRLESS_SUB_UK" localSheetId="2">#REF!</definedName>
    <definedName name="E_KEYWORD_ISSR_208011371_POSTPD_WRLESS_SUB_US" localSheetId="2">#REF!</definedName>
    <definedName name="E_KEYWORD_ISSR_208011371_PPNT_FCF" localSheetId="2">#REF!</definedName>
    <definedName name="E_KEYWORD_ISSR_208011371_PREF_SH" localSheetId="2">#REF!</definedName>
    <definedName name="E_KEYWORD_ISSR_208011371_PROCEEDS_BORROWINGS" localSheetId="2">#REF!</definedName>
    <definedName name="E_KEYWORD_ISSR_208011371_PROCEEDS_NCASSET" localSheetId="2">#REF!</definedName>
    <definedName name="E_KEYWORD_ISSR_208011371_PROCEEDS_PURCH_OPER_BUS" localSheetId="2">#REF!</definedName>
    <definedName name="E_KEYWORD_ISSR_208011371_PROCEEDS_SALE_EQUITY_INV" localSheetId="2">#REF!</definedName>
    <definedName name="E_KEYWORD_ISSR_208011371_PROCEEDS_SALE_OPER_BUS" localSheetId="2">#REF!</definedName>
    <definedName name="E_KEYWORD_ISSR_208011371_PROFIT_DEFBEN_PLAN_POST_TAX" localSheetId="2">#REF!</definedName>
    <definedName name="E_KEYWORD_ISSR_208011371_PROFIT_DEFBEN_PLAN_PRE_TAX" localSheetId="2">#REF!</definedName>
    <definedName name="E_KEYWORD_ISSR_208011371_PROFIT_ON_DISP" localSheetId="2">#REF!</definedName>
    <definedName name="E_KEYWORD_ISSR_208011371_PROVISIONS" localSheetId="2">#REF!</definedName>
    <definedName name="E_KEYWORD_ISSR_208011371_PT_PROF" localSheetId="2">#REF!</definedName>
    <definedName name="E_KEYWORD_ISSR_208011371_PURCH_EQUITY_INVESTS" localSheetId="2">#REF!</definedName>
    <definedName name="E_KEYWORD_ISSR_208011371_R_AND_D_CAP" localSheetId="2">#REF!</definedName>
    <definedName name="E_KEYWORD_ISSR_208011371_RD_EXP" localSheetId="2">#REF!</definedName>
    <definedName name="E_KEYWORD_ISSR_208011371_REG_SCORE" localSheetId="2">#REF!</definedName>
    <definedName name="E_KEYWORD_ISSR_208011371_REPAY_BORROWINGS" localSheetId="2">#REF!</definedName>
    <definedName name="E_KEYWORD_ISSR_208011371_RESERVES" localSheetId="2">#REF!</definedName>
    <definedName name="E_KEYWORD_ISSR_208011371_RETAIN_PROFIT_LOSS" localSheetId="2">#REF!</definedName>
    <definedName name="E_KEYWORD_ISSR_208011371_REV_RISK" localSheetId="2">#REF!</definedName>
    <definedName name="E_KEYWORD_ISSR_208011371_SALE_PROP_PLANT_EQUIP" localSheetId="2">#REF!</definedName>
    <definedName name="E_KEYWORD_ISSR_208011371_SALES" localSheetId="2">#REF!</definedName>
    <definedName name="E_KEYWORD_ISSR_208011371_SALES_AUSTRA" localSheetId="2">#REF!</definedName>
    <definedName name="E_KEYWORD_ISSR_208011371_SALES_BRAZIL" localSheetId="2">#REF!</definedName>
    <definedName name="E_KEYWORD_ISSR_208011371_SALES_CEE" localSheetId="2">#REF!</definedName>
    <definedName name="E_KEYWORD_ISSR_208011371_SALES_CHINA" localSheetId="2">#REF!</definedName>
    <definedName name="E_KEYWORD_ISSR_208011371_SALES_CONS" localSheetId="2">#REF!</definedName>
    <definedName name="E_KEYWORD_ISSR_208011371_SALES_EU_EX_UK" localSheetId="2">#REF!</definedName>
    <definedName name="E_KEYWORD_ISSR_208011371_SALES_FINAN" localSheetId="2">#REF!</definedName>
    <definedName name="E_KEYWORD_ISSR_208011371_SALES_FX_AUD" localSheetId="2">#REF!</definedName>
    <definedName name="E_KEYWORD_ISSR_208011371_SALES_FX_BRL" localSheetId="2">#REF!</definedName>
    <definedName name="E_KEYWORD_ISSR_208011371_SALES_FX_CNY" localSheetId="2">#REF!</definedName>
    <definedName name="E_KEYWORD_ISSR_208011371_SALES_FX_EUR" localSheetId="2">#REF!</definedName>
    <definedName name="E_KEYWORD_ISSR_208011371_SALES_FX_GPB" localSheetId="2">#REF!</definedName>
    <definedName name="E_KEYWORD_ISSR_208011371_SALES_FX_INR" localSheetId="2">#REF!</definedName>
    <definedName name="E_KEYWORD_ISSR_208011371_SALES_FX_NZD" localSheetId="2">#REF!</definedName>
    <definedName name="E_KEYWORD_ISSR_208011371_SALES_FX_OTH" localSheetId="2">#REF!</definedName>
    <definedName name="E_KEYWORD_ISSR_208011371_SALES_FX_RUB" localSheetId="2">#REF!</definedName>
    <definedName name="E_KEYWORD_ISSR_208011371_SALES_FX_USD" localSheetId="2">#REF!</definedName>
    <definedName name="E_KEYWORD_ISSR_208011371_SALES_FX_YEN" localSheetId="2">#REF!</definedName>
    <definedName name="E_KEYWORD_ISSR_208011371_SALES_GOV" localSheetId="2">#REF!</definedName>
    <definedName name="E_KEYWORD_ISSR_208011371_SALES_IND" localSheetId="2">#REF!</definedName>
    <definedName name="E_KEYWORD_ISSR_208011371_SALES_INDIA" localSheetId="2">#REF!</definedName>
    <definedName name="E_KEYWORD_ISSR_208011371_SALES_JAPAN" localSheetId="2">#REF!</definedName>
    <definedName name="E_KEYWORD_ISSR_208011371_SALES_ME" localSheetId="2">#REF!</definedName>
    <definedName name="E_KEYWORD_ISSR_208011371_SALES_NZ" localSheetId="2">#REF!</definedName>
    <definedName name="E_KEYWORD_ISSR_208011371_SALES_OTH_AEJ" localSheetId="2">#REF!</definedName>
    <definedName name="E_KEYWORD_ISSR_208011371_SALES_OTH_AM" localSheetId="2">#REF!</definedName>
    <definedName name="E_KEYWORD_ISSR_208011371_SALES_OTH_EMEA" localSheetId="2">#REF!</definedName>
    <definedName name="E_KEYWORD_ISSR_208011371_SALES_OTHER" localSheetId="2">#REF!</definedName>
    <definedName name="E_KEYWORD_ISSR_208011371_SALES_RUSSIA" localSheetId="2">#REF!</definedName>
    <definedName name="E_KEYWORD_ISSR_208011371_SALES_TOT_AFRICA" localSheetId="2">#REF!</definedName>
    <definedName name="E_KEYWORD_ISSR_208011371_SALES_TOT_AM" localSheetId="2">#REF!</definedName>
    <definedName name="E_KEYWORD_ISSR_208011371_SALES_TOT_ASIA" localSheetId="2">#REF!</definedName>
    <definedName name="E_KEYWORD_ISSR_208011371_SALES_TOT_EMEA" localSheetId="2">#REF!</definedName>
    <definedName name="E_KEYWORD_ISSR_208011371_SALES_UK" localSheetId="2">#REF!</definedName>
    <definedName name="E_KEYWORD_ISSR_208011371_SALES_US" localSheetId="2">#REF!</definedName>
    <definedName name="E_KEYWORD_ISSR_208011371_SEL_GL_AD" localSheetId="2">#REF!</definedName>
    <definedName name="E_KEYWORD_ISSR_208011371_SEL_GL_AD_OTHER" localSheetId="2">#REF!</definedName>
    <definedName name="E_KEYWORD_ISSR_208011371_SH_REPUR" localSheetId="2">#REF!</definedName>
    <definedName name="E_KEYWORD_ISSR_208011371_SHARE_BASED_PAYMENTS" localSheetId="2">#REF!</definedName>
    <definedName name="E_KEYWORD_ISSR_208011371_SHORT_T_DEBT" localSheetId="2">#REF!</definedName>
    <definedName name="E_KEYWORD_ISSR_208011371_SHORT_TERM_LIABS" localSheetId="2">#REF!</definedName>
    <definedName name="E_KEYWORD_ISSR_208011371_STOCKS" localSheetId="2">#REF!</definedName>
    <definedName name="E_KEYWORD_ISSR_208011371_SUPPLIER_EMPLOYEE_PAYS" localSheetId="2">#REF!</definedName>
    <definedName name="E_KEYWORD_ISSR_208011371_TANG_CAPEX" localSheetId="2">#REF!</definedName>
    <definedName name="E_KEYWORD_ISSR_208011371_TAX_PAID_CF" localSheetId="2">#REF!</definedName>
    <definedName name="E_KEYWORD_ISSR_208011371_TOT_ASSET" localSheetId="2">#REF!</definedName>
    <definedName name="E_KEYWORD_ISSR_208011371_TOT_CAPEX_ARGNT_TEL" localSheetId="2">#REF!</definedName>
    <definedName name="E_KEYWORD_ISSR_208011371_TOT_CAPEX_AUST_TEL" localSheetId="2">#REF!</definedName>
    <definedName name="E_KEYWORD_ISSR_208011371_TOT_CAPEX_BRAZIL_TEL" localSheetId="2">#REF!</definedName>
    <definedName name="E_KEYWORD_ISSR_208011371_TOT_CAPEX_CAN_TEL" localSheetId="2">#REF!</definedName>
    <definedName name="E_KEYWORD_ISSR_208011371_TOT_CAPEX_CHILE_TEL" localSheetId="2">#REF!</definedName>
    <definedName name="E_KEYWORD_ISSR_208011371_TOT_CAPEX_CHINA_TEL" localSheetId="2">#REF!</definedName>
    <definedName name="E_KEYWORD_ISSR_208011371_TOT_CAPEX_COLUMB_TEL" localSheetId="2">#REF!</definedName>
    <definedName name="E_KEYWORD_ISSR_208011371_TOT_CAPEX_DEN_TEL" localSheetId="2">#REF!</definedName>
    <definedName name="E_KEYWORD_ISSR_208011371_TOT_CAPEX_FRA_TEL" localSheetId="2">#REF!</definedName>
    <definedName name="E_KEYWORD_ISSR_208011371_TOT_CAPEX_GER_TEL" localSheetId="2">#REF!</definedName>
    <definedName name="E_KEYWORD_ISSR_208011371_TOT_CAPEX_HK_TEL" localSheetId="2">#REF!</definedName>
    <definedName name="E_KEYWORD_ISSR_208011371_TOT_CAPEX_INDIA_TEL" localSheetId="2">#REF!</definedName>
    <definedName name="E_KEYWORD_ISSR_208011371_TOT_CAPEX_INDO_TEL" localSheetId="2">#REF!</definedName>
    <definedName name="E_KEYWORD_ISSR_208011371_TOT_CAPEX_ITALY_TEL" localSheetId="2">#REF!</definedName>
    <definedName name="E_KEYWORD_ISSR_208011371_TOT_CAPEX_JPN_TEL" localSheetId="2">#REF!</definedName>
    <definedName name="E_KEYWORD_ISSR_208011371_TOT_CAPEX_MALAY_TEL" localSheetId="2">#REF!</definedName>
    <definedName name="E_KEYWORD_ISSR_208011371_TOT_CAPEX_MEX_TEL" localSheetId="2">#REF!</definedName>
    <definedName name="E_KEYWORD_ISSR_208011371_TOT_CAPEX_NETH_TEL" localSheetId="2">#REF!</definedName>
    <definedName name="E_KEYWORD_ISSR_208011371_TOT_CAPEX_NIG_TEL" localSheetId="2">#REF!</definedName>
    <definedName name="E_KEYWORD_ISSR_208011371_TOT_CAPEX_NOR_TEL" localSheetId="2">#REF!</definedName>
    <definedName name="E_KEYWORD_ISSR_208011371_TOT_CAPEX_NZ_TEL" localSheetId="2">#REF!</definedName>
    <definedName name="E_KEYWORD_ISSR_208011371_TOT_CAPEX_PHIL_TEL" localSheetId="2">#REF!</definedName>
    <definedName name="E_KEYWORD_ISSR_208011371_TOT_CAPEX_POL_TEL" localSheetId="2">#REF!</definedName>
    <definedName name="E_KEYWORD_ISSR_208011371_TOT_CAPEX_POR_TEL" localSheetId="2">#REF!</definedName>
    <definedName name="E_KEYWORD_ISSR_208011371_TOT_CAPEX_RUS_TEL" localSheetId="2">#REF!</definedName>
    <definedName name="E_KEYWORD_ISSR_208011371_TOT_CAPEX_SARABIA_TEL" localSheetId="2">#REF!</definedName>
    <definedName name="E_KEYWORD_ISSR_208011371_TOT_CAPEX_SING_TEL" localSheetId="2">#REF!</definedName>
    <definedName name="E_KEYWORD_ISSR_208011371_TOT_CAPEX_SK_TEL" localSheetId="2">#REF!</definedName>
    <definedName name="E_KEYWORD_ISSR_208011371_TOT_CAPEX_SO_AFRICA_TEL" localSheetId="2">#REF!</definedName>
    <definedName name="E_KEYWORD_ISSR_208011371_TOT_CAPEX_SPAIN_TEL" localSheetId="2">#REF!</definedName>
    <definedName name="E_KEYWORD_ISSR_208011371_TOT_CAPEX_SWED_TEL" localSheetId="2">#REF!</definedName>
    <definedName name="E_KEYWORD_ISSR_208011371_TOT_CAPEX_SWIT_TEL" localSheetId="2">#REF!</definedName>
    <definedName name="E_KEYWORD_ISSR_208011371_TOT_CAPEX_TAIWAN_TEL" localSheetId="2">#REF!</definedName>
    <definedName name="E_KEYWORD_ISSR_208011371_TOT_CAPEX_THAI_TEL" localSheetId="2">#REF!</definedName>
    <definedName name="E_KEYWORD_ISSR_208011371_TOT_CAPEX_TURK_TEL" localSheetId="2">#REF!</definedName>
    <definedName name="E_KEYWORD_ISSR_208011371_TOT_CAPEX_UK_TEL" localSheetId="2">#REF!</definedName>
    <definedName name="E_KEYWORD_ISSR_208011371_TOT_CAPEX_US_TEL" localSheetId="2">#REF!</definedName>
    <definedName name="E_KEYWORD_ISSR_208011371_TOT_EBITDA_ARGNT_TEL" localSheetId="2">#REF!</definedName>
    <definedName name="E_KEYWORD_ISSR_208011371_TOT_EBITDA_AUST_TEL" localSheetId="2">#REF!</definedName>
    <definedName name="E_KEYWORD_ISSR_208011371_TOT_EBITDA_BRAZIL_TEL" localSheetId="2">#REF!</definedName>
    <definedName name="E_KEYWORD_ISSR_208011371_TOT_EBITDA_CAN_TEL" localSheetId="2">#REF!</definedName>
    <definedName name="E_KEYWORD_ISSR_208011371_TOT_EBITDA_CHILE_TEL" localSheetId="2">#REF!</definedName>
    <definedName name="E_KEYWORD_ISSR_208011371_TOT_EBITDA_CHINA_TEL" localSheetId="2">#REF!</definedName>
    <definedName name="E_KEYWORD_ISSR_208011371_TOT_EBITDA_COLUMB_TEL" localSheetId="2">#REF!</definedName>
    <definedName name="E_KEYWORD_ISSR_208011371_TOT_EBITDA_DEN_TEL" localSheetId="2">#REF!</definedName>
    <definedName name="E_KEYWORD_ISSR_208011371_TOT_EBITDA_FRA_TEL" localSheetId="2">#REF!</definedName>
    <definedName name="E_KEYWORD_ISSR_208011371_TOT_EBITDA_GER_TEL" localSheetId="2">#REF!</definedName>
    <definedName name="E_KEYWORD_ISSR_208011371_TOT_EBITDA_HK_TEL" localSheetId="2">#REF!</definedName>
    <definedName name="E_KEYWORD_ISSR_208011371_TOT_EBITDA_INDIA_TEL" localSheetId="2">#REF!</definedName>
    <definedName name="E_KEYWORD_ISSR_208011371_TOT_EBITDA_INDO_TEL" localSheetId="2">#REF!</definedName>
    <definedName name="E_KEYWORD_ISSR_208011371_TOT_EBITDA_ITALY_TEL" localSheetId="2">#REF!</definedName>
    <definedName name="E_KEYWORD_ISSR_208011371_TOT_EBITDA_JPN_TEL" localSheetId="2">#REF!</definedName>
    <definedName name="E_KEYWORD_ISSR_208011371_TOT_EBITDA_MALAY_TEL" localSheetId="2">#REF!</definedName>
    <definedName name="E_KEYWORD_ISSR_208011371_TOT_EBITDA_MEX_TEL" localSheetId="2">#REF!</definedName>
    <definedName name="E_KEYWORD_ISSR_208011371_TOT_EBITDA_NETH_TEL" localSheetId="2">#REF!</definedName>
    <definedName name="E_KEYWORD_ISSR_208011371_TOT_EBITDA_NIG_TEL" localSheetId="2">#REF!</definedName>
    <definedName name="E_KEYWORD_ISSR_208011371_TOT_EBITDA_NOR_TEL" localSheetId="2">#REF!</definedName>
    <definedName name="E_KEYWORD_ISSR_208011371_TOT_EBITDA_NZ_TEL" localSheetId="2">#REF!</definedName>
    <definedName name="E_KEYWORD_ISSR_208011371_TOT_EBITDA_PHIL_TEL" localSheetId="2">#REF!</definedName>
    <definedName name="E_KEYWORD_ISSR_208011371_TOT_EBITDA_POL_TEL" localSheetId="2">#REF!</definedName>
    <definedName name="E_KEYWORD_ISSR_208011371_TOT_EBITDA_POR_TEL" localSheetId="2">#REF!</definedName>
    <definedName name="E_KEYWORD_ISSR_208011371_TOT_EBITDA_RUS_TEL" localSheetId="2">#REF!</definedName>
    <definedName name="E_KEYWORD_ISSR_208011371_TOT_EBITDA_SARABIA_TEL" localSheetId="2">#REF!</definedName>
    <definedName name="E_KEYWORD_ISSR_208011371_TOT_EBITDA_SING_TEL" localSheetId="2">#REF!</definedName>
    <definedName name="E_KEYWORD_ISSR_208011371_TOT_EBITDA_SK_TEL" localSheetId="2">#REF!</definedName>
    <definedName name="E_KEYWORD_ISSR_208011371_TOT_EBITDA_SO_AFRICA_TEL" localSheetId="2">#REF!</definedName>
    <definedName name="E_KEYWORD_ISSR_208011371_TOT_EBITDA_SPAIN_TEL" localSheetId="2">#REF!</definedName>
    <definedName name="E_KEYWORD_ISSR_208011371_TOT_EBITDA_SWED_TEL" localSheetId="2">#REF!</definedName>
    <definedName name="E_KEYWORD_ISSR_208011371_TOT_EBITDA_SWIT_TEL" localSheetId="2">#REF!</definedName>
    <definedName name="E_KEYWORD_ISSR_208011371_TOT_EBITDA_TAIWAN_TEL" localSheetId="2">#REF!</definedName>
    <definedName name="E_KEYWORD_ISSR_208011371_TOT_EBITDA_THAI_TEL" localSheetId="2">#REF!</definedName>
    <definedName name="E_KEYWORD_ISSR_208011371_TOT_EBITDA_TURK_TEL" localSheetId="2">#REF!</definedName>
    <definedName name="E_KEYWORD_ISSR_208011371_TOT_EBITDA_UK_TEL" localSheetId="2">#REF!</definedName>
    <definedName name="E_KEYWORD_ISSR_208011371_TOT_EBITDA_US_TEL" localSheetId="2">#REF!</definedName>
    <definedName name="E_KEYWORD_ISSR_208011371_TOT_LIAB" localSheetId="2">#REF!</definedName>
    <definedName name="E_KEYWORD_ISSR_208011371_TOT_LIAB_EQ" localSheetId="2">#REF!</definedName>
    <definedName name="E_KEYWORD_ISSR_208011371_TOT_LT_LIAB" localSheetId="2">#REF!</definedName>
    <definedName name="E_KEYWORD_ISSR_208011371_TOT_OPS_EXP" localSheetId="2">#REF!</definedName>
    <definedName name="E_KEYWORD_ISSR_208011371_TOT_OPS_EXP_DDA" localSheetId="2">#REF!</definedName>
    <definedName name="E_KEYWORD_ISSR_208011371_TOT_REV_ARGNT_TEL" localSheetId="2">#REF!</definedName>
    <definedName name="E_KEYWORD_ISSR_208011371_TOT_REV_AUST_TEL" localSheetId="2">#REF!</definedName>
    <definedName name="E_KEYWORD_ISSR_208011371_TOT_REV_BRAZIL_TEL" localSheetId="2">#REF!</definedName>
    <definedName name="E_KEYWORD_ISSR_208011371_TOT_REV_CAN_TEL" localSheetId="2">#REF!</definedName>
    <definedName name="E_KEYWORD_ISSR_208011371_TOT_REV_CHILE_TEL" localSheetId="2">#REF!</definedName>
    <definedName name="E_KEYWORD_ISSR_208011371_TOT_REV_CHINA_TEL" localSheetId="2">#REF!</definedName>
    <definedName name="E_KEYWORD_ISSR_208011371_TOT_REV_COLUMB_TEL" localSheetId="2">#REF!</definedName>
    <definedName name="E_KEYWORD_ISSR_208011371_TOT_REV_DEN_TEL" localSheetId="2">#REF!</definedName>
    <definedName name="E_KEYWORD_ISSR_208011371_TOT_REV_FRA_TEL" localSheetId="2">#REF!</definedName>
    <definedName name="E_KEYWORD_ISSR_208011371_TOT_REV_GER_TEL" localSheetId="2">#REF!</definedName>
    <definedName name="E_KEYWORD_ISSR_208011371_TOT_REV_HK_TEL" localSheetId="2">#REF!</definedName>
    <definedName name="E_KEYWORD_ISSR_208011371_TOT_REV_INDIA_TEL" localSheetId="2">#REF!</definedName>
    <definedName name="E_KEYWORD_ISSR_208011371_TOT_REV_INDO_TEL" localSheetId="2">#REF!</definedName>
    <definedName name="E_KEYWORD_ISSR_208011371_TOT_REV_ITALY_TEL" localSheetId="2">#REF!</definedName>
    <definedName name="E_KEYWORD_ISSR_208011371_TOT_REV_JPN_TEL" localSheetId="2">#REF!</definedName>
    <definedName name="E_KEYWORD_ISSR_208011371_TOT_REV_MALAY_TEL" localSheetId="2">#REF!</definedName>
    <definedName name="E_KEYWORD_ISSR_208011371_TOT_REV_MEX_TEL" localSheetId="2">#REF!</definedName>
    <definedName name="E_KEYWORD_ISSR_208011371_TOT_REV_NETH_TEL" localSheetId="2">#REF!</definedName>
    <definedName name="E_KEYWORD_ISSR_208011371_TOT_REV_NIG_TEL" localSheetId="2">#REF!</definedName>
    <definedName name="E_KEYWORD_ISSR_208011371_TOT_REV_NOR_TEL" localSheetId="2">#REF!</definedName>
    <definedName name="E_KEYWORD_ISSR_208011371_TOT_REV_NZ_TEL" localSheetId="2">#REF!</definedName>
    <definedName name="E_KEYWORD_ISSR_208011371_TOT_REV_PHIL_TEL" localSheetId="2">#REF!</definedName>
    <definedName name="E_KEYWORD_ISSR_208011371_TOT_REV_POL_TEL" localSheetId="2">#REF!</definedName>
    <definedName name="E_KEYWORD_ISSR_208011371_TOT_REV_POR_TEL" localSheetId="2">#REF!</definedName>
    <definedName name="E_KEYWORD_ISSR_208011371_TOT_REV_RUS_TEL" localSheetId="2">#REF!</definedName>
    <definedName name="E_KEYWORD_ISSR_208011371_TOT_REV_SARABIA_TEL" localSheetId="2">#REF!</definedName>
    <definedName name="E_KEYWORD_ISSR_208011371_TOT_REV_SING_TEL" localSheetId="2">#REF!</definedName>
    <definedName name="E_KEYWORD_ISSR_208011371_TOT_REV_SK_TEL" localSheetId="2">#REF!</definedName>
    <definedName name="E_KEYWORD_ISSR_208011371_TOT_REV_SO_AFRICA_TEL" localSheetId="2">#REF!</definedName>
    <definedName name="E_KEYWORD_ISSR_208011371_TOT_REV_SPAIN_TEL" localSheetId="2">#REF!</definedName>
    <definedName name="E_KEYWORD_ISSR_208011371_TOT_REV_SWED_TEL" localSheetId="2">#REF!</definedName>
    <definedName name="E_KEYWORD_ISSR_208011371_TOT_REV_SWIT_TEL" localSheetId="2">#REF!</definedName>
    <definedName name="E_KEYWORD_ISSR_208011371_TOT_REV_TAIWAN_TEL" localSheetId="2">#REF!</definedName>
    <definedName name="E_KEYWORD_ISSR_208011371_TOT_REV_THAI_TEL" localSheetId="2">#REF!</definedName>
    <definedName name="E_KEYWORD_ISSR_208011371_TOT_REV_TURK_TEL" localSheetId="2">#REF!</definedName>
    <definedName name="E_KEYWORD_ISSR_208011371_TOT_REV_UK_TEL" localSheetId="2">#REF!</definedName>
    <definedName name="E_KEYWORD_ISSR_208011371_TOT_REV_US_TEL" localSheetId="2">#REF!</definedName>
    <definedName name="E_KEYWORD_ISSR_208011371_TOTAL_CAPITAL_EMPLOYED_ADJ" localSheetId="2">#REF!</definedName>
    <definedName name="E_KEYWORD_ISSR_208011371_TOTAL_DEPREC_AMORT" localSheetId="2">#REF!</definedName>
    <definedName name="E_KEYWORD_ISSR_208011371_TOTAL_IFRS_ADJUST_PRE_TAX" localSheetId="2">#REF!</definedName>
    <definedName name="E_KEYWORD_ISSR_208011371_TOTAL_NONCURR_ASSETS" localSheetId="2">#REF!</definedName>
    <definedName name="E_KEYWORD_ISSR_208011371_TOTAL_OPR_REVENUE" localSheetId="2">#REF!</definedName>
    <definedName name="E_KEYWORD_ISSR_208011371_TV_LICENCES_MASTERHEADS" localSheetId="2">#REF!</definedName>
    <definedName name="E_KEYWORD_ISSR_208011371_TV_MKT_SH" localSheetId="2">#REF!</definedName>
    <definedName name="E_KEYWORD_ISSR_208011371_TV_MKT_SH_MOMENTUM" localSheetId="2">#REF!</definedName>
    <definedName name="E_KEYWORD_ISSR_208011371_UNF_PENS" localSheetId="2">#REF!</definedName>
    <definedName name="E_KEYWORD_ISSR_208011371_UNF_PENS_LIAB_OTH" localSheetId="2">#REF!</definedName>
    <definedName name="E_KEYWORD_ISSR_208011371_UNF_PENS_OFF" localSheetId="2">#REF!</definedName>
    <definedName name="E_KEYWORD_ISSR_208011371_WIRELESS_PEN" localSheetId="2">#REF!</definedName>
    <definedName name="E_KEYWORD_ISSR_208011371_WORK_CAP" localSheetId="2">#REF!</definedName>
    <definedName name="E_KEYWORD_ISSR_208011371_WRLESS_SERV_REV_ARGNT" localSheetId="2">#REF!</definedName>
    <definedName name="E_KEYWORD_ISSR_208011371_WRLESS_SERV_REV_AUST" localSheetId="2">#REF!</definedName>
    <definedName name="E_KEYWORD_ISSR_208011371_WRLESS_SERV_REV_BRAZIL" localSheetId="2">#REF!</definedName>
    <definedName name="E_KEYWORD_ISSR_208011371_WRLESS_SERV_REV_CAN" localSheetId="2">#REF!</definedName>
    <definedName name="E_KEYWORD_ISSR_208011371_WRLESS_SERV_REV_CHILE" localSheetId="2">#REF!</definedName>
    <definedName name="E_KEYWORD_ISSR_208011371_WRLESS_SERV_REV_CHINA" localSheetId="2">#REF!</definedName>
    <definedName name="E_KEYWORD_ISSR_208011371_WRLESS_SERV_REV_COLUMB" localSheetId="2">#REF!</definedName>
    <definedName name="E_KEYWORD_ISSR_208011371_WRLESS_SERV_REV_DEN" localSheetId="2">#REF!</definedName>
    <definedName name="E_KEYWORD_ISSR_208011371_WRLESS_SERV_REV_FRA" localSheetId="2">#REF!</definedName>
    <definedName name="E_KEYWORD_ISSR_208011371_WRLESS_SERV_REV_GER" localSheetId="2">#REF!</definedName>
    <definedName name="E_KEYWORD_ISSR_208011371_WRLESS_SERV_REV_HK" localSheetId="2">#REF!</definedName>
    <definedName name="E_KEYWORD_ISSR_208011371_WRLESS_SERV_REV_INDIA" localSheetId="2">#REF!</definedName>
    <definedName name="E_KEYWORD_ISSR_208011371_WRLESS_SERV_REV_INDO" localSheetId="2">#REF!</definedName>
    <definedName name="E_KEYWORD_ISSR_208011371_WRLESS_SERV_REV_ITALY" localSheetId="2">#REF!</definedName>
    <definedName name="E_KEYWORD_ISSR_208011371_WRLESS_SERV_REV_JPN" localSheetId="2">#REF!</definedName>
    <definedName name="E_KEYWORD_ISSR_208011371_WRLESS_SERV_REV_MALAY" localSheetId="2">#REF!</definedName>
    <definedName name="E_KEYWORD_ISSR_208011371_WRLESS_SERV_REV_MEX" localSheetId="2">#REF!</definedName>
    <definedName name="E_KEYWORD_ISSR_208011371_WRLESS_SERV_REV_MKT_SH_ARGNT" localSheetId="2">#REF!</definedName>
    <definedName name="E_KEYWORD_ISSR_208011371_WRLESS_SERV_REV_MKT_SH_AUST" localSheetId="2">#REF!</definedName>
    <definedName name="E_KEYWORD_ISSR_208011371_WRLESS_SERV_REV_MKT_SH_BRAZIL" localSheetId="2">#REF!</definedName>
    <definedName name="E_KEYWORD_ISSR_208011371_WRLESS_SERV_REV_MKT_SH_CAN" localSheetId="2">#REF!</definedName>
    <definedName name="E_KEYWORD_ISSR_208011371_WRLESS_SERV_REV_MKT_SH_CHILE" localSheetId="2">#REF!</definedName>
    <definedName name="E_KEYWORD_ISSR_208011371_WRLESS_SERV_REV_MKT_SH_CHINA" localSheetId="2">#REF!</definedName>
    <definedName name="E_KEYWORD_ISSR_208011371_WRLESS_SERV_REV_MKT_SH_COLUMB" localSheetId="2">#REF!</definedName>
    <definedName name="E_KEYWORD_ISSR_208011371_WRLESS_SERV_REV_MKT_SH_DEN" localSheetId="2">#REF!</definedName>
    <definedName name="E_KEYWORD_ISSR_208011371_WRLESS_SERV_REV_MKT_SH_FRA" localSheetId="2">#REF!</definedName>
    <definedName name="E_KEYWORD_ISSR_208011371_WRLESS_SERV_REV_MKT_SH_GER" localSheetId="2">#REF!</definedName>
    <definedName name="E_KEYWORD_ISSR_208011371_WRLESS_SERV_REV_MKT_SH_HK" localSheetId="2">#REF!</definedName>
    <definedName name="E_KEYWORD_ISSR_208011371_WRLESS_SERV_REV_MKT_SH_INDIA" localSheetId="2">#REF!</definedName>
    <definedName name="E_KEYWORD_ISSR_208011371_WRLESS_SERV_REV_MKT_SH_INDO" localSheetId="2">#REF!</definedName>
    <definedName name="E_KEYWORD_ISSR_208011371_WRLESS_SERV_REV_MKT_SH_ITALY" localSheetId="2">#REF!</definedName>
    <definedName name="E_KEYWORD_ISSR_208011371_WRLESS_SERV_REV_MKT_SH_JPN" localSheetId="2">#REF!</definedName>
    <definedName name="E_KEYWORD_ISSR_208011371_WRLESS_SERV_REV_MKT_SH_MALAY" localSheetId="2">#REF!</definedName>
    <definedName name="E_KEYWORD_ISSR_208011371_WRLESS_SERV_REV_MKT_SH_MEX" localSheetId="2">#REF!</definedName>
    <definedName name="E_KEYWORD_ISSR_208011371_WRLESS_SERV_REV_MKT_SH_NETH" localSheetId="2">#REF!</definedName>
    <definedName name="E_KEYWORD_ISSR_208011371_WRLESS_SERV_REV_MKT_SH_NIG" localSheetId="2">#REF!</definedName>
    <definedName name="E_KEYWORD_ISSR_208011371_WRLESS_SERV_REV_MKT_SH_NOR" localSheetId="2">#REF!</definedName>
    <definedName name="E_KEYWORD_ISSR_208011371_WRLESS_SERV_REV_MKT_SH_NZ" localSheetId="2">#REF!</definedName>
    <definedName name="E_KEYWORD_ISSR_208011371_WRLESS_SERV_REV_MKT_SH_PHIL" localSheetId="2">#REF!</definedName>
    <definedName name="E_KEYWORD_ISSR_208011371_WRLESS_SERV_REV_MKT_SH_POL" localSheetId="2">#REF!</definedName>
    <definedName name="E_KEYWORD_ISSR_208011371_WRLESS_SERV_REV_MKT_SH_POR" localSheetId="2">#REF!</definedName>
    <definedName name="E_KEYWORD_ISSR_208011371_WRLESS_SERV_REV_MKT_SH_RUS" localSheetId="2">#REF!</definedName>
    <definedName name="E_KEYWORD_ISSR_208011371_WRLESS_SERV_REV_MKT_SH_SA" localSheetId="2">#REF!</definedName>
    <definedName name="E_KEYWORD_ISSR_208011371_WRLESS_SERV_REV_MKT_SH_SA_ARAB" localSheetId="2">#REF!</definedName>
    <definedName name="E_KEYWORD_ISSR_208011371_WRLESS_SERV_REV_MKT_SH_SK" localSheetId="2">#REF!</definedName>
    <definedName name="E_KEYWORD_ISSR_208011371_WRLESS_SERV_REV_MKT_SH_SNG" localSheetId="2">#REF!</definedName>
    <definedName name="E_KEYWORD_ISSR_208011371_WRLESS_SERV_REV_MKT_SH_SPAIN" localSheetId="2">#REF!</definedName>
    <definedName name="E_KEYWORD_ISSR_208011371_WRLESS_SERV_REV_MKT_SH_SWED" localSheetId="2">#REF!</definedName>
    <definedName name="E_KEYWORD_ISSR_208011371_WRLESS_SERV_REV_MKT_SH_SWIT" localSheetId="2">#REF!</definedName>
    <definedName name="E_KEYWORD_ISSR_208011371_WRLESS_SERV_REV_MKT_SH_TAIWAN" localSheetId="2">#REF!</definedName>
    <definedName name="E_KEYWORD_ISSR_208011371_WRLESS_SERV_REV_MKT_SH_THAI" localSheetId="2">#REF!</definedName>
    <definedName name="E_KEYWORD_ISSR_208011371_WRLESS_SERV_REV_MKT_SH_TOTAL" localSheetId="2">#REF!</definedName>
    <definedName name="E_KEYWORD_ISSR_208011371_WRLESS_SERV_REV_MKT_SH_TURK" localSheetId="2">#REF!</definedName>
    <definedName name="E_KEYWORD_ISSR_208011371_WRLESS_SERV_REV_MKT_SH_UK" localSheetId="2">#REF!</definedName>
    <definedName name="E_KEYWORD_ISSR_208011371_WRLESS_SERV_REV_MKT_SH_US" localSheetId="2">#REF!</definedName>
    <definedName name="E_KEYWORD_ISSR_208011371_WRLESS_SERV_REV_NETH" localSheetId="2">#REF!</definedName>
    <definedName name="E_KEYWORD_ISSR_208011371_WRLESS_SERV_REV_NIG" localSheetId="2">#REF!</definedName>
    <definedName name="E_KEYWORD_ISSR_208011371_WRLESS_SERV_REV_NOR" localSheetId="2">#REF!</definedName>
    <definedName name="E_KEYWORD_ISSR_208011371_WRLESS_SERV_REV_NZ" localSheetId="2">#REF!</definedName>
    <definedName name="E_KEYWORD_ISSR_208011371_WRLESS_SERV_REV_PHIL" localSheetId="2">#REF!</definedName>
    <definedName name="E_KEYWORD_ISSR_208011371_WRLESS_SERV_REV_POL" localSheetId="2">#REF!</definedName>
    <definedName name="E_KEYWORD_ISSR_208011371_WRLESS_SERV_REV_POR" localSheetId="2">#REF!</definedName>
    <definedName name="E_KEYWORD_ISSR_208011371_WRLESS_SERV_REV_RUS" localSheetId="2">#REF!</definedName>
    <definedName name="E_KEYWORD_ISSR_208011371_WRLESS_SERV_REV_SA" localSheetId="2">#REF!</definedName>
    <definedName name="E_KEYWORD_ISSR_208011371_WRLESS_SERV_REV_SA_ARAB" localSheetId="2">#REF!</definedName>
    <definedName name="E_KEYWORD_ISSR_208011371_WRLESS_SERV_REV_SK" localSheetId="2">#REF!</definedName>
    <definedName name="E_KEYWORD_ISSR_208011371_WRLESS_SERV_REV_SNG" localSheetId="2">#REF!</definedName>
    <definedName name="E_KEYWORD_ISSR_208011371_WRLESS_SERV_REV_SPAIN" localSheetId="2">#REF!</definedName>
    <definedName name="E_KEYWORD_ISSR_208011371_WRLESS_SERV_REV_SWED" localSheetId="2">#REF!</definedName>
    <definedName name="E_KEYWORD_ISSR_208011371_WRLESS_SERV_REV_SWIT" localSheetId="2">#REF!</definedName>
    <definedName name="E_KEYWORD_ISSR_208011371_WRLESS_SERV_REV_TAIWAN" localSheetId="2">#REF!</definedName>
    <definedName name="E_KEYWORD_ISSR_208011371_WRLESS_SERV_REV_THAI" localSheetId="2">#REF!</definedName>
    <definedName name="E_KEYWORD_ISSR_208011371_WRLESS_SERV_REV_TOTAL" localSheetId="2">#REF!</definedName>
    <definedName name="E_KEYWORD_ISSR_208011371_WRLESS_SERV_REV_TURK" localSheetId="2">#REF!</definedName>
    <definedName name="E_KEYWORD_ISSR_208011371_WRLESS_SERV_REV_UK" localSheetId="2">#REF!</definedName>
    <definedName name="E_KEYWORD_ISSR_208011371_WRLESS_SERV_REV_US" localSheetId="2">#REF!</definedName>
    <definedName name="E_KEYWORD_ISSR_208011371_WRLESS_SUB_ARGNT" localSheetId="2">#REF!</definedName>
    <definedName name="E_KEYWORD_ISSR_208011371_WRLESS_SUB_AUST" localSheetId="2">#REF!</definedName>
    <definedName name="E_KEYWORD_ISSR_208011371_WRLESS_SUB_BRAZIL" localSheetId="2">#REF!</definedName>
    <definedName name="E_KEYWORD_ISSR_208011371_WRLESS_SUB_CAN" localSheetId="2">#REF!</definedName>
    <definedName name="E_KEYWORD_ISSR_208011371_WRLESS_SUB_CHILE" localSheetId="2">#REF!</definedName>
    <definedName name="E_KEYWORD_ISSR_208011371_WRLESS_SUB_CHINA" localSheetId="2">#REF!</definedName>
    <definedName name="E_KEYWORD_ISSR_208011371_WRLESS_SUB_COLUMB" localSheetId="2">#REF!</definedName>
    <definedName name="E_KEYWORD_ISSR_208011371_WRLESS_SUB_DEN" localSheetId="2">#REF!</definedName>
    <definedName name="E_KEYWORD_ISSR_208011371_WRLESS_SUB_FRA" localSheetId="2">#REF!</definedName>
    <definedName name="E_KEYWORD_ISSR_208011371_WRLESS_SUB_GER" localSheetId="2">#REF!</definedName>
    <definedName name="E_KEYWORD_ISSR_208011371_WRLESS_SUB_HK" localSheetId="2">#REF!</definedName>
    <definedName name="E_KEYWORD_ISSR_208011371_WRLESS_SUB_INDIA" localSheetId="2">#REF!</definedName>
    <definedName name="E_KEYWORD_ISSR_208011371_WRLESS_SUB_INDO" localSheetId="2">#REF!</definedName>
    <definedName name="E_KEYWORD_ISSR_208011371_WRLESS_SUB_ITALY" localSheetId="2">#REF!</definedName>
    <definedName name="E_KEYWORD_ISSR_208011371_WRLESS_SUB_JPN" localSheetId="2">#REF!</definedName>
    <definedName name="E_KEYWORD_ISSR_208011371_WRLESS_SUB_MALAY" localSheetId="2">#REF!</definedName>
    <definedName name="E_KEYWORD_ISSR_208011371_WRLESS_SUB_MEX" localSheetId="2">#REF!</definedName>
    <definedName name="E_KEYWORD_ISSR_208011371_WRLESS_SUB_NETH" localSheetId="2">#REF!</definedName>
    <definedName name="E_KEYWORD_ISSR_208011371_WRLESS_SUB_NIG" localSheetId="2">#REF!</definedName>
    <definedName name="E_KEYWORD_ISSR_208011371_WRLESS_SUB_NOR" localSheetId="2">#REF!</definedName>
    <definedName name="E_KEYWORD_ISSR_208011371_WRLESS_SUB_NZ" localSheetId="2">#REF!</definedName>
    <definedName name="E_KEYWORD_ISSR_208011371_WRLESS_SUB_PHIL" localSheetId="2">#REF!</definedName>
    <definedName name="E_KEYWORD_ISSR_208011371_WRLESS_SUB_POL" localSheetId="2">#REF!</definedName>
    <definedName name="E_KEYWORD_ISSR_208011371_WRLESS_SUB_POR" localSheetId="2">#REF!</definedName>
    <definedName name="E_KEYWORD_ISSR_208011371_WRLESS_SUB_RUS" localSheetId="2">#REF!</definedName>
    <definedName name="E_KEYWORD_ISSR_208011371_WRLESS_SUB_SA" localSheetId="2">#REF!</definedName>
    <definedName name="E_KEYWORD_ISSR_208011371_WRLESS_SUB_SA_ARAB" localSheetId="2">#REF!</definedName>
    <definedName name="E_KEYWORD_ISSR_208011371_WRLESS_SUB_SK" localSheetId="2">#REF!</definedName>
    <definedName name="E_KEYWORD_ISSR_208011371_WRLESS_SUB_SNG" localSheetId="2">#REF!</definedName>
    <definedName name="E_KEYWORD_ISSR_208011371_WRLESS_SUB_SPAIN" localSheetId="2">#REF!</definedName>
    <definedName name="E_KEYWORD_ISSR_208011371_WRLESS_SUB_SWED" localSheetId="2">#REF!</definedName>
    <definedName name="E_KEYWORD_ISSR_208011371_WRLESS_SUB_SWIT" localSheetId="2">#REF!</definedName>
    <definedName name="E_KEYWORD_ISSR_208011371_WRLESS_SUB_TAIWAN" localSheetId="2">#REF!</definedName>
    <definedName name="E_KEYWORD_ISSR_208011371_WRLESS_SUB_THAI" localSheetId="2">#REF!</definedName>
    <definedName name="E_KEYWORD_ISSR_208011371_WRLESS_SUB_TOTAL" localSheetId="2">#REF!</definedName>
    <definedName name="E_KEYWORD_ISSR_208011371_WRLESS_SUB_TURK" localSheetId="2">#REF!</definedName>
    <definedName name="E_KEYWORD_ISSR_208011371_WRLESS_SUB_UK" localSheetId="2">#REF!</definedName>
    <definedName name="E_KEYWORD_ISSR_208011371_WRLESS_SUB_US" localSheetId="2">#REF!</definedName>
    <definedName name="E_KEYWORD_ISSR_208011802_ACC_AMORT" localSheetId="2">#REF!</definedName>
    <definedName name="E_KEYWORD_ISSR_208011802_ACC_DDA" localSheetId="2">#REF!</definedName>
    <definedName name="E_KEYWORD_ISSR_208011802_ACC_END_DATE" localSheetId="2">#REF!</definedName>
    <definedName name="E_KEYWORD_ISSR_208011802_ACC_PAY_GQ" localSheetId="2">#REF!</definedName>
    <definedName name="E_KEYWORD_ISSR_208011802_ACQ" localSheetId="2">#REF!</definedName>
    <definedName name="E_KEYWORD_ISSR_208011802_ADJ_UNF_PENS_GOOD" localSheetId="2">#REF!</definedName>
    <definedName name="E_KEYWORD_ISSR_208011802_ASSOC_JV_ADDBK" localSheetId="2">#REF!</definedName>
    <definedName name="E_KEYWORD_ISSR_208011802_ASSOCIATE" localSheetId="2">#REF!</definedName>
    <definedName name="E_KEYWORD_ISSR_208011802_ASSOCIATE_OP" localSheetId="2">#REF!</definedName>
    <definedName name="E_KEYWORD_ISSR_208011802_BAL_MINO_INT" localSheetId="2">#REF!</definedName>
    <definedName name="E_KEYWORD_ISSR_208011802_CAP_LEASES" localSheetId="2">#REF!</definedName>
    <definedName name="E_KEYWORD_ISSR_208011802_CAPEX" localSheetId="2">#REF!</definedName>
    <definedName name="E_KEYWORD_ISSR_208011802_CAPEX_EXPANSION" localSheetId="2">#REF!</definedName>
    <definedName name="E_KEYWORD_ISSR_208011802_CAPEX_MAINTENANCE" localSheetId="2">#REF!</definedName>
    <definedName name="E_KEYWORD_ISSR_208011802_CASH_EQ" localSheetId="2">#REF!</definedName>
    <definedName name="E_KEYWORD_ISSR_208011802_CASH_INT_EXP" localSheetId="2">#REF!</definedName>
    <definedName name="E_KEYWORD_ISSR_208011802_CASH_PCT_OS_US" localSheetId="2">#REF!</definedName>
    <definedName name="E_KEYWORD_ISSR_208011802_CASH_TAX_EXP" localSheetId="2">#REF!</definedName>
    <definedName name="E_KEYWORD_ISSR_208011802_CF_FIN" localSheetId="2">#REF!</definedName>
    <definedName name="E_KEYWORD_ISSR_208011802_CF_INC_MINORITY" localSheetId="2">#REF!</definedName>
    <definedName name="E_KEYWORD_ISSR_208011802_CF_INV" localSheetId="2">#REF!</definedName>
    <definedName name="E_KEYWORD_ISSR_208011802_CF_OPS" localSheetId="2">#REF!</definedName>
    <definedName name="E_KEYWORD_ISSR_208011802_CHG_LT_DEBT" localSheetId="2">#REF!</definedName>
    <definedName name="E_KEYWORD_ISSR_208011802_CO_BOR_MARGIN" localSheetId="2">#REF!</definedName>
    <definedName name="E_KEYWORD_ISSR_208011802_COST_GD_SD" localSheetId="2">#REF!</definedName>
    <definedName name="E_KEYWORD_ISSR_208011802_CUR_ASS" localSheetId="2">#REF!</definedName>
    <definedName name="E_KEYWORD_ISSR_208011802_CURRENCY_ISO" localSheetId="2">#REF!</definedName>
    <definedName name="E_KEYWORD_ISSR_208011802_DEBTORS" localSheetId="2">#REF!</definedName>
    <definedName name="E_KEYWORD_ISSR_208011802_DEF_INC_TAX" localSheetId="2">#REF!</definedName>
    <definedName name="E_KEYWORD_ISSR_208011802_DEPR_AMORT" localSheetId="2">#REF!</definedName>
    <definedName name="E_KEYWORD_ISSR_208011802_DEPREC" localSheetId="2">#REF!</definedName>
    <definedName name="E_KEYWORD_ISSR_208011802_DIV_PAID" localSheetId="2">#REF!</definedName>
    <definedName name="E_KEYWORD_ISSR_208011802_DIVDS_ASSOC_JV" localSheetId="2">#REF!</definedName>
    <definedName name="E_KEYWORD_ISSR_208011802_DIVDS_PD_MINORITIES" localSheetId="2">#REF!</definedName>
    <definedName name="E_KEYWORD_ISSR_208011802_DIVEST" localSheetId="2">#REF!</definedName>
    <definedName name="E_KEYWORD_ISSR_208011802_EBIT" localSheetId="2">#REF!</definedName>
    <definedName name="E_KEYWORD_ISSR_208011802_EBIT_FIN_SEGMENT" localSheetId="2">#REF!</definedName>
    <definedName name="E_KEYWORD_ISSR_208011802_EBITDA_CALC" localSheetId="2">#REF!</definedName>
    <definedName name="E_KEYWORD_ISSR_208011802_EMPLOYEES" localSheetId="2">#REF!</definedName>
    <definedName name="E_KEYWORD_ISSR_208011802_EQ" localSheetId="2">#REF!</definedName>
    <definedName name="E_KEYWORD_ISSR_208011802_ESO_PRE_TAX" localSheetId="2">#REF!</definedName>
    <definedName name="E_KEYWORD_ISSR_208011802_EXP_OTH_COMMODITY" localSheetId="2">#REF!</definedName>
    <definedName name="E_KEYWORD_ISSR_208011802_EXP_OTH_COST" localSheetId="2">#REF!</definedName>
    <definedName name="E_KEYWORD_ISSR_208011802_FIX_ASS_INV" localSheetId="2">#REF!</definedName>
    <definedName name="E_KEYWORD_ISSR_208011802_GCI_INFL" localSheetId="2">#REF!</definedName>
    <definedName name="E_KEYWORD_ISSR_208011802_GOODWILL_AMORT" localSheetId="2">#REF!</definedName>
    <definedName name="E_KEYWORD_ISSR_208011802_GR_FIX_ASS" localSheetId="2">#REF!</definedName>
    <definedName name="E_KEYWORD_ISSR_208011802_GR_INTANG" localSheetId="2">#REF!</definedName>
    <definedName name="E_KEYWORD_ISSR_208011802_INT_EXP_IND" localSheetId="2">#REF!</definedName>
    <definedName name="E_KEYWORD_ISSR_208011802_INT_INC_IND" localSheetId="2">#REF!</definedName>
    <definedName name="E_KEYWORD_ISSR_208011802_INV_SECUR" localSheetId="2">#REF!</definedName>
    <definedName name="E_KEYWORD_ISSR_208011802_Issuer_Name" localSheetId="2">#REF!</definedName>
    <definedName name="E_KEYWORD_ISSR_208011802_LEASE_DEEM_DEPR" localSheetId="2">#REF!</definedName>
    <definedName name="E_KEYWORD_ISSR_208011802_LEASE_DEEM_INT" localSheetId="2">#REF!</definedName>
    <definedName name="E_KEYWORD_ISSR_208011802_LEASE_PAY" localSheetId="2">#REF!</definedName>
    <definedName name="E_KEYWORD_ISSR_208011802_LT_DEBT" localSheetId="2">#REF!</definedName>
    <definedName name="E_KEYWORD_ISSR_208011802_MA_PROB" localSheetId="2">#REF!</definedName>
    <definedName name="E_KEYWORD_ISSR_208011802_MINORITIES" localSheetId="2">#REF!</definedName>
    <definedName name="E_KEYWORD_ISSR_208011802_MV_ASSOCIATES" localSheetId="2">#REF!</definedName>
    <definedName name="E_KEYWORD_ISSR_208011802_NET_DEBT" localSheetId="2">#REF!</definedName>
    <definedName name="E_KEYWORD_ISSR_208011802_NET_DEBT_ADJ" localSheetId="2">#REF!</definedName>
    <definedName name="E_KEYWORD_ISSR_208011802_NET_FIX_ASS" localSheetId="2">#REF!</definedName>
    <definedName name="E_KEYWORD_ISSR_208011802_NET_INT_CH" localSheetId="2">#REF!</definedName>
    <definedName name="E_KEYWORD_ISSR_208011802_NET_INT_EXP" localSheetId="2">#REF!</definedName>
    <definedName name="E_KEYWORD_ISSR_208011802_NET_INTANG" localSheetId="2">#REF!</definedName>
    <definedName name="E_KEYWORD_ISSR_208011802_NONPPE_CAPEX" localSheetId="2">#REF!</definedName>
    <definedName name="E_KEYWORD_ISSR_208011802_OP_COST" localSheetId="2">#REF!</definedName>
    <definedName name="E_KEYWORD_ISSR_208011802_ORD_SH_FUND" localSheetId="2">#REF!</definedName>
    <definedName name="E_KEYWORD_ISSR_208011802_OTH_COST_INC" localSheetId="2">#REF!</definedName>
    <definedName name="E_KEYWORD_ISSR_208011802_OTH_CUR_ASS" localSheetId="2">#REF!</definedName>
    <definedName name="E_KEYWORD_ISSR_208011802_OTH_CUR_LIABS" localSheetId="2">#REF!</definedName>
    <definedName name="E_KEYWORD_ISSR_208011802_OTH_DACF_ADJ" localSheetId="2">#REF!</definedName>
    <definedName name="E_KEYWORD_ISSR_208011802_OTH_FIN_CF" localSheetId="2">#REF!</definedName>
    <definedName name="E_KEYWORD_ISSR_208011802_OTH_GCI_ADJ" localSheetId="2">#REF!</definedName>
    <definedName name="E_KEYWORD_ISSR_208011802_OTH_INV_CF" localSheetId="2">#REF!</definedName>
    <definedName name="E_KEYWORD_ISSR_208011802_OTH_LT_ASS" localSheetId="2">#REF!</definedName>
    <definedName name="E_KEYWORD_ISSR_208011802_OTH_LT_CRED_GQ" localSheetId="2">#REF!</definedName>
    <definedName name="E_KEYWORD_ISSR_208011802_OTH_NONCASH_ADJ" localSheetId="2">#REF!</definedName>
    <definedName name="E_KEYWORD_ISSR_208011802_OTH_OP_CF" localSheetId="2">#REF!</definedName>
    <definedName name="E_KEYWORD_ISSR_208011802_OTH_OP_INC_EXP" localSheetId="2">#REF!</definedName>
    <definedName name="E_KEYWORD_ISSR_208011802_PERIOD_MILESTONE" localSheetId="2">#REF!</definedName>
    <definedName name="E_KEYWORD_ISSR_208011802_PL_SALE_ASSETS" localSheetId="2">#REF!</definedName>
    <definedName name="E_KEYWORD_ISSR_208011802_PREF_SH" localSheetId="2">#REF!</definedName>
    <definedName name="E_KEYWORD_ISSR_208011802_PROFIT_ON_DISP" localSheetId="2">#REF!</definedName>
    <definedName name="E_KEYWORD_ISSR_208011802_PT_PROF" localSheetId="2">#REF!</definedName>
    <definedName name="E_KEYWORD_ISSR_208011802_RD_EXP" localSheetId="2">#REF!</definedName>
    <definedName name="E_KEYWORD_ISSR_208011802_REV_FIN_SEGMENT" localSheetId="2">#REF!</definedName>
    <definedName name="E_KEYWORD_ISSR_208011802_SALES" localSheetId="2">#REF!</definedName>
    <definedName name="E_KEYWORD_ISSR_208011802_SALES_ARGENTINA" localSheetId="2">#REF!</definedName>
    <definedName name="E_KEYWORD_ISSR_208011802_SALES_BRAZIL" localSheetId="2">#REF!</definedName>
    <definedName name="E_KEYWORD_ISSR_208011802_SALES_CANADA" localSheetId="2">#REF!</definedName>
    <definedName name="E_KEYWORD_ISSR_208011802_SALES_CEE" localSheetId="2">#REF!</definedName>
    <definedName name="E_KEYWORD_ISSR_208011802_SALES_CHILE" localSheetId="2">#REF!</definedName>
    <definedName name="E_KEYWORD_ISSR_208011802_SALES_CHINA" localSheetId="2">#REF!</definedName>
    <definedName name="E_KEYWORD_ISSR_208011802_SALES_COLOMBIA" localSheetId="2">#REF!</definedName>
    <definedName name="E_KEYWORD_ISSR_208011802_SALES_CONS" localSheetId="2">#REF!</definedName>
    <definedName name="E_KEYWORD_ISSR_208011802_SALES_EU_EX_UK" localSheetId="2">#REF!</definedName>
    <definedName name="E_KEYWORD_ISSR_208011802_SALES_FINAN" localSheetId="2">#REF!</definedName>
    <definedName name="E_KEYWORD_ISSR_208011802_SALES_FX_ARS" localSheetId="2">#REF!</definedName>
    <definedName name="E_KEYWORD_ISSR_208011802_SALES_FX_BRL" localSheetId="2">#REF!</definedName>
    <definedName name="E_KEYWORD_ISSR_208011802_SALES_FX_CAD" localSheetId="2">#REF!</definedName>
    <definedName name="E_KEYWORD_ISSR_208011802_SALES_FX_CLP" localSheetId="2">#REF!</definedName>
    <definedName name="E_KEYWORD_ISSR_208011802_SALES_FX_CNY" localSheetId="2">#REF!</definedName>
    <definedName name="E_KEYWORD_ISSR_208011802_SALES_FX_COP" localSheetId="2">#REF!</definedName>
    <definedName name="E_KEYWORD_ISSR_208011802_SALES_FX_EUR" localSheetId="2">#REF!</definedName>
    <definedName name="E_KEYWORD_ISSR_208011802_SALES_FX_GPB" localSheetId="2">#REF!</definedName>
    <definedName name="E_KEYWORD_ISSR_208011802_SALES_FX_INR" localSheetId="2">#REF!</definedName>
    <definedName name="E_KEYWORD_ISSR_208011802_SALES_FX_MXN" localSheetId="2">#REF!</definedName>
    <definedName name="E_KEYWORD_ISSR_208011802_SALES_FX_OTH" localSheetId="2">#REF!</definedName>
    <definedName name="E_KEYWORD_ISSR_208011802_SALES_FX_RUB" localSheetId="2">#REF!</definedName>
    <definedName name="E_KEYWORD_ISSR_208011802_SALES_FX_USD" localSheetId="2">#REF!</definedName>
    <definedName name="E_KEYWORD_ISSR_208011802_SALES_FX_VEF" localSheetId="2">#REF!</definedName>
    <definedName name="E_KEYWORD_ISSR_208011802_SALES_FX_YEN" localSheetId="2">#REF!</definedName>
    <definedName name="E_KEYWORD_ISSR_208011802_SALES_GOV" localSheetId="2">#REF!</definedName>
    <definedName name="E_KEYWORD_ISSR_208011802_SALES_IND" localSheetId="2">#REF!</definedName>
    <definedName name="E_KEYWORD_ISSR_208011802_SALES_INDIA" localSheetId="2">#REF!</definedName>
    <definedName name="E_KEYWORD_ISSR_208011802_SALES_JAPAN" localSheetId="2">#REF!</definedName>
    <definedName name="E_KEYWORD_ISSR_208011802_SALES_ME" localSheetId="2">#REF!</definedName>
    <definedName name="E_KEYWORD_ISSR_208011802_SALES_MEXICO" localSheetId="2">#REF!</definedName>
    <definedName name="E_KEYWORD_ISSR_208011802_SALES_OTH_AEJ" localSheetId="2">#REF!</definedName>
    <definedName name="E_KEYWORD_ISSR_208011802_SALES_OTH_AM" localSheetId="2">#REF!</definedName>
    <definedName name="E_KEYWORD_ISSR_208011802_SALES_OTH_EMEA" localSheetId="2">#REF!</definedName>
    <definedName name="E_KEYWORD_ISSR_208011802_SALES_OTHER" localSheetId="2">#REF!</definedName>
    <definedName name="E_KEYWORD_ISSR_208011802_SALES_RUSSIA" localSheetId="2">#REF!</definedName>
    <definedName name="E_KEYWORD_ISSR_208011802_SALES_SMB" localSheetId="2">#REF!</definedName>
    <definedName name="E_KEYWORD_ISSR_208011802_SALES_TOT_AFRICA" localSheetId="2">#REF!</definedName>
    <definedName name="E_KEYWORD_ISSR_208011802_SALES_TOT_AM" localSheetId="2">#REF!</definedName>
    <definedName name="E_KEYWORD_ISSR_208011802_SALES_TOT_ASIA" localSheetId="2">#REF!</definedName>
    <definedName name="E_KEYWORD_ISSR_208011802_SALES_TOT_EMEA" localSheetId="2">#REF!</definedName>
    <definedName name="E_KEYWORD_ISSR_208011802_SALES_UK" localSheetId="2">#REF!</definedName>
    <definedName name="E_KEYWORD_ISSR_208011802_SALES_US" localSheetId="2">#REF!</definedName>
    <definedName name="E_KEYWORD_ISSR_208011802_SALES_VENEZUELA" localSheetId="2">#REF!</definedName>
    <definedName name="E_KEYWORD_ISSR_208011802_SEL_GL_AD" localSheetId="2">#REF!</definedName>
    <definedName name="E_KEYWORD_ISSR_208011802_SH_REPUR" localSheetId="2">#REF!</definedName>
    <definedName name="E_KEYWORD_ISSR_208011802_SHORT_T_DEBT" localSheetId="2">#REF!</definedName>
    <definedName name="E_KEYWORD_ISSR_208011802_SHORT_TERM_LIABS" localSheetId="2">#REF!</definedName>
    <definedName name="E_KEYWORD_ISSR_208011802_STOCKS" localSheetId="2">#REF!</definedName>
    <definedName name="E_KEYWORD_ISSR_208011802_TOT_ASSET" localSheetId="2">#REF!</definedName>
    <definedName name="E_KEYWORD_ISSR_208011802_TOT_CF" localSheetId="2">#REF!</definedName>
    <definedName name="E_KEYWORD_ISSR_208011802_TOT_LIAB" localSheetId="2">#REF!</definedName>
    <definedName name="E_KEYWORD_ISSR_208011802_TOT_LIAB_EQ" localSheetId="2">#REF!</definedName>
    <definedName name="E_KEYWORD_ISSR_208011802_TOT_LT_LIAB" localSheetId="2">#REF!</definedName>
    <definedName name="E_KEYWORD_ISSR_208011802_TOT_OPS_EXP" localSheetId="2">#REF!</definedName>
    <definedName name="E_KEYWORD_ISSR_208011802_TOT_OPS_EXP_DDA" localSheetId="2">#REF!</definedName>
    <definedName name="E_KEYWORD_ISSR_208011802_UNF_PENS" localSheetId="2">#REF!</definedName>
    <definedName name="E_KEYWORD_ISSR_208011802_UNF_PENS_LIAB_OTH" localSheetId="2">#REF!</definedName>
    <definedName name="E_KEYWORD_ISSR_208011802_UNF_PENS_OFF" localSheetId="2">#REF!</definedName>
    <definedName name="E_KEYWORD_ISSR_208011802_WORK_CAP" localSheetId="2">#REF!</definedName>
    <definedName name="E_LIVEDATA_EQTY_200014621" localSheetId="2">#REF!</definedName>
    <definedName name="E_LIVEDATA_EQTY_200015044" localSheetId="2">#REF!</definedName>
    <definedName name="E_LIVEDATA_ISSR_208011371" localSheetId="2">#REF!</definedName>
    <definedName name="E_LIVEDATA_ISSR_208011802" localSheetId="2">#REF!</definedName>
    <definedName name="E_PERIOD_2009_Q1" localSheetId="2">#REF!</definedName>
    <definedName name="E_PERIOD_2009_Q2" localSheetId="2">#REF!</definedName>
    <definedName name="E_PERIOD_2009_Q3" localSheetId="2">#REF!</definedName>
    <definedName name="E_PERIOD_2009_Q4" localSheetId="2">#REF!</definedName>
    <definedName name="E_PERIOD_2010_Q1" localSheetId="2">#REF!</definedName>
    <definedName name="E_PERIOD_2010_Q2" localSheetId="2">#REF!</definedName>
    <definedName name="E_PERIOD_2010_Q3" localSheetId="2">#REF!</definedName>
    <definedName name="E_PERIOD_2010_Q4" localSheetId="2">#REF!</definedName>
    <definedName name="E_PERIOD_2011_Q1" localSheetId="2">#REF!</definedName>
    <definedName name="E_PERIOD_2011_Q2" localSheetId="2">#REF!</definedName>
    <definedName name="E_PERIOD_2011_Q3" localSheetId="2">#REF!</definedName>
    <definedName name="E_PERIOD_2011_Q4" localSheetId="2">#REF!</definedName>
    <definedName name="E_PERIOD_2012_Q1" localSheetId="2">#REF!</definedName>
    <definedName name="E_PERIOD_2012_Q2" localSheetId="2">#REF!</definedName>
    <definedName name="E_PERIOD_2012_Q3" localSheetId="2">#REF!</definedName>
    <definedName name="E_PERIOD_2012_Q4" localSheetId="2">#REF!</definedName>
    <definedName name="E_PERIOD_2013_Q1" localSheetId="2">#REF!</definedName>
    <definedName name="E_PERIOD_2013_Q2" localSheetId="2">#REF!</definedName>
    <definedName name="E_PERIOD_2013_Q3" localSheetId="2">#REF!</definedName>
    <definedName name="E_PERIOD_2013_Q4" localSheetId="2">#REF!</definedName>
    <definedName name="E_PERIOD_2014_Q1" localSheetId="2">#REF!</definedName>
    <definedName name="E_PERIOD_2014_Q2" localSheetId="2">#REF!</definedName>
    <definedName name="E_PERIOD_2014_Q3" localSheetId="2">#REF!</definedName>
    <definedName name="E_PERIOD_2014_Q4" localSheetId="2">#REF!</definedName>
    <definedName name="E_SECTION_EQTY_200014621_1314" localSheetId="2">#REF!</definedName>
    <definedName name="E_SECTION_EQTY_200014621_1316A" localSheetId="2">#REF!</definedName>
    <definedName name="E_SECTION_EQTY_200014621_1316B" localSheetId="2">#REF!</definedName>
    <definedName name="E_SECTION_EQTY_200014621_1316C" localSheetId="2">#REF!</definedName>
    <definedName name="E_SECTION_EQTY_200014621_1316D" localSheetId="2">#REF!</definedName>
    <definedName name="E_SECTION_EQTY_200014621_1316E" localSheetId="2">#REF!</definedName>
    <definedName name="E_SECTION_EQTY_200014621_131E" localSheetId="2">#REF!</definedName>
    <definedName name="E_SECTION_EQTY_200014621_131O" localSheetId="2">#REF!</definedName>
    <definedName name="E_SECTION_EQTY_200014621_131P" localSheetId="2">#REF!</definedName>
    <definedName name="E_SECTION_EQTY_200014621_13A" localSheetId="2">#REF!</definedName>
    <definedName name="E_SECTION_EQTY_200014621_13K" localSheetId="2">#REF!</definedName>
    <definedName name="E_SECTION_EQTY_200014621_13U" localSheetId="2">#REF!</definedName>
    <definedName name="E_SECTION_EQTY_200014621_13V" localSheetId="2">#REF!</definedName>
    <definedName name="E_SECTION_EQTY_200014621_Reference_Data" localSheetId="2">#REF!</definedName>
    <definedName name="E_SECTION_EQTY_200015044_1314" localSheetId="2">#REF!</definedName>
    <definedName name="E_SECTION_EQTY_200015044_1319" localSheetId="2">#REF!</definedName>
    <definedName name="E_SECTION_EQTY_200015044_131E" localSheetId="2">#REF!</definedName>
    <definedName name="E_SECTION_EQTY_200015044_131O" localSheetId="2">#REF!</definedName>
    <definedName name="E_SECTION_EQTY_200015044_13A" localSheetId="2">#REF!</definedName>
    <definedName name="E_SECTION_EQTY_200015044_13K" localSheetId="2">#REF!</definedName>
    <definedName name="E_SECTION_EQTY_200015044_13U" localSheetId="2">#REF!</definedName>
    <definedName name="E_SECTION_EQTY_200015044_13V" localSheetId="2">#REF!</definedName>
    <definedName name="E_SECTION_EQTY_200015044_13W" localSheetId="2">#REF!</definedName>
    <definedName name="E_SECTION_EQTY_200015044_Reference_Data" localSheetId="2">#REF!</definedName>
    <definedName name="E_SECTION_ISSR_208011371_1314" localSheetId="2">#REF!</definedName>
    <definedName name="E_SECTION_ISSR_208011371_13168" localSheetId="2">#REF!</definedName>
    <definedName name="E_SECTION_ISSR_208011371_1316B" localSheetId="2">#REF!</definedName>
    <definedName name="E_SECTION_ISSR_208011371_1316C" localSheetId="2">#REF!</definedName>
    <definedName name="E_SECTION_ISSR_208011371_1316D" localSheetId="2">#REF!</definedName>
    <definedName name="E_SECTION_ISSR_208011371_1316E" localSheetId="2">#REF!</definedName>
    <definedName name="E_SECTION_ISSR_208011371_1316P" localSheetId="2">#REF!</definedName>
    <definedName name="E_SECTION_ISSR_208011371_1316T" localSheetId="2">#REF!</definedName>
    <definedName name="E_SECTION_ISSR_208011371_1316U" localSheetId="2">#REF!</definedName>
    <definedName name="E_SECTION_ISSR_208011371_1319" localSheetId="2">#REF!</definedName>
    <definedName name="E_SECTION_ISSR_208011371_131E" localSheetId="2">#REF!</definedName>
    <definedName name="E_SECTION_ISSR_208011371_131J" localSheetId="2">#REF!</definedName>
    <definedName name="E_SECTION_ISSR_208011371_131O" localSheetId="2">#REF!</definedName>
    <definedName name="E_SECTION_ISSR_208011371_131P" localSheetId="2">#REF!</definedName>
    <definedName name="E_SECTION_ISSR_208011371_131Y" localSheetId="2">#REF!</definedName>
    <definedName name="E_SECTION_ISSR_208011371_134L" localSheetId="2">#REF!</definedName>
    <definedName name="E_SECTION_ISSR_208011371_13U" localSheetId="2">#REF!</definedName>
    <definedName name="E_SECTION_ISSR_208011371_13V" localSheetId="2">#REF!</definedName>
    <definedName name="E_SECTION_ISSR_208011371_Reference_Data" localSheetId="2">#REF!</definedName>
    <definedName name="E_SECTION_ISSR_208011802_1314" localSheetId="2">#REF!</definedName>
    <definedName name="E_SECTION_ISSR_208011802_13168" localSheetId="2">#REF!</definedName>
    <definedName name="E_SECTION_ISSR_208011802_1316T" localSheetId="2">#REF!</definedName>
    <definedName name="E_SECTION_ISSR_208011802_1316U" localSheetId="2">#REF!</definedName>
    <definedName name="E_SECTION_ISSR_208011802_1319" localSheetId="2">#REF!</definedName>
    <definedName name="E_SECTION_ISSR_208011802_131E" localSheetId="2">#REF!</definedName>
    <definedName name="E_SECTION_ISSR_208011802_131J" localSheetId="2">#REF!</definedName>
    <definedName name="E_SECTION_ISSR_208011802_131O" localSheetId="2">#REF!</definedName>
    <definedName name="E_SECTION_ISSR_208011802_13A" localSheetId="2">#REF!</definedName>
    <definedName name="E_SECTION_ISSR_208011802_13U" localSheetId="2">#REF!</definedName>
    <definedName name="E_SECTION_ISSR_208011802_13V" localSheetId="2">#REF!</definedName>
    <definedName name="E_SECTION_ISSR_208011802_Reference_Data" localSheetId="2">#REF!</definedName>
    <definedName name="Earnings" localSheetId="2">#REF!</definedName>
    <definedName name="EBDIT" localSheetId="2">#REF!</definedName>
    <definedName name="ebdit_00" localSheetId="2">#REF!</definedName>
    <definedName name="ebdit_01" localSheetId="2">#REF!</definedName>
    <definedName name="ebdit_02" localSheetId="2">#REF!</definedName>
    <definedName name="ebdit_99" localSheetId="2">#REF!</definedName>
    <definedName name="ebdit_s00" localSheetId="2">#REF!</definedName>
    <definedName name="ebdit_s01" localSheetId="2">#REF!</definedName>
    <definedName name="ebdit_s02" localSheetId="2">#REF!</definedName>
    <definedName name="ebdit_s99" localSheetId="2">#REF!</definedName>
    <definedName name="EBIT" localSheetId="2">#REF!</definedName>
    <definedName name="EBIT_fore" localSheetId="2">#REF!</definedName>
    <definedName name="EBIT_margin" localSheetId="2">#REF!</definedName>
    <definedName name="EBIT_Margin_MC" localSheetId="2">#REF!</definedName>
    <definedName name="EBIT_Margin_Pk" localSheetId="2">#REF!</definedName>
    <definedName name="ebita" localSheetId="2">#REF!</definedName>
    <definedName name="EBITA_fore" localSheetId="2">#REF!</definedName>
    <definedName name="EBITDA_classified">MODEL!$21:$21</definedName>
    <definedName name="EBITDA_DCF" localSheetId="2">#REF!</definedName>
    <definedName name="EBITDA_margin" localSheetId="2">#REF!</definedName>
    <definedName name="EBITDA00" localSheetId="2">#REF!</definedName>
    <definedName name="EBITDA97" localSheetId="2">#REF!</definedName>
    <definedName name="EBITDA98" localSheetId="2">#REF!</definedName>
    <definedName name="EBITDA99" localSheetId="2">#REF!</definedName>
    <definedName name="EBITDAM00" localSheetId="2">#REF!</definedName>
    <definedName name="EBITDAM97" localSheetId="2">#REF!</definedName>
    <definedName name="EBITDAM98" localSheetId="2">#REF!</definedName>
    <definedName name="EBITDAM99" localSheetId="2">#REF!</definedName>
    <definedName name="EBITDAShare95" localSheetId="2">#REF!</definedName>
    <definedName name="EBITDAShare96" localSheetId="2">#REF!</definedName>
    <definedName name="EBITDAShare97" localSheetId="2">#REF!</definedName>
    <definedName name="Edge_Report_Spec_CompaniesOutputSheetHeader" localSheetId="2">#REF!</definedName>
    <definedName name="Edge_Report_Spec_DataOutputSheetHeader" localSheetId="2">#REF!</definedName>
    <definedName name="Edge_Report_Spec_FirstHeaderCell" localSheetId="2">#REF!</definedName>
    <definedName name="Edge_Report_Spec_LastHeaderCell" localSheetId="2">#REF!</definedName>
    <definedName name="eeee" localSheetId="2">#REF!</definedName>
    <definedName name="efg" localSheetId="2" hidden="1">{"Employee Efficiency",#N/A,FALSE,"Benchmarking"}</definedName>
    <definedName name="efg" hidden="1">{"Employee Efficiency",#N/A,FALSE,"Benchmarking"}</definedName>
    <definedName name="EFPO" localSheetId="2">#REF!</definedName>
    <definedName name="EFPO">MODEL!$251:$251</definedName>
    <definedName name="EG_PAGE" localSheetId="2">#REF!</definedName>
    <definedName name="ehsht" localSheetId="2">Sheet1</definedName>
    <definedName name="ENTERPRISE_VALUE" localSheetId="2">#REF!</definedName>
    <definedName name="EPS" localSheetId="2">#REF!</definedName>
    <definedName name="EPS">MODEL!$268:$268</definedName>
    <definedName name="eps_00" localSheetId="2">#REF!</definedName>
    <definedName name="eps_01" localSheetId="2">#REF!</definedName>
    <definedName name="eps_02" localSheetId="2">#REF!</definedName>
    <definedName name="eps_2001_to_infinity" localSheetId="2">#REF!</definedName>
    <definedName name="eps_99" localSheetId="2">#REF!</definedName>
    <definedName name="EPS_Basic_Post_ab" localSheetId="2">#REF!</definedName>
    <definedName name="EPS_Basic_Post_ab">MODEL!$274:$274</definedName>
    <definedName name="EPS_Diluted_Post_ab" localSheetId="2">#REF!</definedName>
    <definedName name="EPS_Diluted_Post_ab">MODEL!$269:$269</definedName>
    <definedName name="EPS_DPS" localSheetId="2">#REF!</definedName>
    <definedName name="EPS_past" localSheetId="2">#REF!</definedName>
    <definedName name="EPS_post_abs">MODEL!$267:$267</definedName>
    <definedName name="EPS_pre_ga" localSheetId="2">#REF!</definedName>
    <definedName name="EPS_pre_ga">MODEL!$267:$267</definedName>
    <definedName name="EPS_pre_goodwill_amortisation" localSheetId="2">#REF!</definedName>
    <definedName name="EPS_pre_goodwill_amortisation">MODEL!$272:$272</definedName>
    <definedName name="eps_to_inifinity" localSheetId="2">#REF!</definedName>
    <definedName name="EPS00" localSheetId="2">#REF!</definedName>
    <definedName name="EPS5YR00" localSheetId="2">#REF!</definedName>
    <definedName name="EPS5YR01" localSheetId="2">#REF!</definedName>
    <definedName name="EPS5YR02" localSheetId="2">#REF!</definedName>
    <definedName name="EPS5YR97" localSheetId="2">#REF!</definedName>
    <definedName name="EPS5YR98" localSheetId="2">#REF!</definedName>
    <definedName name="EPS5YR99" localSheetId="2">#REF!</definedName>
    <definedName name="EPSGROWTH99" localSheetId="2">#REF!</definedName>
    <definedName name="EPSYR00" localSheetId="2">#REF!</definedName>
    <definedName name="EPSYR97" localSheetId="2">#REF!</definedName>
    <definedName name="EPSYR98" localSheetId="2">#REF!</definedName>
    <definedName name="EPSYR99" localSheetId="2">#REF!</definedName>
    <definedName name="EQ" localSheetId="2">#REF!</definedName>
    <definedName name="eq_00" localSheetId="2">#REF!</definedName>
    <definedName name="eq_01" localSheetId="2">#REF!</definedName>
    <definedName name="eq_02" localSheetId="2">#REF!</definedName>
    <definedName name="eq_99" localSheetId="2">#REF!</definedName>
    <definedName name="Equ_rat_ex_gw" localSheetId="2">#REF!</definedName>
    <definedName name="equity" localSheetId="2">#REF!</definedName>
    <definedName name="EQUITY_CUR" localSheetId="2">#REF!</definedName>
    <definedName name="EQUITY_CUR_L" localSheetId="2">#REF!</definedName>
    <definedName name="Equity_ex_gw" localSheetId="2">#REF!</definedName>
    <definedName name="Equity_income_from_JV" localSheetId="2">#REF!</definedName>
    <definedName name="Equity_increase" localSheetId="2">#REF!</definedName>
    <definedName name="Equity_profits" localSheetId="2">#REF!</definedName>
    <definedName name="Equity_profits">MODEL!$37:$37</definedName>
    <definedName name="ERIC_avgretondebt" localSheetId="2">#REF!</definedName>
    <definedName name="ERIC_Beta" localSheetId="2">#REF!</definedName>
    <definedName name="ERIC_CSO" localSheetId="2">#REF!</definedName>
    <definedName name="ERIC_DSO" localSheetId="2">#REF!</definedName>
    <definedName name="ERIC_forshareholders" localSheetId="2">#REF!</definedName>
    <definedName name="ERIC_impliedsecbeta" localSheetId="2">#REF!</definedName>
    <definedName name="ERIC_impliedspecdebtbeta" localSheetId="2">#REF!</definedName>
    <definedName name="ERIC_imputedtaxdivs" localSheetId="2">#REF!</definedName>
    <definedName name="ERIC_intexp" localSheetId="2">#REF!</definedName>
    <definedName name="ERIC_intinc" localSheetId="2">#REF!</definedName>
    <definedName name="ERIC_Inventoriespersales" localSheetId="2">#REF!</definedName>
    <definedName name="ERIC_Kd" localSheetId="2">#REF!</definedName>
    <definedName name="ERIC_Ke" localSheetId="2">#REF!</definedName>
    <definedName name="ERIC_leaselife" localSheetId="2">#REF!</definedName>
    <definedName name="ERIC_leasepayt" localSheetId="2">#REF!</definedName>
    <definedName name="ERIC_NAV" localSheetId="2">#REF!</definedName>
    <definedName name="ERIC_otheliabspersales" localSheetId="2">#REF!</definedName>
    <definedName name="ERIC_othercurrassetspersales" localSheetId="2">#REF!</definedName>
    <definedName name="ERIC_reqretgeeq" localSheetId="2">#REF!</definedName>
    <definedName name="ERIC_reqretungeq" localSheetId="2">#REF!</definedName>
    <definedName name="ERIC_RFR" localSheetId="2">#REF!</definedName>
    <definedName name="ERIC_riskprem" localSheetId="2">#REF!</definedName>
    <definedName name="ERIC_sales" localSheetId="2">#REF!</definedName>
    <definedName name="ERIC_secbeta" localSheetId="2">#REF!</definedName>
    <definedName name="ERIC_secbetaungeared" localSheetId="2">#REF!</definedName>
    <definedName name="ERIC_secdebtmargin" localSheetId="2">#REF!</definedName>
    <definedName name="ERIC_Secgearing" localSheetId="2">#REF!</definedName>
    <definedName name="ERIC_SGApersales" localSheetId="2">#REF!</definedName>
    <definedName name="ERIC_SHF" localSheetId="2">#REF!</definedName>
    <definedName name="ERIC_SHF1" localSheetId="2">#REF!</definedName>
    <definedName name="ERIC_SHFfd" localSheetId="2">#REF!</definedName>
    <definedName name="ERIC_specavgdebtmarg" localSheetId="2">#REF!</definedName>
    <definedName name="ERIC_specbeta" localSheetId="2">#REF!</definedName>
    <definedName name="ERIC_specgearing" localSheetId="2">#REF!</definedName>
    <definedName name="ERIC_specretondebt" localSheetId="2">#REF!</definedName>
    <definedName name="ERIC_taxadvondebt" localSheetId="2">#REF!</definedName>
    <definedName name="ERIC_taxcorp" localSheetId="2">#REF!</definedName>
    <definedName name="ERIC_taxratenot" localSheetId="2">#REF!</definedName>
    <definedName name="ERIC_Tcurrentassets" localSheetId="2">#REF!</definedName>
    <definedName name="ERIC_Tfixedassets" localSheetId="2">#REF!</definedName>
    <definedName name="ERIC_Totrevbelow" localSheetId="2">#REF!</definedName>
    <definedName name="Errorline" localSheetId="2">#REF!</definedName>
    <definedName name="ERTSEPS1" localSheetId="2">#REF!</definedName>
    <definedName name="ERTSEPS2" localSheetId="2">#REF!</definedName>
    <definedName name="ERTSRating" localSheetId="2">#REF!</definedName>
    <definedName name="ERTSTargetPrice" localSheetId="2">#REF!</definedName>
    <definedName name="esnrc39c1_values" localSheetId="2" hidden="1">{"AT","COMPANIES",TRUE}</definedName>
    <definedName name="esnrc39c1_values" localSheetId="12" hidden="1">{"AT","COMPANIES",TRUE}</definedName>
    <definedName name="esnrc39c1_values" localSheetId="7" hidden="1">{"AT","COMPANIES",TRUE}</definedName>
    <definedName name="esnrc39c1_values" hidden="1">{"AT","COMPANIES",TRUE}</definedName>
    <definedName name="Europe_excl._Sweden" localSheetId="2">#REF!</definedName>
    <definedName name="Europe_excl._Sweden_w" localSheetId="2">#REF!</definedName>
    <definedName name="EUSALS" localSheetId="2">#REF!</definedName>
    <definedName name="EV" localSheetId="2">#REF!</definedName>
    <definedName name="ev_00" localSheetId="2">#REF!</definedName>
    <definedName name="ev_01" localSheetId="2">#REF!</definedName>
    <definedName name="ev_02" localSheetId="2">#REF!</definedName>
    <definedName name="ev_99" localSheetId="2">#REF!</definedName>
    <definedName name="ev_ce00" localSheetId="2">#REF!</definedName>
    <definedName name="ev_ce01" localSheetId="2">#REF!</definedName>
    <definedName name="ev_ce02" localSheetId="2">#REF!</definedName>
    <definedName name="ev_ce99" localSheetId="2">#REF!</definedName>
    <definedName name="ev_ebdit00" localSheetId="2">#REF!</definedName>
    <definedName name="ev_ebdit01" localSheetId="2">#REF!</definedName>
    <definedName name="ev_ebdit02" localSheetId="2">#REF!</definedName>
    <definedName name="ev_ebdit99" localSheetId="2">#REF!</definedName>
    <definedName name="ev_ebit00" localSheetId="2">#REF!</definedName>
    <definedName name="ev_ebit01" localSheetId="2">#REF!</definedName>
    <definedName name="ev_ebit02" localSheetId="2">#REF!</definedName>
    <definedName name="ev_ebit99" localSheetId="2">#REF!</definedName>
    <definedName name="ev_opfcf00" localSheetId="2">#REF!</definedName>
    <definedName name="ev_opfcf01" localSheetId="2">#REF!</definedName>
    <definedName name="ev_opfcf02" localSheetId="2">#REF!</definedName>
    <definedName name="ev_opfcf99" localSheetId="2">#REF!</definedName>
    <definedName name="ev_s00" localSheetId="2">#REF!</definedName>
    <definedName name="ev_s01" localSheetId="2">#REF!</definedName>
    <definedName name="ev_s02" localSheetId="2">#REF!</definedName>
    <definedName name="ev_s99" localSheetId="2">#REF!</definedName>
    <definedName name="ev_sqm00" localSheetId="2">#REF!</definedName>
    <definedName name="ev_sqm01" localSheetId="2">#REF!</definedName>
    <definedName name="ev_sqm02" localSheetId="2">#REF!</definedName>
    <definedName name="ev_sqm99" localSheetId="2">#REF!</definedName>
    <definedName name="Event_Type" localSheetId="2">#REF!</definedName>
    <definedName name="evnci_00" localSheetId="2">#REF!</definedName>
    <definedName name="evnci_01" localSheetId="2">#REF!</definedName>
    <definedName name="evnci_02" localSheetId="2">#REF!</definedName>
    <definedName name="evnci_91" localSheetId="2">#REF!</definedName>
    <definedName name="evnci_92" localSheetId="2">#REF!</definedName>
    <definedName name="evnci_93" localSheetId="2">#REF!</definedName>
    <definedName name="evnci_94" localSheetId="2">#REF!</definedName>
    <definedName name="evnci_95" localSheetId="2">#REF!</definedName>
    <definedName name="evnci_96" localSheetId="2">#REF!</definedName>
    <definedName name="evnci_97" localSheetId="2">#REF!</definedName>
    <definedName name="evnci_98" localSheetId="2">#REF!</definedName>
    <definedName name="evnci_99" localSheetId="2">#REF!</definedName>
    <definedName name="Excess_cash" localSheetId="2">#REF!</definedName>
    <definedName name="EXIT" localSheetId="2">#REF!</definedName>
    <definedName name="exp" localSheetId="2">#REF!</definedName>
    <definedName name="Expansionary_capex" localSheetId="2">#REF!</definedName>
    <definedName name="Expansionary_capex">MODEL!$93:$93</definedName>
    <definedName name="Expl_forecast_1st_yr" localSheetId="2">#REF!</definedName>
    <definedName name="Expl_forecast_2nd_yr" localSheetId="2">#REF!</definedName>
    <definedName name="Expl_forecast_3rd_yr" localSheetId="2">#REF!</definedName>
    <definedName name="EXTRA" localSheetId="2">#REF!</definedName>
    <definedName name="Extrao" localSheetId="2">#REF!</definedName>
    <definedName name="Extraordinary_Expenses" localSheetId="2">#REF!</definedName>
    <definedName name="Extraordinary_Income" localSheetId="2">#REF!</definedName>
    <definedName name="f" localSheetId="2" hidden="1">{"IS",#N/A,FALSE,"IS";"RPTIS",#N/A,FALSE,"RPTIS";"STATS",#N/A,FALSE,"STATS";"CELL",#N/A,FALSE,"CELL";"BS",#N/A,FALSE,"BS"}</definedName>
    <definedName name="f" localSheetId="12" hidden="1">{"PR1","pr1",TRUE,"Sch PR-1"}</definedName>
    <definedName name="f" localSheetId="7" hidden="1">{"PR1","pr1",TRUE,"Sch PR-1"}</definedName>
    <definedName name="f" hidden="1">{"PR1","pr1",TRUE,"Sch PR-1"}</definedName>
    <definedName name="F.1989.12" localSheetId="2">#REF!</definedName>
    <definedName name="F.1990.12" localSheetId="2">#REF!</definedName>
    <definedName name="F.1991.12" localSheetId="2">#REF!</definedName>
    <definedName name="F.1992.12" localSheetId="2">#REF!</definedName>
    <definedName name="F.1993.12" localSheetId="2">#REF!</definedName>
    <definedName name="F.1994.12" localSheetId="2">#REF!</definedName>
    <definedName name="F.1995.12" localSheetId="2">#REF!</definedName>
    <definedName name="F.1996.12" localSheetId="2">#REF!</definedName>
    <definedName name="F9HorizontalAxis" localSheetId="2">#REF!</definedName>
    <definedName name="F9ModelCompany" localSheetId="2">#REF!</definedName>
    <definedName name="F9OtherAxes" localSheetId="2">#REF!</definedName>
    <definedName name="F9ReportBody" localSheetId="2">#REF!</definedName>
    <definedName name="F9ReportTitle" localSheetId="2">#REF!</definedName>
    <definedName name="F9VerticalAxis" localSheetId="2">#REF!</definedName>
    <definedName name="FAG" localSheetId="2">#REF!</definedName>
    <definedName name="fasdfs" localSheetId="2" hidden="1">{#N/A,#N/A,FALSE,"Aging Summary";#N/A,#N/A,FALSE,"Ratio Analysis";#N/A,#N/A,FALSE,"Test 120 Day Accts";#N/A,#N/A,FALSE,"Tickmarks"}</definedName>
    <definedName name="fasdfs" localSheetId="12" hidden="1">{#N/A,#N/A,FALSE,"Aging Summary";#N/A,#N/A,FALSE,"Ratio Analysis";#N/A,#N/A,FALSE,"Test 120 Day Accts";#N/A,#N/A,FALSE,"Tickmarks"}</definedName>
    <definedName name="fasdfs" localSheetId="7" hidden="1">{#N/A,#N/A,FALSE,"Aging Summary";#N/A,#N/A,FALSE,"Ratio Analysis";#N/A,#N/A,FALSE,"Test 120 Day Accts";#N/A,#N/A,FALSE,"Tickmarks"}</definedName>
    <definedName name="fasdfs" hidden="1">{#N/A,#N/A,FALSE,"Aging Summary";#N/A,#N/A,FALSE,"Ratio Analysis";#N/A,#N/A,FALSE,"Test 120 Day Accts";#N/A,#N/A,FALSE,"Tickmarks"}</definedName>
    <definedName name="FCF00" localSheetId="2">#REF!</definedName>
    <definedName name="FCFPS">MODEL!$289:$289</definedName>
    <definedName name="FCFShare95" localSheetId="2">#REF!</definedName>
    <definedName name="FCFShare96" localSheetId="2">#REF!</definedName>
    <definedName name="FCFShare97" localSheetId="2">#REF!</definedName>
    <definedName name="fcfxdiv00" localSheetId="2">#REF!</definedName>
    <definedName name="fcfxdiv01" localSheetId="2">#REF!</definedName>
    <definedName name="fcfxdiv02" localSheetId="2">#REF!</definedName>
    <definedName name="fcfxdiv03" localSheetId="2">#REF!</definedName>
    <definedName name="fcfxdiv04" localSheetId="2">#REF!</definedName>
    <definedName name="fcfxdiv97" localSheetId="2">#REF!</definedName>
    <definedName name="fcfxdiv98" localSheetId="2">#REF!</definedName>
    <definedName name="fcfxdiv99" localSheetId="2">#REF!</definedName>
    <definedName name="fdas" localSheetId="2" hidden="1">{"IS",#N/A,FALSE,"IS";"RPTIS",#N/A,FALSE,"RPTIS";"STATS",#N/A,FALSE,"STATS";"CELL",#N/A,FALSE,"CELL";"BS",#N/A,FALSE,"BS"}</definedName>
    <definedName name="fdas" localSheetId="12" hidden="1">{"IS",#N/A,FALSE,"IS";"RPTIS",#N/A,FALSE,"RPTIS";"STATS",#N/A,FALSE,"STATS";"CELL",#N/A,FALSE,"CELL";"BS",#N/A,FALSE,"BS"}</definedName>
    <definedName name="fdas" localSheetId="7" hidden="1">{"IS",#N/A,FALSE,"IS";"RPTIS",#N/A,FALSE,"RPTIS";"STATS",#N/A,FALSE,"STATS";"CELL",#N/A,FALSE,"CELL";"BS",#N/A,FALSE,"BS"}</definedName>
    <definedName name="fdas" hidden="1">{"IS",#N/A,FALSE,"IS";"RPTIS",#N/A,FALSE,"RPTIS";"STATS",#N/A,FALSE,"STATS";"CELL",#N/A,FALSE,"CELL";"BS",#N/A,FALSE,"BS"}</definedName>
    <definedName name="FDC_0_0" hidden="1">"#"</definedName>
    <definedName name="FDC_1_0" hidden="1">"#"</definedName>
    <definedName name="FDC_10_0" hidden="1">"#"</definedName>
    <definedName name="FDC_10_1" hidden="1">"#"</definedName>
    <definedName name="FDC_10_2" hidden="1">"#"</definedName>
    <definedName name="FDC_10_3" hidden="1">"#"</definedName>
    <definedName name="FDC_11_0" hidden="1">"#"</definedName>
    <definedName name="FDC_11_1" hidden="1">"#"</definedName>
    <definedName name="FDC_11_2" hidden="1">"#"</definedName>
    <definedName name="FDC_11_3" hidden="1">"#"</definedName>
    <definedName name="FDC_12_0" hidden="1">"#"</definedName>
    <definedName name="FDC_12_1" hidden="1">"#"</definedName>
    <definedName name="FDC_12_2" hidden="1">"#"</definedName>
    <definedName name="FDC_12_3" hidden="1">"#"</definedName>
    <definedName name="FDC_13_0" hidden="1">"#"</definedName>
    <definedName name="FDC_13_1" hidden="1">"#"</definedName>
    <definedName name="FDC_13_2" hidden="1">"#"</definedName>
    <definedName name="FDC_13_3" hidden="1">"#"</definedName>
    <definedName name="FDC_14_0" hidden="1">"#"</definedName>
    <definedName name="FDC_14_1" hidden="1">"#"</definedName>
    <definedName name="FDC_14_2" hidden="1">"#"</definedName>
    <definedName name="FDC_14_3" hidden="1">"#"</definedName>
    <definedName name="FDC_15_0" hidden="1">"#"</definedName>
    <definedName name="FDC_16_0" hidden="1">"#"</definedName>
    <definedName name="FDC_17_0" hidden="1">"#"</definedName>
    <definedName name="FDC_18_0" hidden="1">"#"</definedName>
    <definedName name="FDC_19_0" hidden="1">"#"</definedName>
    <definedName name="FDC_19_1" hidden="1">"#"</definedName>
    <definedName name="FDC_19_2" hidden="1">"#"</definedName>
    <definedName name="FDC_19_3" hidden="1">"#"</definedName>
    <definedName name="FDC_2_0" hidden="1">"#"</definedName>
    <definedName name="FDC_20_0" hidden="1">"#"</definedName>
    <definedName name="FDC_21_0" hidden="1">"#"</definedName>
    <definedName name="FDC_21_1" hidden="1">"#"</definedName>
    <definedName name="FDC_21_2" hidden="1">"#"</definedName>
    <definedName name="FDC_21_3" hidden="1">"#"</definedName>
    <definedName name="FDC_22_0" hidden="1">"#"</definedName>
    <definedName name="FDC_23_0" hidden="1">"#"</definedName>
    <definedName name="FDC_24_0" hidden="1">"#"</definedName>
    <definedName name="FDC_25_0" hidden="1">"#"</definedName>
    <definedName name="FDC_25_1" hidden="1">"#"</definedName>
    <definedName name="FDC_25_2" hidden="1">"#"</definedName>
    <definedName name="FDC_25_3" hidden="1">"#"</definedName>
    <definedName name="FDC_26_0" hidden="1">"#"</definedName>
    <definedName name="FDC_26_1" hidden="1">"#"</definedName>
    <definedName name="FDC_26_2" hidden="1">"#"</definedName>
    <definedName name="FDC_26_3" hidden="1">"#"</definedName>
    <definedName name="FDC_27_0" hidden="1">"#"</definedName>
    <definedName name="FDC_28_0" hidden="1">"#"</definedName>
    <definedName name="FDC_28_1" hidden="1">"#"</definedName>
    <definedName name="FDC_28_2" hidden="1">"#"</definedName>
    <definedName name="FDC_28_3" hidden="1">"#"</definedName>
    <definedName name="FDC_29_0" hidden="1">"#"</definedName>
    <definedName name="FDC_29_1" hidden="1">"#"</definedName>
    <definedName name="FDC_29_2" hidden="1">"#"</definedName>
    <definedName name="FDC_29_3" hidden="1">"#"</definedName>
    <definedName name="FDC_3_0" hidden="1">"#"</definedName>
    <definedName name="FDC_30_0" hidden="1">"#"</definedName>
    <definedName name="FDC_31_0" hidden="1">"#"</definedName>
    <definedName name="FDC_32_0" hidden="1">"#"</definedName>
    <definedName name="FDC_33_0" hidden="1">"#"</definedName>
    <definedName name="FDC_34_0" hidden="1">"#"</definedName>
    <definedName name="FDC_35_0" hidden="1">"#"</definedName>
    <definedName name="FDC_36_0" hidden="1">"#"</definedName>
    <definedName name="FDC_37_0" hidden="1">"#"</definedName>
    <definedName name="FDC_38_0" hidden="1">"#"</definedName>
    <definedName name="FDC_39_0" hidden="1">"#"</definedName>
    <definedName name="FDC_4_0" hidden="1">"#"</definedName>
    <definedName name="FDC_40_0" hidden="1">"#"</definedName>
    <definedName name="FDC_41_0" hidden="1">"#"</definedName>
    <definedName name="FDC_41_1" hidden="1">"#"</definedName>
    <definedName name="FDC_41_2" hidden="1">"#"</definedName>
    <definedName name="FDC_41_3" hidden="1">"#"</definedName>
    <definedName name="FDC_42_0" hidden="1">"#"</definedName>
    <definedName name="FDC_42_1" hidden="1">"#"</definedName>
    <definedName name="FDC_42_2" hidden="1">"#"</definedName>
    <definedName name="FDC_42_3" hidden="1">"#"</definedName>
    <definedName name="FDC_43_0" hidden="1">"#"</definedName>
    <definedName name="FDC_43_1" hidden="1">"#"</definedName>
    <definedName name="FDC_43_2" hidden="1">"#"</definedName>
    <definedName name="FDC_43_3" hidden="1">"#"</definedName>
    <definedName name="FDC_44_0" hidden="1">"#"</definedName>
    <definedName name="FDC_45_0" hidden="1">"#"</definedName>
    <definedName name="FDC_45_1" hidden="1">"#"</definedName>
    <definedName name="FDC_45_2" hidden="1">"#"</definedName>
    <definedName name="FDC_45_3" hidden="1">"#"</definedName>
    <definedName name="FDC_46_0" hidden="1">"#"</definedName>
    <definedName name="FDC_46_1" hidden="1">"#"</definedName>
    <definedName name="FDC_46_2" hidden="1">"#"</definedName>
    <definedName name="FDC_46_3" hidden="1">"#"</definedName>
    <definedName name="FDC_47_0" hidden="1">"#"</definedName>
    <definedName name="FDC_47_1" hidden="1">"#"</definedName>
    <definedName name="FDC_47_2" hidden="1">"#"</definedName>
    <definedName name="FDC_47_3" hidden="1">"#"</definedName>
    <definedName name="FDC_48_0" hidden="1">"#"</definedName>
    <definedName name="FDC_48_1" hidden="1">"#"</definedName>
    <definedName name="FDC_48_2" hidden="1">"#"</definedName>
    <definedName name="FDC_48_3" hidden="1">"#"</definedName>
    <definedName name="FDC_49_0" hidden="1">"#"</definedName>
    <definedName name="FDC_49_1" hidden="1">"#"</definedName>
    <definedName name="FDC_49_2" hidden="1">"#"</definedName>
    <definedName name="FDC_49_3" hidden="1">"#"</definedName>
    <definedName name="FDC_5_0" hidden="1">"#"</definedName>
    <definedName name="FDC_5_1" hidden="1">"#"</definedName>
    <definedName name="FDC_5_2" hidden="1">"#"</definedName>
    <definedName name="FDC_5_3" hidden="1">"#"</definedName>
    <definedName name="FDC_50_0" hidden="1">"#"</definedName>
    <definedName name="FDC_50_1" hidden="1">"#"</definedName>
    <definedName name="FDC_50_2" hidden="1">"#"</definedName>
    <definedName name="FDC_50_3" hidden="1">"#"</definedName>
    <definedName name="FDC_51_0" hidden="1">"#"</definedName>
    <definedName name="FDC_51_1" hidden="1">"#"</definedName>
    <definedName name="FDC_51_2" hidden="1">"#"</definedName>
    <definedName name="FDC_51_3" hidden="1">"#"</definedName>
    <definedName name="FDC_52_0" hidden="1">"#"</definedName>
    <definedName name="FDC_52_1" hidden="1">"#"</definedName>
    <definedName name="FDC_52_2" hidden="1">"#"</definedName>
    <definedName name="FDC_52_3" hidden="1">"#"</definedName>
    <definedName name="FDC_53_0" hidden="1">"#"</definedName>
    <definedName name="FDC_53_1" hidden="1">"#"</definedName>
    <definedName name="FDC_53_2" hidden="1">"#"</definedName>
    <definedName name="FDC_53_3" hidden="1">"#"</definedName>
    <definedName name="FDC_54_0" hidden="1">"#"</definedName>
    <definedName name="FDC_54_1" hidden="1">"#"</definedName>
    <definedName name="FDC_54_2" hidden="1">"#"</definedName>
    <definedName name="FDC_54_3" hidden="1">"#"</definedName>
    <definedName name="FDC_55_0" hidden="1">"#"</definedName>
    <definedName name="FDC_55_1" hidden="1">"#"</definedName>
    <definedName name="FDC_55_2" hidden="1">"#"</definedName>
    <definedName name="FDC_55_3" hidden="1">"#"</definedName>
    <definedName name="FDC_56_0" hidden="1">"#"</definedName>
    <definedName name="FDC_57_0" hidden="1">"#"</definedName>
    <definedName name="FDC_58_0" hidden="1">"#"</definedName>
    <definedName name="FDC_58_1" hidden="1">"#"</definedName>
    <definedName name="FDC_58_10" hidden="1">"#"</definedName>
    <definedName name="FDC_58_100" hidden="1">"#"</definedName>
    <definedName name="FDC_58_101" hidden="1">"#"</definedName>
    <definedName name="FDC_58_102" hidden="1">"#"</definedName>
    <definedName name="FDC_58_103" hidden="1">"#"</definedName>
    <definedName name="FDC_58_104" hidden="1">"#"</definedName>
    <definedName name="FDC_58_105" hidden="1">"#"</definedName>
    <definedName name="FDC_58_106" hidden="1">"#"</definedName>
    <definedName name="FDC_58_107" hidden="1">"#"</definedName>
    <definedName name="FDC_58_108" hidden="1">"#"</definedName>
    <definedName name="FDC_58_109" hidden="1">"#"</definedName>
    <definedName name="FDC_58_11" hidden="1">"#"</definedName>
    <definedName name="FDC_58_110" hidden="1">"#"</definedName>
    <definedName name="FDC_58_111" hidden="1">"#"</definedName>
    <definedName name="FDC_58_112" hidden="1">"#"</definedName>
    <definedName name="FDC_58_113" hidden="1">"#"</definedName>
    <definedName name="FDC_58_114" hidden="1">"#"</definedName>
    <definedName name="FDC_58_115" hidden="1">"#"</definedName>
    <definedName name="FDC_58_116" hidden="1">"#"</definedName>
    <definedName name="FDC_58_117" hidden="1">"#"</definedName>
    <definedName name="FDC_58_118" hidden="1">"#"</definedName>
    <definedName name="FDC_58_119" hidden="1">"#"</definedName>
    <definedName name="FDC_58_12" hidden="1">"#"</definedName>
    <definedName name="FDC_58_120" hidden="1">"#"</definedName>
    <definedName name="FDC_58_121" hidden="1">"#"</definedName>
    <definedName name="FDC_58_122" hidden="1">"#"</definedName>
    <definedName name="FDC_58_123" hidden="1">"#"</definedName>
    <definedName name="FDC_58_124" hidden="1">"#"</definedName>
    <definedName name="FDC_58_125" hidden="1">"#"</definedName>
    <definedName name="FDC_58_126" hidden="1">"#"</definedName>
    <definedName name="FDC_58_127" hidden="1">"#"</definedName>
    <definedName name="FDC_58_128" hidden="1">"#"</definedName>
    <definedName name="FDC_58_129" hidden="1">"#"</definedName>
    <definedName name="FDC_58_13" hidden="1">"#"</definedName>
    <definedName name="FDC_58_130" hidden="1">"#"</definedName>
    <definedName name="FDC_58_131" hidden="1">"#"</definedName>
    <definedName name="FDC_58_132" hidden="1">"#"</definedName>
    <definedName name="FDC_58_133" hidden="1">"#"</definedName>
    <definedName name="FDC_58_134" hidden="1">"#"</definedName>
    <definedName name="FDC_58_135" hidden="1">"#"</definedName>
    <definedName name="FDC_58_136" hidden="1">"#"</definedName>
    <definedName name="FDC_58_137" hidden="1">"#"</definedName>
    <definedName name="FDC_58_138" hidden="1">"#"</definedName>
    <definedName name="FDC_58_139" hidden="1">"#"</definedName>
    <definedName name="FDC_58_14" hidden="1">"#"</definedName>
    <definedName name="FDC_58_140" hidden="1">"#"</definedName>
    <definedName name="FDC_58_141" hidden="1">"#"</definedName>
    <definedName name="FDC_58_142" hidden="1">"#"</definedName>
    <definedName name="FDC_58_143" hidden="1">"#"</definedName>
    <definedName name="FDC_58_144" hidden="1">"#"</definedName>
    <definedName name="FDC_58_145" hidden="1">"#"</definedName>
    <definedName name="FDC_58_146" hidden="1">"#"</definedName>
    <definedName name="FDC_58_147" hidden="1">"#"</definedName>
    <definedName name="FDC_58_148" hidden="1">"#"</definedName>
    <definedName name="FDC_58_149" hidden="1">"#"</definedName>
    <definedName name="FDC_58_15" hidden="1">"#"</definedName>
    <definedName name="FDC_58_150" hidden="1">"#"</definedName>
    <definedName name="FDC_58_151" hidden="1">"#"</definedName>
    <definedName name="FDC_58_152" hidden="1">"#"</definedName>
    <definedName name="FDC_58_153" hidden="1">"#"</definedName>
    <definedName name="FDC_58_154" hidden="1">"#"</definedName>
    <definedName name="FDC_58_155" hidden="1">"#"</definedName>
    <definedName name="FDC_58_156" hidden="1">"#"</definedName>
    <definedName name="FDC_58_157" hidden="1">"#"</definedName>
    <definedName name="FDC_58_158" hidden="1">"#"</definedName>
    <definedName name="FDC_58_159" hidden="1">"#"</definedName>
    <definedName name="FDC_58_16" hidden="1">"#"</definedName>
    <definedName name="FDC_58_160" hidden="1">"#"</definedName>
    <definedName name="FDC_58_161" hidden="1">"#"</definedName>
    <definedName name="FDC_58_162" hidden="1">"#"</definedName>
    <definedName name="FDC_58_163" hidden="1">"#"</definedName>
    <definedName name="FDC_58_164" hidden="1">"#"</definedName>
    <definedName name="FDC_58_165" hidden="1">"#"</definedName>
    <definedName name="FDC_58_166" hidden="1">"#"</definedName>
    <definedName name="FDC_58_167" hidden="1">"#"</definedName>
    <definedName name="FDC_58_168" hidden="1">"#"</definedName>
    <definedName name="FDC_58_169" hidden="1">"#"</definedName>
    <definedName name="FDC_58_17" hidden="1">"#"</definedName>
    <definedName name="FDC_58_170" hidden="1">"#"</definedName>
    <definedName name="FDC_58_171" hidden="1">"#"</definedName>
    <definedName name="FDC_58_172" hidden="1">"#"</definedName>
    <definedName name="FDC_58_173" hidden="1">"#"</definedName>
    <definedName name="FDC_58_174" hidden="1">"#"</definedName>
    <definedName name="FDC_58_175" hidden="1">"#"</definedName>
    <definedName name="FDC_58_176" hidden="1">"#"</definedName>
    <definedName name="FDC_58_177" hidden="1">"#"</definedName>
    <definedName name="FDC_58_178" hidden="1">"#"</definedName>
    <definedName name="FDC_58_179" hidden="1">"#"</definedName>
    <definedName name="FDC_58_18" hidden="1">"#"</definedName>
    <definedName name="FDC_58_180" hidden="1">"#"</definedName>
    <definedName name="FDC_58_181" hidden="1">"#"</definedName>
    <definedName name="FDC_58_182" hidden="1">"#"</definedName>
    <definedName name="FDC_58_183" hidden="1">"#"</definedName>
    <definedName name="FDC_58_184" hidden="1">"#"</definedName>
    <definedName name="FDC_58_185" hidden="1">"#"</definedName>
    <definedName name="FDC_58_186" hidden="1">"#"</definedName>
    <definedName name="FDC_58_187" hidden="1">"#"</definedName>
    <definedName name="FDC_58_188" hidden="1">"#"</definedName>
    <definedName name="FDC_58_189" hidden="1">"#"</definedName>
    <definedName name="FDC_58_19" hidden="1">"#"</definedName>
    <definedName name="FDC_58_190" hidden="1">"#"</definedName>
    <definedName name="FDC_58_191" hidden="1">"#"</definedName>
    <definedName name="FDC_58_192" hidden="1">"#"</definedName>
    <definedName name="FDC_58_193" hidden="1">"#"</definedName>
    <definedName name="FDC_58_194" hidden="1">"#"</definedName>
    <definedName name="FDC_58_195" hidden="1">"#"</definedName>
    <definedName name="FDC_58_196" hidden="1">"#"</definedName>
    <definedName name="FDC_58_197" hidden="1">"#"</definedName>
    <definedName name="FDC_58_198" hidden="1">"#"</definedName>
    <definedName name="FDC_58_199" hidden="1">"#"</definedName>
    <definedName name="FDC_58_2" hidden="1">"#"</definedName>
    <definedName name="FDC_58_20" hidden="1">"#"</definedName>
    <definedName name="FDC_58_200" hidden="1">"#"</definedName>
    <definedName name="FDC_58_201" hidden="1">"#"</definedName>
    <definedName name="FDC_58_202" hidden="1">"#"</definedName>
    <definedName name="FDC_58_203" hidden="1">"#"</definedName>
    <definedName name="FDC_58_204" hidden="1">"#"</definedName>
    <definedName name="FDC_58_205" hidden="1">"#"</definedName>
    <definedName name="FDC_58_206" hidden="1">"#"</definedName>
    <definedName name="FDC_58_207" hidden="1">"#"</definedName>
    <definedName name="FDC_58_208" hidden="1">"#"</definedName>
    <definedName name="FDC_58_209" hidden="1">"#"</definedName>
    <definedName name="FDC_58_21" hidden="1">"#"</definedName>
    <definedName name="FDC_58_210" hidden="1">"#"</definedName>
    <definedName name="FDC_58_211" hidden="1">"#"</definedName>
    <definedName name="FDC_58_212" hidden="1">"#"</definedName>
    <definedName name="FDC_58_213" hidden="1">"#"</definedName>
    <definedName name="FDC_58_214" hidden="1">"#"</definedName>
    <definedName name="FDC_58_215" hidden="1">"#"</definedName>
    <definedName name="FDC_58_216" hidden="1">"#"</definedName>
    <definedName name="FDC_58_217" hidden="1">"#"</definedName>
    <definedName name="FDC_58_218" hidden="1">"#"</definedName>
    <definedName name="FDC_58_219" hidden="1">"#"</definedName>
    <definedName name="FDC_58_22" hidden="1">"#"</definedName>
    <definedName name="FDC_58_220" hidden="1">"#"</definedName>
    <definedName name="FDC_58_221" hidden="1">"#"</definedName>
    <definedName name="FDC_58_222" hidden="1">"#"</definedName>
    <definedName name="FDC_58_223" hidden="1">"#"</definedName>
    <definedName name="FDC_58_224" hidden="1">"#"</definedName>
    <definedName name="FDC_58_225" hidden="1">"#"</definedName>
    <definedName name="FDC_58_226" hidden="1">"#"</definedName>
    <definedName name="FDC_58_227" hidden="1">"#"</definedName>
    <definedName name="FDC_58_228" hidden="1">"#"</definedName>
    <definedName name="FDC_58_229" hidden="1">"#"</definedName>
    <definedName name="FDC_58_23" hidden="1">"#"</definedName>
    <definedName name="FDC_58_230" hidden="1">"#"</definedName>
    <definedName name="FDC_58_231" hidden="1">"#"</definedName>
    <definedName name="FDC_58_232" hidden="1">"#"</definedName>
    <definedName name="FDC_58_233" hidden="1">"#"</definedName>
    <definedName name="FDC_58_234" hidden="1">"#"</definedName>
    <definedName name="FDC_58_235" hidden="1">"#"</definedName>
    <definedName name="FDC_58_236" hidden="1">"#"</definedName>
    <definedName name="FDC_58_237" hidden="1">"#"</definedName>
    <definedName name="FDC_58_238" hidden="1">"#"</definedName>
    <definedName name="FDC_58_239" hidden="1">"#"</definedName>
    <definedName name="FDC_58_24" hidden="1">"#"</definedName>
    <definedName name="FDC_58_240" hidden="1">"#"</definedName>
    <definedName name="FDC_58_241" hidden="1">"#"</definedName>
    <definedName name="FDC_58_242" hidden="1">"#"</definedName>
    <definedName name="FDC_58_243" hidden="1">"#"</definedName>
    <definedName name="FDC_58_244" hidden="1">"#"</definedName>
    <definedName name="FDC_58_245" hidden="1">"#"</definedName>
    <definedName name="FDC_58_246" hidden="1">"#"</definedName>
    <definedName name="FDC_58_247" hidden="1">"#"</definedName>
    <definedName name="FDC_58_248" hidden="1">"#"</definedName>
    <definedName name="FDC_58_249" hidden="1">"#"</definedName>
    <definedName name="FDC_58_25" hidden="1">"#"</definedName>
    <definedName name="FDC_58_250" hidden="1">"#"</definedName>
    <definedName name="FDC_58_251" hidden="1">"#"</definedName>
    <definedName name="FDC_58_252" hidden="1">"#"</definedName>
    <definedName name="FDC_58_253" hidden="1">"#"</definedName>
    <definedName name="FDC_58_254" hidden="1">"#"</definedName>
    <definedName name="FDC_58_255" hidden="1">"#"</definedName>
    <definedName name="FDC_58_256" hidden="1">"#"</definedName>
    <definedName name="FDC_58_257" hidden="1">"#"</definedName>
    <definedName name="FDC_58_258" hidden="1">"#"</definedName>
    <definedName name="FDC_58_259" hidden="1">"#"</definedName>
    <definedName name="FDC_58_26" hidden="1">"#"</definedName>
    <definedName name="FDC_58_260" hidden="1">"#"</definedName>
    <definedName name="FDC_58_261" hidden="1">"#"</definedName>
    <definedName name="FDC_58_27" hidden="1">"#"</definedName>
    <definedName name="FDC_58_28" hidden="1">"#"</definedName>
    <definedName name="FDC_58_29" hidden="1">"#"</definedName>
    <definedName name="FDC_58_3" hidden="1">"#"</definedName>
    <definedName name="FDC_58_30" hidden="1">"#"</definedName>
    <definedName name="FDC_58_31" hidden="1">"#"</definedName>
    <definedName name="FDC_58_32" hidden="1">"#"</definedName>
    <definedName name="FDC_58_33" hidden="1">"#"</definedName>
    <definedName name="FDC_58_34" hidden="1">"#"</definedName>
    <definedName name="FDC_58_35" hidden="1">"#"</definedName>
    <definedName name="FDC_58_36" hidden="1">"#"</definedName>
    <definedName name="FDC_58_37" hidden="1">"#"</definedName>
    <definedName name="FDC_58_38" hidden="1">"#"</definedName>
    <definedName name="FDC_58_39" hidden="1">"#"</definedName>
    <definedName name="FDC_58_4" hidden="1">"#"</definedName>
    <definedName name="FDC_58_40" hidden="1">"#"</definedName>
    <definedName name="FDC_58_41" hidden="1">"#"</definedName>
    <definedName name="FDC_58_42" hidden="1">"#"</definedName>
    <definedName name="FDC_58_43" hidden="1">"#"</definedName>
    <definedName name="FDC_58_44" hidden="1">"#"</definedName>
    <definedName name="FDC_58_45" hidden="1">"#"</definedName>
    <definedName name="FDC_58_46" hidden="1">"#"</definedName>
    <definedName name="FDC_58_47" hidden="1">"#"</definedName>
    <definedName name="FDC_58_48" hidden="1">"#"</definedName>
    <definedName name="FDC_58_49" hidden="1">"#"</definedName>
    <definedName name="FDC_58_5" hidden="1">"#"</definedName>
    <definedName name="FDC_58_50" hidden="1">"#"</definedName>
    <definedName name="FDC_58_51" hidden="1">"#"</definedName>
    <definedName name="FDC_58_52" hidden="1">"#"</definedName>
    <definedName name="FDC_58_53" hidden="1">"#"</definedName>
    <definedName name="FDC_58_54" hidden="1">"#"</definedName>
    <definedName name="FDC_58_55" hidden="1">"#"</definedName>
    <definedName name="FDC_58_56" hidden="1">"#"</definedName>
    <definedName name="FDC_58_57" hidden="1">"#"</definedName>
    <definedName name="FDC_58_58" hidden="1">"#"</definedName>
    <definedName name="FDC_58_59" hidden="1">"#"</definedName>
    <definedName name="FDC_58_6" hidden="1">"#"</definedName>
    <definedName name="FDC_58_60" hidden="1">"#"</definedName>
    <definedName name="FDC_58_61" hidden="1">"#"</definedName>
    <definedName name="FDC_58_62" hidden="1">"#"</definedName>
    <definedName name="FDC_58_63" hidden="1">"#"</definedName>
    <definedName name="FDC_58_64" hidden="1">"#"</definedName>
    <definedName name="FDC_58_65" hidden="1">"#"</definedName>
    <definedName name="FDC_58_66" hidden="1">"#"</definedName>
    <definedName name="FDC_58_67" hidden="1">"#"</definedName>
    <definedName name="FDC_58_68" hidden="1">"#"</definedName>
    <definedName name="FDC_58_69" hidden="1">"#"</definedName>
    <definedName name="FDC_58_7" hidden="1">"#"</definedName>
    <definedName name="FDC_58_70" hidden="1">"#"</definedName>
    <definedName name="FDC_58_71" hidden="1">"#"</definedName>
    <definedName name="FDC_58_72" hidden="1">"#"</definedName>
    <definedName name="FDC_58_73" hidden="1">"#"</definedName>
    <definedName name="FDC_58_74" hidden="1">"#"</definedName>
    <definedName name="FDC_58_75" hidden="1">"#"</definedName>
    <definedName name="FDC_58_76" hidden="1">"#"</definedName>
    <definedName name="FDC_58_77" hidden="1">"#"</definedName>
    <definedName name="FDC_58_78" hidden="1">"#"</definedName>
    <definedName name="FDC_58_79" hidden="1">"#"</definedName>
    <definedName name="FDC_58_8" hidden="1">"#"</definedName>
    <definedName name="FDC_58_80" hidden="1">"#"</definedName>
    <definedName name="FDC_58_81" hidden="1">"#"</definedName>
    <definedName name="FDC_58_82" hidden="1">"#"</definedName>
    <definedName name="FDC_58_83" hidden="1">"#"</definedName>
    <definedName name="FDC_58_84" hidden="1">"#"</definedName>
    <definedName name="FDC_58_85" hidden="1">"#"</definedName>
    <definedName name="FDC_58_86" hidden="1">"#"</definedName>
    <definedName name="FDC_58_87" hidden="1">"#"</definedName>
    <definedName name="FDC_58_88" hidden="1">"#"</definedName>
    <definedName name="FDC_58_89" hidden="1">"#"</definedName>
    <definedName name="FDC_58_9" hidden="1">"#"</definedName>
    <definedName name="FDC_58_90" hidden="1">"#"</definedName>
    <definedName name="FDC_58_91" hidden="1">"#"</definedName>
    <definedName name="FDC_58_92" hidden="1">"#"</definedName>
    <definedName name="FDC_58_93" hidden="1">"#"</definedName>
    <definedName name="FDC_58_94" hidden="1">"#"</definedName>
    <definedName name="FDC_58_95" hidden="1">"#"</definedName>
    <definedName name="FDC_58_96" hidden="1">"#"</definedName>
    <definedName name="FDC_58_97" hidden="1">"#"</definedName>
    <definedName name="FDC_58_98" hidden="1">"#"</definedName>
    <definedName name="FDC_58_99" hidden="1">"#"</definedName>
    <definedName name="FDC_59_0" hidden="1">"#"</definedName>
    <definedName name="FDC_59_1" hidden="1">"#"</definedName>
    <definedName name="FDC_59_10" hidden="1">"#"</definedName>
    <definedName name="FDC_59_100" hidden="1">"#"</definedName>
    <definedName name="FDC_59_101" hidden="1">"#"</definedName>
    <definedName name="FDC_59_102" hidden="1">"#"</definedName>
    <definedName name="FDC_59_103" hidden="1">"#"</definedName>
    <definedName name="FDC_59_104" hidden="1">"#"</definedName>
    <definedName name="FDC_59_105" hidden="1">"#"</definedName>
    <definedName name="FDC_59_106" hidden="1">"#"</definedName>
    <definedName name="FDC_59_107" hidden="1">"#"</definedName>
    <definedName name="FDC_59_108" hidden="1">"#"</definedName>
    <definedName name="FDC_59_109" hidden="1">"#"</definedName>
    <definedName name="FDC_59_11" hidden="1">"#"</definedName>
    <definedName name="FDC_59_110" hidden="1">"#"</definedName>
    <definedName name="FDC_59_111" hidden="1">"#"</definedName>
    <definedName name="FDC_59_112" hidden="1">"#"</definedName>
    <definedName name="FDC_59_113" hidden="1">"#"</definedName>
    <definedName name="FDC_59_114" hidden="1">"#"</definedName>
    <definedName name="FDC_59_115" hidden="1">"#"</definedName>
    <definedName name="FDC_59_116" hidden="1">"#"</definedName>
    <definedName name="FDC_59_117" hidden="1">"#"</definedName>
    <definedName name="FDC_59_118" hidden="1">"#"</definedName>
    <definedName name="FDC_59_119" hidden="1">"#"</definedName>
    <definedName name="FDC_59_12" hidden="1">"#"</definedName>
    <definedName name="FDC_59_120" hidden="1">"#"</definedName>
    <definedName name="FDC_59_121" hidden="1">"#"</definedName>
    <definedName name="FDC_59_122" hidden="1">"#"</definedName>
    <definedName name="FDC_59_123" hidden="1">"#"</definedName>
    <definedName name="FDC_59_124" hidden="1">"#"</definedName>
    <definedName name="FDC_59_125" hidden="1">"#"</definedName>
    <definedName name="FDC_59_126" hidden="1">"#"</definedName>
    <definedName name="FDC_59_127" hidden="1">"#"</definedName>
    <definedName name="FDC_59_128" hidden="1">"#"</definedName>
    <definedName name="FDC_59_129" hidden="1">"#"</definedName>
    <definedName name="FDC_59_13" hidden="1">"#"</definedName>
    <definedName name="FDC_59_130" hidden="1">"#"</definedName>
    <definedName name="FDC_59_131" hidden="1">"#"</definedName>
    <definedName name="FDC_59_132" hidden="1">"#"</definedName>
    <definedName name="FDC_59_133" hidden="1">"#"</definedName>
    <definedName name="FDC_59_134" hidden="1">"#"</definedName>
    <definedName name="FDC_59_135" hidden="1">"#"</definedName>
    <definedName name="FDC_59_136" hidden="1">"#"</definedName>
    <definedName name="FDC_59_137" hidden="1">"#"</definedName>
    <definedName name="FDC_59_138" hidden="1">"#"</definedName>
    <definedName name="FDC_59_139" hidden="1">"#"</definedName>
    <definedName name="FDC_59_14" hidden="1">"#"</definedName>
    <definedName name="FDC_59_140" hidden="1">"#"</definedName>
    <definedName name="FDC_59_141" hidden="1">"#"</definedName>
    <definedName name="FDC_59_142" hidden="1">"#"</definedName>
    <definedName name="FDC_59_143" hidden="1">"#"</definedName>
    <definedName name="FDC_59_144" hidden="1">"#"</definedName>
    <definedName name="FDC_59_145" hidden="1">"#"</definedName>
    <definedName name="FDC_59_146" hidden="1">"#"</definedName>
    <definedName name="FDC_59_147" hidden="1">"#"</definedName>
    <definedName name="FDC_59_148" hidden="1">"#"</definedName>
    <definedName name="FDC_59_149" hidden="1">"#"</definedName>
    <definedName name="FDC_59_15" hidden="1">"#"</definedName>
    <definedName name="FDC_59_150" hidden="1">"#"</definedName>
    <definedName name="FDC_59_151" hidden="1">"#"</definedName>
    <definedName name="FDC_59_152" hidden="1">"#"</definedName>
    <definedName name="FDC_59_153" hidden="1">"#"</definedName>
    <definedName name="FDC_59_154" hidden="1">"#"</definedName>
    <definedName name="FDC_59_155" hidden="1">"#"</definedName>
    <definedName name="FDC_59_156" hidden="1">"#"</definedName>
    <definedName name="FDC_59_157" hidden="1">"#"</definedName>
    <definedName name="FDC_59_158" hidden="1">"#"</definedName>
    <definedName name="FDC_59_159" hidden="1">"#"</definedName>
    <definedName name="FDC_59_16" hidden="1">"#"</definedName>
    <definedName name="FDC_59_160" hidden="1">"#"</definedName>
    <definedName name="FDC_59_161" hidden="1">"#"</definedName>
    <definedName name="FDC_59_162" hidden="1">"#"</definedName>
    <definedName name="FDC_59_163" hidden="1">"#"</definedName>
    <definedName name="FDC_59_164" hidden="1">"#"</definedName>
    <definedName name="FDC_59_165" hidden="1">"#"</definedName>
    <definedName name="FDC_59_166" hidden="1">"#"</definedName>
    <definedName name="FDC_59_167" hidden="1">"#"</definedName>
    <definedName name="FDC_59_168" hidden="1">"#"</definedName>
    <definedName name="FDC_59_169" hidden="1">"#"</definedName>
    <definedName name="FDC_59_17" hidden="1">"#"</definedName>
    <definedName name="FDC_59_170" hidden="1">"#"</definedName>
    <definedName name="FDC_59_171" hidden="1">"#"</definedName>
    <definedName name="FDC_59_172" hidden="1">"#"</definedName>
    <definedName name="FDC_59_173" hidden="1">"#"</definedName>
    <definedName name="FDC_59_174" hidden="1">"#"</definedName>
    <definedName name="FDC_59_175" hidden="1">"#"</definedName>
    <definedName name="FDC_59_176" hidden="1">"#"</definedName>
    <definedName name="FDC_59_177" hidden="1">"#"</definedName>
    <definedName name="FDC_59_178" hidden="1">"#"</definedName>
    <definedName name="FDC_59_179" hidden="1">"#"</definedName>
    <definedName name="FDC_59_18" hidden="1">"#"</definedName>
    <definedName name="FDC_59_180" hidden="1">"#"</definedName>
    <definedName name="FDC_59_181" hidden="1">"#"</definedName>
    <definedName name="FDC_59_182" hidden="1">"#"</definedName>
    <definedName name="FDC_59_183" hidden="1">"#"</definedName>
    <definedName name="FDC_59_184" hidden="1">"#"</definedName>
    <definedName name="FDC_59_185" hidden="1">"#"</definedName>
    <definedName name="FDC_59_186" hidden="1">"#"</definedName>
    <definedName name="FDC_59_187" hidden="1">"#"</definedName>
    <definedName name="FDC_59_188" hidden="1">"#"</definedName>
    <definedName name="FDC_59_189" hidden="1">"#"</definedName>
    <definedName name="FDC_59_19" hidden="1">"#"</definedName>
    <definedName name="FDC_59_190" hidden="1">"#"</definedName>
    <definedName name="FDC_59_191" hidden="1">"#"</definedName>
    <definedName name="FDC_59_192" hidden="1">"#"</definedName>
    <definedName name="FDC_59_193" hidden="1">"#"</definedName>
    <definedName name="FDC_59_194" hidden="1">"#"</definedName>
    <definedName name="FDC_59_195" hidden="1">"#"</definedName>
    <definedName name="FDC_59_196" hidden="1">"#"</definedName>
    <definedName name="FDC_59_197" hidden="1">"#"</definedName>
    <definedName name="FDC_59_198" hidden="1">"#"</definedName>
    <definedName name="FDC_59_199" hidden="1">"#"</definedName>
    <definedName name="FDC_59_2" hidden="1">"#"</definedName>
    <definedName name="FDC_59_20" hidden="1">"#"</definedName>
    <definedName name="FDC_59_200" hidden="1">"#"</definedName>
    <definedName name="FDC_59_201" hidden="1">"#"</definedName>
    <definedName name="FDC_59_202" hidden="1">"#"</definedName>
    <definedName name="FDC_59_203" hidden="1">"#"</definedName>
    <definedName name="FDC_59_204" hidden="1">"#"</definedName>
    <definedName name="FDC_59_205" hidden="1">"#"</definedName>
    <definedName name="FDC_59_206" hidden="1">"#"</definedName>
    <definedName name="FDC_59_207" hidden="1">"#"</definedName>
    <definedName name="FDC_59_208" hidden="1">"#"</definedName>
    <definedName name="FDC_59_209" hidden="1">"#"</definedName>
    <definedName name="FDC_59_21" hidden="1">"#"</definedName>
    <definedName name="FDC_59_210" hidden="1">"#"</definedName>
    <definedName name="FDC_59_211" hidden="1">"#"</definedName>
    <definedName name="FDC_59_212" hidden="1">"#"</definedName>
    <definedName name="FDC_59_213" hidden="1">"#"</definedName>
    <definedName name="FDC_59_214" hidden="1">"#"</definedName>
    <definedName name="FDC_59_215" hidden="1">"#"</definedName>
    <definedName name="FDC_59_216" hidden="1">"#"</definedName>
    <definedName name="FDC_59_217" hidden="1">"#"</definedName>
    <definedName name="FDC_59_218" hidden="1">"#"</definedName>
    <definedName name="FDC_59_219" hidden="1">"#"</definedName>
    <definedName name="FDC_59_22" hidden="1">"#"</definedName>
    <definedName name="FDC_59_220" hidden="1">"#"</definedName>
    <definedName name="FDC_59_221" hidden="1">"#"</definedName>
    <definedName name="FDC_59_222" hidden="1">"#"</definedName>
    <definedName name="FDC_59_223" hidden="1">"#"</definedName>
    <definedName name="FDC_59_224" hidden="1">"#"</definedName>
    <definedName name="FDC_59_225" hidden="1">"#"</definedName>
    <definedName name="FDC_59_226" hidden="1">"#"</definedName>
    <definedName name="FDC_59_227" hidden="1">"#"</definedName>
    <definedName name="FDC_59_228" hidden="1">"#"</definedName>
    <definedName name="FDC_59_229" hidden="1">"#"</definedName>
    <definedName name="FDC_59_23" hidden="1">"#"</definedName>
    <definedName name="FDC_59_230" hidden="1">"#"</definedName>
    <definedName name="FDC_59_231" hidden="1">"#"</definedName>
    <definedName name="FDC_59_232" hidden="1">"#"</definedName>
    <definedName name="FDC_59_233" hidden="1">"#"</definedName>
    <definedName name="FDC_59_234" hidden="1">"#"</definedName>
    <definedName name="FDC_59_235" hidden="1">"#"</definedName>
    <definedName name="FDC_59_236" hidden="1">"#"</definedName>
    <definedName name="FDC_59_237" hidden="1">"#"</definedName>
    <definedName name="FDC_59_238" hidden="1">"#"</definedName>
    <definedName name="FDC_59_239" hidden="1">"#"</definedName>
    <definedName name="FDC_59_24" hidden="1">"#"</definedName>
    <definedName name="FDC_59_240" hidden="1">"#"</definedName>
    <definedName name="FDC_59_241" hidden="1">"#"</definedName>
    <definedName name="FDC_59_242" hidden="1">"#"</definedName>
    <definedName name="FDC_59_243" hidden="1">"#"</definedName>
    <definedName name="FDC_59_244" hidden="1">"#"</definedName>
    <definedName name="FDC_59_245" hidden="1">"#"</definedName>
    <definedName name="FDC_59_246" hidden="1">"#"</definedName>
    <definedName name="FDC_59_247" hidden="1">"#"</definedName>
    <definedName name="FDC_59_248" hidden="1">"#"</definedName>
    <definedName name="FDC_59_249" hidden="1">"#"</definedName>
    <definedName name="FDC_59_25" hidden="1">"#"</definedName>
    <definedName name="FDC_59_250" hidden="1">"#"</definedName>
    <definedName name="FDC_59_251" hidden="1">"#"</definedName>
    <definedName name="FDC_59_252" hidden="1">"#"</definedName>
    <definedName name="FDC_59_253" hidden="1">"#"</definedName>
    <definedName name="FDC_59_254" hidden="1">"#"</definedName>
    <definedName name="FDC_59_255" hidden="1">"#"</definedName>
    <definedName name="FDC_59_256" hidden="1">"#"</definedName>
    <definedName name="FDC_59_257" hidden="1">"#"</definedName>
    <definedName name="FDC_59_258" hidden="1">"#"</definedName>
    <definedName name="FDC_59_259" hidden="1">"#"</definedName>
    <definedName name="FDC_59_26" hidden="1">"#"</definedName>
    <definedName name="FDC_59_260" hidden="1">"#"</definedName>
    <definedName name="FDC_59_261" hidden="1">"#"</definedName>
    <definedName name="FDC_59_27" hidden="1">"#"</definedName>
    <definedName name="FDC_59_28" hidden="1">"#"</definedName>
    <definedName name="FDC_59_29" hidden="1">"#"</definedName>
    <definedName name="FDC_59_3" hidden="1">"#"</definedName>
    <definedName name="FDC_59_30" hidden="1">"#"</definedName>
    <definedName name="FDC_59_31" hidden="1">"#"</definedName>
    <definedName name="FDC_59_32" hidden="1">"#"</definedName>
    <definedName name="FDC_59_33" hidden="1">"#"</definedName>
    <definedName name="FDC_59_34" hidden="1">"#"</definedName>
    <definedName name="FDC_59_35" hidden="1">"#"</definedName>
    <definedName name="FDC_59_36" hidden="1">"#"</definedName>
    <definedName name="FDC_59_37" hidden="1">"#"</definedName>
    <definedName name="FDC_59_38" hidden="1">"#"</definedName>
    <definedName name="FDC_59_39" hidden="1">"#"</definedName>
    <definedName name="FDC_59_4" hidden="1">"#"</definedName>
    <definedName name="FDC_59_40" hidden="1">"#"</definedName>
    <definedName name="FDC_59_41" hidden="1">"#"</definedName>
    <definedName name="FDC_59_42" hidden="1">"#"</definedName>
    <definedName name="FDC_59_43" hidden="1">"#"</definedName>
    <definedName name="FDC_59_44" hidden="1">"#"</definedName>
    <definedName name="FDC_59_45" hidden="1">"#"</definedName>
    <definedName name="FDC_59_46" hidden="1">"#"</definedName>
    <definedName name="FDC_59_47" hidden="1">"#"</definedName>
    <definedName name="FDC_59_48" hidden="1">"#"</definedName>
    <definedName name="FDC_59_49" hidden="1">"#"</definedName>
    <definedName name="FDC_59_5" hidden="1">"#"</definedName>
    <definedName name="FDC_59_50" hidden="1">"#"</definedName>
    <definedName name="FDC_59_51" hidden="1">"#"</definedName>
    <definedName name="FDC_59_52" hidden="1">"#"</definedName>
    <definedName name="FDC_59_53" hidden="1">"#"</definedName>
    <definedName name="FDC_59_54" hidden="1">"#"</definedName>
    <definedName name="FDC_59_55" hidden="1">"#"</definedName>
    <definedName name="FDC_59_56" hidden="1">"#"</definedName>
    <definedName name="FDC_59_57" hidden="1">"#"</definedName>
    <definedName name="FDC_59_58" hidden="1">"#"</definedName>
    <definedName name="FDC_59_59" hidden="1">"#"</definedName>
    <definedName name="FDC_59_6" hidden="1">"#"</definedName>
    <definedName name="FDC_59_60" hidden="1">"#"</definedName>
    <definedName name="FDC_59_61" hidden="1">"#"</definedName>
    <definedName name="FDC_59_62" hidden="1">"#"</definedName>
    <definedName name="FDC_59_63" hidden="1">"#"</definedName>
    <definedName name="FDC_59_64" hidden="1">"#"</definedName>
    <definedName name="FDC_59_65" hidden="1">"#"</definedName>
    <definedName name="FDC_59_66" hidden="1">"#"</definedName>
    <definedName name="FDC_59_67" hidden="1">"#"</definedName>
    <definedName name="FDC_59_68" hidden="1">"#"</definedName>
    <definedName name="FDC_59_69" hidden="1">"#"</definedName>
    <definedName name="FDC_59_7" hidden="1">"#"</definedName>
    <definedName name="FDC_59_70" hidden="1">"#"</definedName>
    <definedName name="FDC_59_71" hidden="1">"#"</definedName>
    <definedName name="FDC_59_72" hidden="1">"#"</definedName>
    <definedName name="FDC_59_73" hidden="1">"#"</definedName>
    <definedName name="FDC_59_74" hidden="1">"#"</definedName>
    <definedName name="FDC_59_75" hidden="1">"#"</definedName>
    <definedName name="FDC_59_76" hidden="1">"#"</definedName>
    <definedName name="FDC_59_77" hidden="1">"#"</definedName>
    <definedName name="FDC_59_78" hidden="1">"#"</definedName>
    <definedName name="FDC_59_79" hidden="1">"#"</definedName>
    <definedName name="FDC_59_8" hidden="1">"#"</definedName>
    <definedName name="FDC_59_80" hidden="1">"#"</definedName>
    <definedName name="FDC_59_81" hidden="1">"#"</definedName>
    <definedName name="FDC_59_82" hidden="1">"#"</definedName>
    <definedName name="FDC_59_83" hidden="1">"#"</definedName>
    <definedName name="FDC_59_84" hidden="1">"#"</definedName>
    <definedName name="FDC_59_85" hidden="1">"#"</definedName>
    <definedName name="FDC_59_86" hidden="1">"#"</definedName>
    <definedName name="FDC_59_87" hidden="1">"#"</definedName>
    <definedName name="FDC_59_88" hidden="1">"#"</definedName>
    <definedName name="FDC_59_89" hidden="1">"#"</definedName>
    <definedName name="FDC_59_9" hidden="1">"#"</definedName>
    <definedName name="FDC_59_90" hidden="1">"#"</definedName>
    <definedName name="FDC_59_91" hidden="1">"#"</definedName>
    <definedName name="FDC_59_92" hidden="1">"#"</definedName>
    <definedName name="FDC_59_93" hidden="1">"#"</definedName>
    <definedName name="FDC_59_94" hidden="1">"#"</definedName>
    <definedName name="FDC_59_95" hidden="1">"#"</definedName>
    <definedName name="FDC_59_96" hidden="1">"#"</definedName>
    <definedName name="FDC_59_97" hidden="1">"#"</definedName>
    <definedName name="FDC_59_98" hidden="1">"#"</definedName>
    <definedName name="FDC_59_99" hidden="1">"#"</definedName>
    <definedName name="FDC_6_0" hidden="1">"#"</definedName>
    <definedName name="FDC_6_1" hidden="1">"#"</definedName>
    <definedName name="FDC_6_2" hidden="1">"#"</definedName>
    <definedName name="FDC_6_3" hidden="1">"#"</definedName>
    <definedName name="FDC_60_0" hidden="1">"#"</definedName>
    <definedName name="FDC_60_1" hidden="1">"#"</definedName>
    <definedName name="FDC_60_10" hidden="1">"#"</definedName>
    <definedName name="FDC_60_100" hidden="1">"#"</definedName>
    <definedName name="FDC_60_101" hidden="1">"#"</definedName>
    <definedName name="FDC_60_102" hidden="1">"#"</definedName>
    <definedName name="FDC_60_103" hidden="1">"#"</definedName>
    <definedName name="FDC_60_104" hidden="1">"#"</definedName>
    <definedName name="FDC_60_105" hidden="1">"#"</definedName>
    <definedName name="FDC_60_106" hidden="1">"#"</definedName>
    <definedName name="FDC_60_107" hidden="1">"#"</definedName>
    <definedName name="FDC_60_108" hidden="1">"#"</definedName>
    <definedName name="FDC_60_109" hidden="1">"#"</definedName>
    <definedName name="FDC_60_11" hidden="1">"#"</definedName>
    <definedName name="FDC_60_110" hidden="1">"#"</definedName>
    <definedName name="FDC_60_111" hidden="1">"#"</definedName>
    <definedName name="FDC_60_112" hidden="1">"#"</definedName>
    <definedName name="FDC_60_113" hidden="1">"#"</definedName>
    <definedName name="FDC_60_114" hidden="1">"#"</definedName>
    <definedName name="FDC_60_115" hidden="1">"#"</definedName>
    <definedName name="FDC_60_116" hidden="1">"#"</definedName>
    <definedName name="FDC_60_117" hidden="1">"#"</definedName>
    <definedName name="FDC_60_118" hidden="1">"#"</definedName>
    <definedName name="FDC_60_119" hidden="1">"#"</definedName>
    <definedName name="FDC_60_12" hidden="1">"#"</definedName>
    <definedName name="FDC_60_120" hidden="1">"#"</definedName>
    <definedName name="FDC_60_121" hidden="1">"#"</definedName>
    <definedName name="FDC_60_122" hidden="1">"#"</definedName>
    <definedName name="FDC_60_123" hidden="1">"#"</definedName>
    <definedName name="FDC_60_124" hidden="1">"#"</definedName>
    <definedName name="FDC_60_125" hidden="1">"#"</definedName>
    <definedName name="FDC_60_126" hidden="1">"#"</definedName>
    <definedName name="FDC_60_127" hidden="1">"#"</definedName>
    <definedName name="FDC_60_128" hidden="1">"#"</definedName>
    <definedName name="FDC_60_129" hidden="1">"#"</definedName>
    <definedName name="FDC_60_13" hidden="1">"#"</definedName>
    <definedName name="FDC_60_130" hidden="1">"#"</definedName>
    <definedName name="FDC_60_131" hidden="1">"#"</definedName>
    <definedName name="FDC_60_132" hidden="1">"#"</definedName>
    <definedName name="FDC_60_133" hidden="1">"#"</definedName>
    <definedName name="FDC_60_134" hidden="1">"#"</definedName>
    <definedName name="FDC_60_135" hidden="1">"#"</definedName>
    <definedName name="FDC_60_136" hidden="1">"#"</definedName>
    <definedName name="FDC_60_137" hidden="1">"#"</definedName>
    <definedName name="FDC_60_138" hidden="1">"#"</definedName>
    <definedName name="FDC_60_139" hidden="1">"#"</definedName>
    <definedName name="FDC_60_14" hidden="1">"#"</definedName>
    <definedName name="FDC_60_140" hidden="1">"#"</definedName>
    <definedName name="FDC_60_141" hidden="1">"#"</definedName>
    <definedName name="FDC_60_142" hidden="1">"#"</definedName>
    <definedName name="FDC_60_143" hidden="1">"#"</definedName>
    <definedName name="FDC_60_144" hidden="1">"#"</definedName>
    <definedName name="FDC_60_145" hidden="1">"#"</definedName>
    <definedName name="FDC_60_146" hidden="1">"#"</definedName>
    <definedName name="FDC_60_147" hidden="1">"#"</definedName>
    <definedName name="FDC_60_148" hidden="1">"#"</definedName>
    <definedName name="FDC_60_149" hidden="1">"#"</definedName>
    <definedName name="FDC_60_15" hidden="1">"#"</definedName>
    <definedName name="FDC_60_150" hidden="1">"#"</definedName>
    <definedName name="FDC_60_151" hidden="1">"#"</definedName>
    <definedName name="FDC_60_152" hidden="1">"#"</definedName>
    <definedName name="FDC_60_153" hidden="1">"#"</definedName>
    <definedName name="FDC_60_154" hidden="1">"#"</definedName>
    <definedName name="FDC_60_155" hidden="1">"#"</definedName>
    <definedName name="FDC_60_156" hidden="1">"#"</definedName>
    <definedName name="FDC_60_157" hidden="1">"#"</definedName>
    <definedName name="FDC_60_158" hidden="1">"#"</definedName>
    <definedName name="FDC_60_159" hidden="1">"#"</definedName>
    <definedName name="FDC_60_16" hidden="1">"#"</definedName>
    <definedName name="FDC_60_160" hidden="1">"#"</definedName>
    <definedName name="FDC_60_161" hidden="1">"#"</definedName>
    <definedName name="FDC_60_162" hidden="1">"#"</definedName>
    <definedName name="FDC_60_163" hidden="1">"#"</definedName>
    <definedName name="FDC_60_164" hidden="1">"#"</definedName>
    <definedName name="FDC_60_165" hidden="1">"#"</definedName>
    <definedName name="FDC_60_166" hidden="1">"#"</definedName>
    <definedName name="FDC_60_167" hidden="1">"#"</definedName>
    <definedName name="FDC_60_168" hidden="1">"#"</definedName>
    <definedName name="FDC_60_169" hidden="1">"#"</definedName>
    <definedName name="FDC_60_17" hidden="1">"#"</definedName>
    <definedName name="FDC_60_170" hidden="1">"#"</definedName>
    <definedName name="FDC_60_171" hidden="1">"#"</definedName>
    <definedName name="FDC_60_172" hidden="1">"#"</definedName>
    <definedName name="FDC_60_173" hidden="1">"#"</definedName>
    <definedName name="FDC_60_174" hidden="1">"#"</definedName>
    <definedName name="FDC_60_175" hidden="1">"#"</definedName>
    <definedName name="FDC_60_176" hidden="1">"#"</definedName>
    <definedName name="FDC_60_177" hidden="1">"#"</definedName>
    <definedName name="FDC_60_178" hidden="1">"#"</definedName>
    <definedName name="FDC_60_179" hidden="1">"#"</definedName>
    <definedName name="FDC_60_18" hidden="1">"#"</definedName>
    <definedName name="FDC_60_180" hidden="1">"#"</definedName>
    <definedName name="FDC_60_181" hidden="1">"#"</definedName>
    <definedName name="FDC_60_182" hidden="1">"#"</definedName>
    <definedName name="FDC_60_183" hidden="1">"#"</definedName>
    <definedName name="FDC_60_184" hidden="1">"#"</definedName>
    <definedName name="FDC_60_185" hidden="1">"#"</definedName>
    <definedName name="FDC_60_186" hidden="1">"#"</definedName>
    <definedName name="FDC_60_187" hidden="1">"#"</definedName>
    <definedName name="FDC_60_188" hidden="1">"#"</definedName>
    <definedName name="FDC_60_189" hidden="1">"#"</definedName>
    <definedName name="FDC_60_19" hidden="1">"#"</definedName>
    <definedName name="FDC_60_190" hidden="1">"#"</definedName>
    <definedName name="FDC_60_191" hidden="1">"#"</definedName>
    <definedName name="FDC_60_192" hidden="1">"#"</definedName>
    <definedName name="FDC_60_193" hidden="1">"#"</definedName>
    <definedName name="FDC_60_194" hidden="1">"#"</definedName>
    <definedName name="FDC_60_195" hidden="1">"#"</definedName>
    <definedName name="FDC_60_196" hidden="1">"#"</definedName>
    <definedName name="FDC_60_197" hidden="1">"#"</definedName>
    <definedName name="FDC_60_198" hidden="1">"#"</definedName>
    <definedName name="FDC_60_199" hidden="1">"#"</definedName>
    <definedName name="FDC_60_2" hidden="1">"#"</definedName>
    <definedName name="FDC_60_20" hidden="1">"#"</definedName>
    <definedName name="FDC_60_200" hidden="1">"#"</definedName>
    <definedName name="FDC_60_201" hidden="1">"#"</definedName>
    <definedName name="FDC_60_202" hidden="1">"#"</definedName>
    <definedName name="FDC_60_203" hidden="1">"#"</definedName>
    <definedName name="FDC_60_204" hidden="1">"#"</definedName>
    <definedName name="FDC_60_205" hidden="1">"#"</definedName>
    <definedName name="FDC_60_206" hidden="1">"#"</definedName>
    <definedName name="FDC_60_207" hidden="1">"#"</definedName>
    <definedName name="FDC_60_208" hidden="1">"#"</definedName>
    <definedName name="FDC_60_209" hidden="1">"#"</definedName>
    <definedName name="FDC_60_21" hidden="1">"#"</definedName>
    <definedName name="FDC_60_210" hidden="1">"#"</definedName>
    <definedName name="FDC_60_211" hidden="1">"#"</definedName>
    <definedName name="FDC_60_212" hidden="1">"#"</definedName>
    <definedName name="FDC_60_213" hidden="1">"#"</definedName>
    <definedName name="FDC_60_214" hidden="1">"#"</definedName>
    <definedName name="FDC_60_215" hidden="1">"#"</definedName>
    <definedName name="FDC_60_216" hidden="1">"#"</definedName>
    <definedName name="FDC_60_217" hidden="1">"#"</definedName>
    <definedName name="FDC_60_218" hidden="1">"#"</definedName>
    <definedName name="FDC_60_219" hidden="1">"#"</definedName>
    <definedName name="FDC_60_22" hidden="1">"#"</definedName>
    <definedName name="FDC_60_220" hidden="1">"#"</definedName>
    <definedName name="FDC_60_221" hidden="1">"#"</definedName>
    <definedName name="FDC_60_222" hidden="1">"#"</definedName>
    <definedName name="FDC_60_223" hidden="1">"#"</definedName>
    <definedName name="FDC_60_224" hidden="1">"#"</definedName>
    <definedName name="FDC_60_225" hidden="1">"#"</definedName>
    <definedName name="FDC_60_226" hidden="1">"#"</definedName>
    <definedName name="FDC_60_227" hidden="1">"#"</definedName>
    <definedName name="FDC_60_228" hidden="1">"#"</definedName>
    <definedName name="FDC_60_229" hidden="1">"#"</definedName>
    <definedName name="FDC_60_23" hidden="1">"#"</definedName>
    <definedName name="FDC_60_230" hidden="1">"#"</definedName>
    <definedName name="FDC_60_231" hidden="1">"#"</definedName>
    <definedName name="FDC_60_232" hidden="1">"#"</definedName>
    <definedName name="FDC_60_233" hidden="1">"#"</definedName>
    <definedName name="FDC_60_234" hidden="1">"#"</definedName>
    <definedName name="FDC_60_235" hidden="1">"#"</definedName>
    <definedName name="FDC_60_236" hidden="1">"#"</definedName>
    <definedName name="FDC_60_237" hidden="1">"#"</definedName>
    <definedName name="FDC_60_238" hidden="1">"#"</definedName>
    <definedName name="FDC_60_239" hidden="1">"#"</definedName>
    <definedName name="FDC_60_24" hidden="1">"#"</definedName>
    <definedName name="FDC_60_240" hidden="1">"#"</definedName>
    <definedName name="FDC_60_241" hidden="1">"#"</definedName>
    <definedName name="FDC_60_242" hidden="1">"#"</definedName>
    <definedName name="FDC_60_243" hidden="1">"#"</definedName>
    <definedName name="FDC_60_244" hidden="1">"#"</definedName>
    <definedName name="FDC_60_245" hidden="1">"#"</definedName>
    <definedName name="FDC_60_246" hidden="1">"#"</definedName>
    <definedName name="FDC_60_247" hidden="1">"#"</definedName>
    <definedName name="FDC_60_248" hidden="1">"#"</definedName>
    <definedName name="FDC_60_249" hidden="1">"#"</definedName>
    <definedName name="FDC_60_25" hidden="1">"#"</definedName>
    <definedName name="FDC_60_250" hidden="1">"#"</definedName>
    <definedName name="FDC_60_251" hidden="1">"#"</definedName>
    <definedName name="FDC_60_252" hidden="1">"#"</definedName>
    <definedName name="FDC_60_253" hidden="1">"#"</definedName>
    <definedName name="FDC_60_254" hidden="1">"#"</definedName>
    <definedName name="FDC_60_255" hidden="1">"#"</definedName>
    <definedName name="FDC_60_256" hidden="1">"#"</definedName>
    <definedName name="FDC_60_257" hidden="1">"#"</definedName>
    <definedName name="FDC_60_258" hidden="1">"#"</definedName>
    <definedName name="FDC_60_259" hidden="1">"#"</definedName>
    <definedName name="FDC_60_26" hidden="1">"#"</definedName>
    <definedName name="FDC_60_260" hidden="1">"#"</definedName>
    <definedName name="FDC_60_261" hidden="1">"#"</definedName>
    <definedName name="FDC_60_27" hidden="1">"#"</definedName>
    <definedName name="FDC_60_28" hidden="1">"#"</definedName>
    <definedName name="FDC_60_29" hidden="1">"#"</definedName>
    <definedName name="FDC_60_3" hidden="1">"#"</definedName>
    <definedName name="FDC_60_30" hidden="1">"#"</definedName>
    <definedName name="FDC_60_31" hidden="1">"#"</definedName>
    <definedName name="FDC_60_32" hidden="1">"#"</definedName>
    <definedName name="FDC_60_33" hidden="1">"#"</definedName>
    <definedName name="FDC_60_34" hidden="1">"#"</definedName>
    <definedName name="FDC_60_35" hidden="1">"#"</definedName>
    <definedName name="FDC_60_36" hidden="1">"#"</definedName>
    <definedName name="FDC_60_37" hidden="1">"#"</definedName>
    <definedName name="FDC_60_38" hidden="1">"#"</definedName>
    <definedName name="FDC_60_39" hidden="1">"#"</definedName>
    <definedName name="FDC_60_4" hidden="1">"#"</definedName>
    <definedName name="FDC_60_40" hidden="1">"#"</definedName>
    <definedName name="FDC_60_41" hidden="1">"#"</definedName>
    <definedName name="FDC_60_42" hidden="1">"#"</definedName>
    <definedName name="FDC_60_43" hidden="1">"#"</definedName>
    <definedName name="FDC_60_44" hidden="1">"#"</definedName>
    <definedName name="FDC_60_45" hidden="1">"#"</definedName>
    <definedName name="FDC_60_46" hidden="1">"#"</definedName>
    <definedName name="FDC_60_47" hidden="1">"#"</definedName>
    <definedName name="FDC_60_48" hidden="1">"#"</definedName>
    <definedName name="FDC_60_49" hidden="1">"#"</definedName>
    <definedName name="FDC_60_5" hidden="1">"#"</definedName>
    <definedName name="FDC_60_50" hidden="1">"#"</definedName>
    <definedName name="FDC_60_51" hidden="1">"#"</definedName>
    <definedName name="FDC_60_52" hidden="1">"#"</definedName>
    <definedName name="FDC_60_53" hidden="1">"#"</definedName>
    <definedName name="FDC_60_54" hidden="1">"#"</definedName>
    <definedName name="FDC_60_55" hidden="1">"#"</definedName>
    <definedName name="FDC_60_56" hidden="1">"#"</definedName>
    <definedName name="FDC_60_57" hidden="1">"#"</definedName>
    <definedName name="FDC_60_58" hidden="1">"#"</definedName>
    <definedName name="FDC_60_59" hidden="1">"#"</definedName>
    <definedName name="FDC_60_6" hidden="1">"#"</definedName>
    <definedName name="FDC_60_60" hidden="1">"#"</definedName>
    <definedName name="FDC_60_61" hidden="1">"#"</definedName>
    <definedName name="FDC_60_62" hidden="1">"#"</definedName>
    <definedName name="FDC_60_63" hidden="1">"#"</definedName>
    <definedName name="FDC_60_64" hidden="1">"#"</definedName>
    <definedName name="FDC_60_65" hidden="1">"#"</definedName>
    <definedName name="FDC_60_66" hidden="1">"#"</definedName>
    <definedName name="FDC_60_67" hidden="1">"#"</definedName>
    <definedName name="FDC_60_68" hidden="1">"#"</definedName>
    <definedName name="FDC_60_69" hidden="1">"#"</definedName>
    <definedName name="FDC_60_7" hidden="1">"#"</definedName>
    <definedName name="FDC_60_70" hidden="1">"#"</definedName>
    <definedName name="FDC_60_71" hidden="1">"#"</definedName>
    <definedName name="FDC_60_72" hidden="1">"#"</definedName>
    <definedName name="FDC_60_73" hidden="1">"#"</definedName>
    <definedName name="FDC_60_74" hidden="1">"#"</definedName>
    <definedName name="FDC_60_75" hidden="1">"#"</definedName>
    <definedName name="FDC_60_76" hidden="1">"#"</definedName>
    <definedName name="FDC_60_77" hidden="1">"#"</definedName>
    <definedName name="FDC_60_78" hidden="1">"#"</definedName>
    <definedName name="FDC_60_79" hidden="1">"#"</definedName>
    <definedName name="FDC_60_8" hidden="1">"#"</definedName>
    <definedName name="FDC_60_80" hidden="1">"#"</definedName>
    <definedName name="FDC_60_81" hidden="1">"#"</definedName>
    <definedName name="FDC_60_82" hidden="1">"#"</definedName>
    <definedName name="FDC_60_83" hidden="1">"#"</definedName>
    <definedName name="FDC_60_84" hidden="1">"#"</definedName>
    <definedName name="FDC_60_85" hidden="1">"#"</definedName>
    <definedName name="FDC_60_86" hidden="1">"#"</definedName>
    <definedName name="FDC_60_87" hidden="1">"#"</definedName>
    <definedName name="FDC_60_88" hidden="1">"#"</definedName>
    <definedName name="FDC_60_89" hidden="1">"#"</definedName>
    <definedName name="FDC_60_9" hidden="1">"#"</definedName>
    <definedName name="FDC_60_90" hidden="1">"#"</definedName>
    <definedName name="FDC_60_91" hidden="1">"#"</definedName>
    <definedName name="FDC_60_92" hidden="1">"#"</definedName>
    <definedName name="FDC_60_93" hidden="1">"#"</definedName>
    <definedName name="FDC_60_94" hidden="1">"#"</definedName>
    <definedName name="FDC_60_95" hidden="1">"#"</definedName>
    <definedName name="FDC_60_96" hidden="1">"#"</definedName>
    <definedName name="FDC_60_97" hidden="1">"#"</definedName>
    <definedName name="FDC_60_98" hidden="1">"#"</definedName>
    <definedName name="FDC_60_99" hidden="1">"#"</definedName>
    <definedName name="FDC_61_0" hidden="1">"#"</definedName>
    <definedName name="FDC_62_0" hidden="1">"#"</definedName>
    <definedName name="FDC_62_1" hidden="1">"#"</definedName>
    <definedName name="FDC_62_10" hidden="1">"#"</definedName>
    <definedName name="FDC_62_100" hidden="1">"#"</definedName>
    <definedName name="FDC_62_101" hidden="1">"#"</definedName>
    <definedName name="FDC_62_102" hidden="1">"#"</definedName>
    <definedName name="FDC_62_103" hidden="1">"#"</definedName>
    <definedName name="FDC_62_104" hidden="1">"#"</definedName>
    <definedName name="FDC_62_105" hidden="1">"#"</definedName>
    <definedName name="FDC_62_106" hidden="1">"#"</definedName>
    <definedName name="FDC_62_107" hidden="1">"#"</definedName>
    <definedName name="FDC_62_108" hidden="1">"#"</definedName>
    <definedName name="FDC_62_109" hidden="1">"#"</definedName>
    <definedName name="FDC_62_11" hidden="1">"#"</definedName>
    <definedName name="FDC_62_110" hidden="1">"#"</definedName>
    <definedName name="FDC_62_111" hidden="1">"#"</definedName>
    <definedName name="FDC_62_112" hidden="1">"#"</definedName>
    <definedName name="FDC_62_113" hidden="1">"#"</definedName>
    <definedName name="FDC_62_114" hidden="1">"#"</definedName>
    <definedName name="FDC_62_115" hidden="1">"#"</definedName>
    <definedName name="FDC_62_116" hidden="1">"#"</definedName>
    <definedName name="FDC_62_117" hidden="1">"#"</definedName>
    <definedName name="FDC_62_118" hidden="1">"#"</definedName>
    <definedName name="FDC_62_119" hidden="1">"#"</definedName>
    <definedName name="FDC_62_12" hidden="1">"#"</definedName>
    <definedName name="FDC_62_120" hidden="1">"#"</definedName>
    <definedName name="FDC_62_121" hidden="1">"#"</definedName>
    <definedName name="FDC_62_122" hidden="1">"#"</definedName>
    <definedName name="FDC_62_123" hidden="1">"#"</definedName>
    <definedName name="FDC_62_124" hidden="1">"#"</definedName>
    <definedName name="FDC_62_125" hidden="1">"#"</definedName>
    <definedName name="FDC_62_126" hidden="1">"#"</definedName>
    <definedName name="FDC_62_127" hidden="1">"#"</definedName>
    <definedName name="FDC_62_128" hidden="1">"#"</definedName>
    <definedName name="FDC_62_129" hidden="1">"#"</definedName>
    <definedName name="FDC_62_13" hidden="1">"#"</definedName>
    <definedName name="FDC_62_130" hidden="1">"#"</definedName>
    <definedName name="FDC_62_131" hidden="1">"#"</definedName>
    <definedName name="FDC_62_132" hidden="1">"#"</definedName>
    <definedName name="FDC_62_133" hidden="1">"#"</definedName>
    <definedName name="FDC_62_134" hidden="1">"#"</definedName>
    <definedName name="FDC_62_135" hidden="1">"#"</definedName>
    <definedName name="FDC_62_136" hidden="1">"#"</definedName>
    <definedName name="FDC_62_137" hidden="1">"#"</definedName>
    <definedName name="FDC_62_138" hidden="1">"#"</definedName>
    <definedName name="FDC_62_139" hidden="1">"#"</definedName>
    <definedName name="FDC_62_14" hidden="1">"#"</definedName>
    <definedName name="FDC_62_140" hidden="1">"#"</definedName>
    <definedName name="FDC_62_141" hidden="1">"#"</definedName>
    <definedName name="FDC_62_142" hidden="1">"#"</definedName>
    <definedName name="FDC_62_143" hidden="1">"#"</definedName>
    <definedName name="FDC_62_144" hidden="1">"#"</definedName>
    <definedName name="FDC_62_145" hidden="1">"#"</definedName>
    <definedName name="FDC_62_146" hidden="1">"#"</definedName>
    <definedName name="FDC_62_147" hidden="1">"#"</definedName>
    <definedName name="FDC_62_148" hidden="1">"#"</definedName>
    <definedName name="FDC_62_149" hidden="1">"#"</definedName>
    <definedName name="FDC_62_15" hidden="1">"#"</definedName>
    <definedName name="FDC_62_150" hidden="1">"#"</definedName>
    <definedName name="FDC_62_151" hidden="1">"#"</definedName>
    <definedName name="FDC_62_152" hidden="1">"#"</definedName>
    <definedName name="FDC_62_153" hidden="1">"#"</definedName>
    <definedName name="FDC_62_154" hidden="1">"#"</definedName>
    <definedName name="FDC_62_155" hidden="1">"#"</definedName>
    <definedName name="FDC_62_156" hidden="1">"#"</definedName>
    <definedName name="FDC_62_157" hidden="1">"#"</definedName>
    <definedName name="FDC_62_158" hidden="1">"#"</definedName>
    <definedName name="FDC_62_159" hidden="1">"#"</definedName>
    <definedName name="FDC_62_16" hidden="1">"#"</definedName>
    <definedName name="FDC_62_160" hidden="1">"#"</definedName>
    <definedName name="FDC_62_161" hidden="1">"#"</definedName>
    <definedName name="FDC_62_162" hidden="1">"#"</definedName>
    <definedName name="FDC_62_163" hidden="1">"#"</definedName>
    <definedName name="FDC_62_164" hidden="1">"#"</definedName>
    <definedName name="FDC_62_165" hidden="1">"#"</definedName>
    <definedName name="FDC_62_166" hidden="1">"#"</definedName>
    <definedName name="FDC_62_167" hidden="1">"#"</definedName>
    <definedName name="FDC_62_168" hidden="1">"#"</definedName>
    <definedName name="FDC_62_169" hidden="1">"#"</definedName>
    <definedName name="FDC_62_17" hidden="1">"#"</definedName>
    <definedName name="FDC_62_170" hidden="1">"#"</definedName>
    <definedName name="FDC_62_171" hidden="1">"#"</definedName>
    <definedName name="FDC_62_172" hidden="1">"#"</definedName>
    <definedName name="FDC_62_173" hidden="1">"#"</definedName>
    <definedName name="FDC_62_174" hidden="1">"#"</definedName>
    <definedName name="FDC_62_175" hidden="1">"#"</definedName>
    <definedName name="FDC_62_176" hidden="1">"#"</definedName>
    <definedName name="FDC_62_177" hidden="1">"#"</definedName>
    <definedName name="FDC_62_178" hidden="1">"#"</definedName>
    <definedName name="FDC_62_179" hidden="1">"#"</definedName>
    <definedName name="FDC_62_18" hidden="1">"#"</definedName>
    <definedName name="FDC_62_180" hidden="1">"#"</definedName>
    <definedName name="FDC_62_181" hidden="1">"#"</definedName>
    <definedName name="FDC_62_182" hidden="1">"#"</definedName>
    <definedName name="FDC_62_183" hidden="1">"#"</definedName>
    <definedName name="FDC_62_184" hidden="1">"#"</definedName>
    <definedName name="FDC_62_185" hidden="1">"#"</definedName>
    <definedName name="FDC_62_186" hidden="1">"#"</definedName>
    <definedName name="FDC_62_187" hidden="1">"#"</definedName>
    <definedName name="FDC_62_188" hidden="1">"#"</definedName>
    <definedName name="FDC_62_189" hidden="1">"#"</definedName>
    <definedName name="FDC_62_19" hidden="1">"#"</definedName>
    <definedName name="FDC_62_190" hidden="1">"#"</definedName>
    <definedName name="FDC_62_191" hidden="1">"#"</definedName>
    <definedName name="FDC_62_192" hidden="1">"#"</definedName>
    <definedName name="FDC_62_193" hidden="1">"#"</definedName>
    <definedName name="FDC_62_194" hidden="1">"#"</definedName>
    <definedName name="FDC_62_195" hidden="1">"#"</definedName>
    <definedName name="FDC_62_196" hidden="1">"#"</definedName>
    <definedName name="FDC_62_197" hidden="1">"#"</definedName>
    <definedName name="FDC_62_198" hidden="1">"#"</definedName>
    <definedName name="FDC_62_199" hidden="1">"#"</definedName>
    <definedName name="FDC_62_2" hidden="1">"#"</definedName>
    <definedName name="FDC_62_20" hidden="1">"#"</definedName>
    <definedName name="FDC_62_200" hidden="1">"#"</definedName>
    <definedName name="FDC_62_201" hidden="1">"#"</definedName>
    <definedName name="FDC_62_202" hidden="1">"#"</definedName>
    <definedName name="FDC_62_203" hidden="1">"#"</definedName>
    <definedName name="FDC_62_204" hidden="1">"#"</definedName>
    <definedName name="FDC_62_205" hidden="1">"#"</definedName>
    <definedName name="FDC_62_206" hidden="1">"#"</definedName>
    <definedName name="FDC_62_207" hidden="1">"#"</definedName>
    <definedName name="FDC_62_208" hidden="1">"#"</definedName>
    <definedName name="FDC_62_209" hidden="1">"#"</definedName>
    <definedName name="FDC_62_21" hidden="1">"#"</definedName>
    <definedName name="FDC_62_210" hidden="1">"#"</definedName>
    <definedName name="FDC_62_211" hidden="1">"#"</definedName>
    <definedName name="FDC_62_212" hidden="1">"#"</definedName>
    <definedName name="FDC_62_213" hidden="1">"#"</definedName>
    <definedName name="FDC_62_214" hidden="1">"#"</definedName>
    <definedName name="FDC_62_215" hidden="1">"#"</definedName>
    <definedName name="FDC_62_216" hidden="1">"#"</definedName>
    <definedName name="FDC_62_217" hidden="1">"#"</definedName>
    <definedName name="FDC_62_218" hidden="1">"#"</definedName>
    <definedName name="FDC_62_219" hidden="1">"#"</definedName>
    <definedName name="FDC_62_22" hidden="1">"#"</definedName>
    <definedName name="FDC_62_220" hidden="1">"#"</definedName>
    <definedName name="FDC_62_221" hidden="1">"#"</definedName>
    <definedName name="FDC_62_222" hidden="1">"#"</definedName>
    <definedName name="FDC_62_223" hidden="1">"#"</definedName>
    <definedName name="FDC_62_224" hidden="1">"#"</definedName>
    <definedName name="FDC_62_225" hidden="1">"#"</definedName>
    <definedName name="FDC_62_226" hidden="1">"#"</definedName>
    <definedName name="FDC_62_227" hidden="1">"#"</definedName>
    <definedName name="FDC_62_228" hidden="1">"#"</definedName>
    <definedName name="FDC_62_229" hidden="1">"#"</definedName>
    <definedName name="FDC_62_23" hidden="1">"#"</definedName>
    <definedName name="FDC_62_230" hidden="1">"#"</definedName>
    <definedName name="FDC_62_231" hidden="1">"#"</definedName>
    <definedName name="FDC_62_232" hidden="1">"#"</definedName>
    <definedName name="FDC_62_233" hidden="1">"#"</definedName>
    <definedName name="FDC_62_234" hidden="1">"#"</definedName>
    <definedName name="FDC_62_235" hidden="1">"#"</definedName>
    <definedName name="FDC_62_236" hidden="1">"#"</definedName>
    <definedName name="FDC_62_237" hidden="1">"#"</definedName>
    <definedName name="FDC_62_238" hidden="1">"#"</definedName>
    <definedName name="FDC_62_239" hidden="1">"#"</definedName>
    <definedName name="FDC_62_24" hidden="1">"#"</definedName>
    <definedName name="FDC_62_240" hidden="1">"#"</definedName>
    <definedName name="FDC_62_241" hidden="1">"#"</definedName>
    <definedName name="FDC_62_242" hidden="1">"#"</definedName>
    <definedName name="FDC_62_243" hidden="1">"#"</definedName>
    <definedName name="FDC_62_244" hidden="1">"#"</definedName>
    <definedName name="FDC_62_245" hidden="1">"#"</definedName>
    <definedName name="FDC_62_246" hidden="1">"#"</definedName>
    <definedName name="FDC_62_247" hidden="1">"#"</definedName>
    <definedName name="FDC_62_248" hidden="1">"#"</definedName>
    <definedName name="FDC_62_249" hidden="1">"#"</definedName>
    <definedName name="FDC_62_25" hidden="1">"#"</definedName>
    <definedName name="FDC_62_250" hidden="1">"#"</definedName>
    <definedName name="FDC_62_251" hidden="1">"#"</definedName>
    <definedName name="FDC_62_252" hidden="1">"#"</definedName>
    <definedName name="FDC_62_253" hidden="1">"#"</definedName>
    <definedName name="FDC_62_254" hidden="1">"#"</definedName>
    <definedName name="FDC_62_255" hidden="1">"#"</definedName>
    <definedName name="FDC_62_256" hidden="1">"#"</definedName>
    <definedName name="FDC_62_257" hidden="1">"#"</definedName>
    <definedName name="FDC_62_258" hidden="1">"#"</definedName>
    <definedName name="FDC_62_259" hidden="1">"#"</definedName>
    <definedName name="FDC_62_26" hidden="1">"#"</definedName>
    <definedName name="FDC_62_260" hidden="1">"#"</definedName>
    <definedName name="FDC_62_261" hidden="1">"#"</definedName>
    <definedName name="FDC_62_27" hidden="1">"#"</definedName>
    <definedName name="FDC_62_28" hidden="1">"#"</definedName>
    <definedName name="FDC_62_29" hidden="1">"#"</definedName>
    <definedName name="FDC_62_3" hidden="1">"#"</definedName>
    <definedName name="FDC_62_30" hidden="1">"#"</definedName>
    <definedName name="FDC_62_31" hidden="1">"#"</definedName>
    <definedName name="FDC_62_32" hidden="1">"#"</definedName>
    <definedName name="FDC_62_33" hidden="1">"#"</definedName>
    <definedName name="FDC_62_34" hidden="1">"#"</definedName>
    <definedName name="FDC_62_35" hidden="1">"#"</definedName>
    <definedName name="FDC_62_36" hidden="1">"#"</definedName>
    <definedName name="FDC_62_37" hidden="1">"#"</definedName>
    <definedName name="FDC_62_38" hidden="1">"#"</definedName>
    <definedName name="FDC_62_39" hidden="1">"#"</definedName>
    <definedName name="FDC_62_4" hidden="1">"#"</definedName>
    <definedName name="FDC_62_40" hidden="1">"#"</definedName>
    <definedName name="FDC_62_41" hidden="1">"#"</definedName>
    <definedName name="FDC_62_42" hidden="1">"#"</definedName>
    <definedName name="FDC_62_43" hidden="1">"#"</definedName>
    <definedName name="FDC_62_44" hidden="1">"#"</definedName>
    <definedName name="FDC_62_45" hidden="1">"#"</definedName>
    <definedName name="FDC_62_46" hidden="1">"#"</definedName>
    <definedName name="FDC_62_47" hidden="1">"#"</definedName>
    <definedName name="FDC_62_48" hidden="1">"#"</definedName>
    <definedName name="FDC_62_49" hidden="1">"#"</definedName>
    <definedName name="FDC_62_5" hidden="1">"#"</definedName>
    <definedName name="FDC_62_50" hidden="1">"#"</definedName>
    <definedName name="FDC_62_51" hidden="1">"#"</definedName>
    <definedName name="FDC_62_52" hidden="1">"#"</definedName>
    <definedName name="FDC_62_53" hidden="1">"#"</definedName>
    <definedName name="FDC_62_54" hidden="1">"#"</definedName>
    <definedName name="FDC_62_55" hidden="1">"#"</definedName>
    <definedName name="FDC_62_56" hidden="1">"#"</definedName>
    <definedName name="FDC_62_57" hidden="1">"#"</definedName>
    <definedName name="FDC_62_58" hidden="1">"#"</definedName>
    <definedName name="FDC_62_59" hidden="1">"#"</definedName>
    <definedName name="FDC_62_6" hidden="1">"#"</definedName>
    <definedName name="FDC_62_60" hidden="1">"#"</definedName>
    <definedName name="FDC_62_61" hidden="1">"#"</definedName>
    <definedName name="FDC_62_62" hidden="1">"#"</definedName>
    <definedName name="FDC_62_63" hidden="1">"#"</definedName>
    <definedName name="FDC_62_64" hidden="1">"#"</definedName>
    <definedName name="FDC_62_65" hidden="1">"#"</definedName>
    <definedName name="FDC_62_66" hidden="1">"#"</definedName>
    <definedName name="FDC_62_67" hidden="1">"#"</definedName>
    <definedName name="FDC_62_68" hidden="1">"#"</definedName>
    <definedName name="FDC_62_69" hidden="1">"#"</definedName>
    <definedName name="FDC_62_7" hidden="1">"#"</definedName>
    <definedName name="FDC_62_70" hidden="1">"#"</definedName>
    <definedName name="FDC_62_71" hidden="1">"#"</definedName>
    <definedName name="FDC_62_72" hidden="1">"#"</definedName>
    <definedName name="FDC_62_73" hidden="1">"#"</definedName>
    <definedName name="FDC_62_74" hidden="1">"#"</definedName>
    <definedName name="FDC_62_75" hidden="1">"#"</definedName>
    <definedName name="FDC_62_76" hidden="1">"#"</definedName>
    <definedName name="FDC_62_77" hidden="1">"#"</definedName>
    <definedName name="FDC_62_78" hidden="1">"#"</definedName>
    <definedName name="FDC_62_79" hidden="1">"#"</definedName>
    <definedName name="FDC_62_8" hidden="1">"#"</definedName>
    <definedName name="FDC_62_80" hidden="1">"#"</definedName>
    <definedName name="FDC_62_81" hidden="1">"#"</definedName>
    <definedName name="FDC_62_82" hidden="1">"#"</definedName>
    <definedName name="FDC_62_83" hidden="1">"#"</definedName>
    <definedName name="FDC_62_84" hidden="1">"#"</definedName>
    <definedName name="FDC_62_85" hidden="1">"#"</definedName>
    <definedName name="FDC_62_86" hidden="1">"#"</definedName>
    <definedName name="FDC_62_87" hidden="1">"#"</definedName>
    <definedName name="FDC_62_88" hidden="1">"#"</definedName>
    <definedName name="FDC_62_89" hidden="1">"#"</definedName>
    <definedName name="FDC_62_9" hidden="1">"#"</definedName>
    <definedName name="FDC_62_90" hidden="1">"#"</definedName>
    <definedName name="FDC_62_91" hidden="1">"#"</definedName>
    <definedName name="FDC_62_92" hidden="1">"#"</definedName>
    <definedName name="FDC_62_93" hidden="1">"#"</definedName>
    <definedName name="FDC_62_94" hidden="1">"#"</definedName>
    <definedName name="FDC_62_95" hidden="1">"#"</definedName>
    <definedName name="FDC_62_96" hidden="1">"#"</definedName>
    <definedName name="FDC_62_97" hidden="1">"#"</definedName>
    <definedName name="FDC_62_98" hidden="1">"#"</definedName>
    <definedName name="FDC_62_99" hidden="1">"#"</definedName>
    <definedName name="FDC_63_0" hidden="1">"#"</definedName>
    <definedName name="FDC_63_1" hidden="1">"#"</definedName>
    <definedName name="FDC_63_10" hidden="1">"#"</definedName>
    <definedName name="FDC_63_100" hidden="1">"#"</definedName>
    <definedName name="FDC_63_101" hidden="1">"#"</definedName>
    <definedName name="FDC_63_102" hidden="1">"#"</definedName>
    <definedName name="FDC_63_103" hidden="1">"#"</definedName>
    <definedName name="FDC_63_104" hidden="1">"#"</definedName>
    <definedName name="FDC_63_105" hidden="1">"#"</definedName>
    <definedName name="FDC_63_106" hidden="1">"#"</definedName>
    <definedName name="FDC_63_107" hidden="1">"#"</definedName>
    <definedName name="FDC_63_108" hidden="1">"#"</definedName>
    <definedName name="FDC_63_109" hidden="1">"#"</definedName>
    <definedName name="FDC_63_11" hidden="1">"#"</definedName>
    <definedName name="FDC_63_110" hidden="1">"#"</definedName>
    <definedName name="FDC_63_111" hidden="1">"#"</definedName>
    <definedName name="FDC_63_112" hidden="1">"#"</definedName>
    <definedName name="FDC_63_113" hidden="1">"#"</definedName>
    <definedName name="FDC_63_114" hidden="1">"#"</definedName>
    <definedName name="FDC_63_115" hidden="1">"#"</definedName>
    <definedName name="FDC_63_116" hidden="1">"#"</definedName>
    <definedName name="FDC_63_117" hidden="1">"#"</definedName>
    <definedName name="FDC_63_118" hidden="1">"#"</definedName>
    <definedName name="FDC_63_119" hidden="1">"#"</definedName>
    <definedName name="FDC_63_12" hidden="1">"#"</definedName>
    <definedName name="FDC_63_120" hidden="1">"#"</definedName>
    <definedName name="FDC_63_121" hidden="1">"#"</definedName>
    <definedName name="FDC_63_122" hidden="1">"#"</definedName>
    <definedName name="FDC_63_123" hidden="1">"#"</definedName>
    <definedName name="FDC_63_124" hidden="1">"#"</definedName>
    <definedName name="FDC_63_125" hidden="1">"#"</definedName>
    <definedName name="FDC_63_126" hidden="1">"#"</definedName>
    <definedName name="FDC_63_127" hidden="1">"#"</definedName>
    <definedName name="FDC_63_128" hidden="1">"#"</definedName>
    <definedName name="FDC_63_129" hidden="1">"#"</definedName>
    <definedName name="FDC_63_13" hidden="1">"#"</definedName>
    <definedName name="FDC_63_130" hidden="1">"#"</definedName>
    <definedName name="FDC_63_131" hidden="1">"#"</definedName>
    <definedName name="FDC_63_132" hidden="1">"#"</definedName>
    <definedName name="FDC_63_133" hidden="1">"#"</definedName>
    <definedName name="FDC_63_134" hidden="1">"#"</definedName>
    <definedName name="FDC_63_135" hidden="1">"#"</definedName>
    <definedName name="FDC_63_136" hidden="1">"#"</definedName>
    <definedName name="FDC_63_137" hidden="1">"#"</definedName>
    <definedName name="FDC_63_138" hidden="1">"#"</definedName>
    <definedName name="FDC_63_139" hidden="1">"#"</definedName>
    <definedName name="FDC_63_14" hidden="1">"#"</definedName>
    <definedName name="FDC_63_140" hidden="1">"#"</definedName>
    <definedName name="FDC_63_141" hidden="1">"#"</definedName>
    <definedName name="FDC_63_142" hidden="1">"#"</definedName>
    <definedName name="FDC_63_143" hidden="1">"#"</definedName>
    <definedName name="FDC_63_144" hidden="1">"#"</definedName>
    <definedName name="FDC_63_145" hidden="1">"#"</definedName>
    <definedName name="FDC_63_146" hidden="1">"#"</definedName>
    <definedName name="FDC_63_147" hidden="1">"#"</definedName>
    <definedName name="FDC_63_148" hidden="1">"#"</definedName>
    <definedName name="FDC_63_149" hidden="1">"#"</definedName>
    <definedName name="FDC_63_15" hidden="1">"#"</definedName>
    <definedName name="FDC_63_150" hidden="1">"#"</definedName>
    <definedName name="FDC_63_151" hidden="1">"#"</definedName>
    <definedName name="FDC_63_152" hidden="1">"#"</definedName>
    <definedName name="FDC_63_153" hidden="1">"#"</definedName>
    <definedName name="FDC_63_154" hidden="1">"#"</definedName>
    <definedName name="FDC_63_155" hidden="1">"#"</definedName>
    <definedName name="FDC_63_156" hidden="1">"#"</definedName>
    <definedName name="FDC_63_157" hidden="1">"#"</definedName>
    <definedName name="FDC_63_158" hidden="1">"#"</definedName>
    <definedName name="FDC_63_159" hidden="1">"#"</definedName>
    <definedName name="FDC_63_16" hidden="1">"#"</definedName>
    <definedName name="FDC_63_160" hidden="1">"#"</definedName>
    <definedName name="FDC_63_161" hidden="1">"#"</definedName>
    <definedName name="FDC_63_162" hidden="1">"#"</definedName>
    <definedName name="FDC_63_163" hidden="1">"#"</definedName>
    <definedName name="FDC_63_164" hidden="1">"#"</definedName>
    <definedName name="FDC_63_165" hidden="1">"#"</definedName>
    <definedName name="FDC_63_166" hidden="1">"#"</definedName>
    <definedName name="FDC_63_167" hidden="1">"#"</definedName>
    <definedName name="FDC_63_168" hidden="1">"#"</definedName>
    <definedName name="FDC_63_169" hidden="1">"#"</definedName>
    <definedName name="FDC_63_17" hidden="1">"#"</definedName>
    <definedName name="FDC_63_170" hidden="1">"#"</definedName>
    <definedName name="FDC_63_171" hidden="1">"#"</definedName>
    <definedName name="FDC_63_172" hidden="1">"#"</definedName>
    <definedName name="FDC_63_173" hidden="1">"#"</definedName>
    <definedName name="FDC_63_174" hidden="1">"#"</definedName>
    <definedName name="FDC_63_175" hidden="1">"#"</definedName>
    <definedName name="FDC_63_176" hidden="1">"#"</definedName>
    <definedName name="FDC_63_177" hidden="1">"#"</definedName>
    <definedName name="FDC_63_178" hidden="1">"#"</definedName>
    <definedName name="FDC_63_179" hidden="1">"#"</definedName>
    <definedName name="FDC_63_18" hidden="1">"#"</definedName>
    <definedName name="FDC_63_180" hidden="1">"#"</definedName>
    <definedName name="FDC_63_181" hidden="1">"#"</definedName>
    <definedName name="FDC_63_182" hidden="1">"#"</definedName>
    <definedName name="FDC_63_183" hidden="1">"#"</definedName>
    <definedName name="FDC_63_184" hidden="1">"#"</definedName>
    <definedName name="FDC_63_185" hidden="1">"#"</definedName>
    <definedName name="FDC_63_186" hidden="1">"#"</definedName>
    <definedName name="FDC_63_187" hidden="1">"#"</definedName>
    <definedName name="FDC_63_188" hidden="1">"#"</definedName>
    <definedName name="FDC_63_189" hidden="1">"#"</definedName>
    <definedName name="FDC_63_19" hidden="1">"#"</definedName>
    <definedName name="FDC_63_190" hidden="1">"#"</definedName>
    <definedName name="FDC_63_191" hidden="1">"#"</definedName>
    <definedName name="FDC_63_192" hidden="1">"#"</definedName>
    <definedName name="FDC_63_193" hidden="1">"#"</definedName>
    <definedName name="FDC_63_194" hidden="1">"#"</definedName>
    <definedName name="FDC_63_195" hidden="1">"#"</definedName>
    <definedName name="FDC_63_196" hidden="1">"#"</definedName>
    <definedName name="FDC_63_197" hidden="1">"#"</definedName>
    <definedName name="FDC_63_198" hidden="1">"#"</definedName>
    <definedName name="FDC_63_199" hidden="1">"#"</definedName>
    <definedName name="FDC_63_2" hidden="1">"#"</definedName>
    <definedName name="FDC_63_20" hidden="1">"#"</definedName>
    <definedName name="FDC_63_200" hidden="1">"#"</definedName>
    <definedName name="FDC_63_201" hidden="1">"#"</definedName>
    <definedName name="FDC_63_202" hidden="1">"#"</definedName>
    <definedName name="FDC_63_203" hidden="1">"#"</definedName>
    <definedName name="FDC_63_204" hidden="1">"#"</definedName>
    <definedName name="FDC_63_205" hidden="1">"#"</definedName>
    <definedName name="FDC_63_206" hidden="1">"#"</definedName>
    <definedName name="FDC_63_207" hidden="1">"#"</definedName>
    <definedName name="FDC_63_208" hidden="1">"#"</definedName>
    <definedName name="FDC_63_209" hidden="1">"#"</definedName>
    <definedName name="FDC_63_21" hidden="1">"#"</definedName>
    <definedName name="FDC_63_210" hidden="1">"#"</definedName>
    <definedName name="FDC_63_211" hidden="1">"#"</definedName>
    <definedName name="FDC_63_212" hidden="1">"#"</definedName>
    <definedName name="FDC_63_213" hidden="1">"#"</definedName>
    <definedName name="FDC_63_214" hidden="1">"#"</definedName>
    <definedName name="FDC_63_215" hidden="1">"#"</definedName>
    <definedName name="FDC_63_216" hidden="1">"#"</definedName>
    <definedName name="FDC_63_217" hidden="1">"#"</definedName>
    <definedName name="FDC_63_218" hidden="1">"#"</definedName>
    <definedName name="FDC_63_219" hidden="1">"#"</definedName>
    <definedName name="FDC_63_22" hidden="1">"#"</definedName>
    <definedName name="FDC_63_220" hidden="1">"#"</definedName>
    <definedName name="FDC_63_221" hidden="1">"#"</definedName>
    <definedName name="FDC_63_222" hidden="1">"#"</definedName>
    <definedName name="FDC_63_223" hidden="1">"#"</definedName>
    <definedName name="FDC_63_224" hidden="1">"#"</definedName>
    <definedName name="FDC_63_225" hidden="1">"#"</definedName>
    <definedName name="FDC_63_226" hidden="1">"#"</definedName>
    <definedName name="FDC_63_227" hidden="1">"#"</definedName>
    <definedName name="FDC_63_228" hidden="1">"#"</definedName>
    <definedName name="FDC_63_229" hidden="1">"#"</definedName>
    <definedName name="FDC_63_23" hidden="1">"#"</definedName>
    <definedName name="FDC_63_230" hidden="1">"#"</definedName>
    <definedName name="FDC_63_231" hidden="1">"#"</definedName>
    <definedName name="FDC_63_232" hidden="1">"#"</definedName>
    <definedName name="FDC_63_233" hidden="1">"#"</definedName>
    <definedName name="FDC_63_234" hidden="1">"#"</definedName>
    <definedName name="FDC_63_235" hidden="1">"#"</definedName>
    <definedName name="FDC_63_236" hidden="1">"#"</definedName>
    <definedName name="FDC_63_237" hidden="1">"#"</definedName>
    <definedName name="FDC_63_238" hidden="1">"#"</definedName>
    <definedName name="FDC_63_239" hidden="1">"#"</definedName>
    <definedName name="FDC_63_24" hidden="1">"#"</definedName>
    <definedName name="FDC_63_240" hidden="1">"#"</definedName>
    <definedName name="FDC_63_241" hidden="1">"#"</definedName>
    <definedName name="FDC_63_242" hidden="1">"#"</definedName>
    <definedName name="FDC_63_243" hidden="1">"#"</definedName>
    <definedName name="FDC_63_244" hidden="1">"#"</definedName>
    <definedName name="FDC_63_245" hidden="1">"#"</definedName>
    <definedName name="FDC_63_246" hidden="1">"#"</definedName>
    <definedName name="FDC_63_247" hidden="1">"#"</definedName>
    <definedName name="FDC_63_248" hidden="1">"#"</definedName>
    <definedName name="FDC_63_249" hidden="1">"#"</definedName>
    <definedName name="FDC_63_25" hidden="1">"#"</definedName>
    <definedName name="FDC_63_250" hidden="1">"#"</definedName>
    <definedName name="FDC_63_251" hidden="1">"#"</definedName>
    <definedName name="FDC_63_252" hidden="1">"#"</definedName>
    <definedName name="FDC_63_253" hidden="1">"#"</definedName>
    <definedName name="FDC_63_254" hidden="1">"#"</definedName>
    <definedName name="FDC_63_255" hidden="1">"#"</definedName>
    <definedName name="FDC_63_256" hidden="1">"#"</definedName>
    <definedName name="FDC_63_257" hidden="1">"#"</definedName>
    <definedName name="FDC_63_258" hidden="1">"#"</definedName>
    <definedName name="FDC_63_259" hidden="1">"#"</definedName>
    <definedName name="FDC_63_26" hidden="1">"#"</definedName>
    <definedName name="FDC_63_260" hidden="1">"#"</definedName>
    <definedName name="FDC_63_261" hidden="1">"#"</definedName>
    <definedName name="FDC_63_27" hidden="1">"#"</definedName>
    <definedName name="FDC_63_28" hidden="1">"#"</definedName>
    <definedName name="FDC_63_29" hidden="1">"#"</definedName>
    <definedName name="FDC_63_3" hidden="1">"#"</definedName>
    <definedName name="FDC_63_30" hidden="1">"#"</definedName>
    <definedName name="FDC_63_31" hidden="1">"#"</definedName>
    <definedName name="FDC_63_32" hidden="1">"#"</definedName>
    <definedName name="FDC_63_33" hidden="1">"#"</definedName>
    <definedName name="FDC_63_34" hidden="1">"#"</definedName>
    <definedName name="FDC_63_35" hidden="1">"#"</definedName>
    <definedName name="FDC_63_36" hidden="1">"#"</definedName>
    <definedName name="FDC_63_37" hidden="1">"#"</definedName>
    <definedName name="FDC_63_38" hidden="1">"#"</definedName>
    <definedName name="FDC_63_39" hidden="1">"#"</definedName>
    <definedName name="FDC_63_4" hidden="1">"#"</definedName>
    <definedName name="FDC_63_40" hidden="1">"#"</definedName>
    <definedName name="FDC_63_41" hidden="1">"#"</definedName>
    <definedName name="FDC_63_42" hidden="1">"#"</definedName>
    <definedName name="FDC_63_43" hidden="1">"#"</definedName>
    <definedName name="FDC_63_44" hidden="1">"#"</definedName>
    <definedName name="FDC_63_45" hidden="1">"#"</definedName>
    <definedName name="FDC_63_46" hidden="1">"#"</definedName>
    <definedName name="FDC_63_47" hidden="1">"#"</definedName>
    <definedName name="FDC_63_48" hidden="1">"#"</definedName>
    <definedName name="FDC_63_49" hidden="1">"#"</definedName>
    <definedName name="FDC_63_5" hidden="1">"#"</definedName>
    <definedName name="FDC_63_50" hidden="1">"#"</definedName>
    <definedName name="FDC_63_51" hidden="1">"#"</definedName>
    <definedName name="FDC_63_52" hidden="1">"#"</definedName>
    <definedName name="FDC_63_53" hidden="1">"#"</definedName>
    <definedName name="FDC_63_54" hidden="1">"#"</definedName>
    <definedName name="FDC_63_55" hidden="1">"#"</definedName>
    <definedName name="FDC_63_56" hidden="1">"#"</definedName>
    <definedName name="FDC_63_57" hidden="1">"#"</definedName>
    <definedName name="FDC_63_58" hidden="1">"#"</definedName>
    <definedName name="FDC_63_59" hidden="1">"#"</definedName>
    <definedName name="FDC_63_6" hidden="1">"#"</definedName>
    <definedName name="FDC_63_60" hidden="1">"#"</definedName>
    <definedName name="FDC_63_61" hidden="1">"#"</definedName>
    <definedName name="FDC_63_62" hidden="1">"#"</definedName>
    <definedName name="FDC_63_63" hidden="1">"#"</definedName>
    <definedName name="FDC_63_64" hidden="1">"#"</definedName>
    <definedName name="FDC_63_65" hidden="1">"#"</definedName>
    <definedName name="FDC_63_66" hidden="1">"#"</definedName>
    <definedName name="FDC_63_67" hidden="1">"#"</definedName>
    <definedName name="FDC_63_68" hidden="1">"#"</definedName>
    <definedName name="FDC_63_69" hidden="1">"#"</definedName>
    <definedName name="FDC_63_7" hidden="1">"#"</definedName>
    <definedName name="FDC_63_70" hidden="1">"#"</definedName>
    <definedName name="FDC_63_71" hidden="1">"#"</definedName>
    <definedName name="FDC_63_72" hidden="1">"#"</definedName>
    <definedName name="FDC_63_73" hidden="1">"#"</definedName>
    <definedName name="FDC_63_74" hidden="1">"#"</definedName>
    <definedName name="FDC_63_75" hidden="1">"#"</definedName>
    <definedName name="FDC_63_76" hidden="1">"#"</definedName>
    <definedName name="FDC_63_77" hidden="1">"#"</definedName>
    <definedName name="FDC_63_78" hidden="1">"#"</definedName>
    <definedName name="FDC_63_79" hidden="1">"#"</definedName>
    <definedName name="FDC_63_8" hidden="1">"#"</definedName>
    <definedName name="FDC_63_80" hidden="1">"#"</definedName>
    <definedName name="FDC_63_81" hidden="1">"#"</definedName>
    <definedName name="FDC_63_82" hidden="1">"#"</definedName>
    <definedName name="FDC_63_83" hidden="1">"#"</definedName>
    <definedName name="FDC_63_84" hidden="1">"#"</definedName>
    <definedName name="FDC_63_85" hidden="1">"#"</definedName>
    <definedName name="FDC_63_86" hidden="1">"#"</definedName>
    <definedName name="FDC_63_87" hidden="1">"#"</definedName>
    <definedName name="FDC_63_88" hidden="1">"#"</definedName>
    <definedName name="FDC_63_89" hidden="1">"#"</definedName>
    <definedName name="FDC_63_9" hidden="1">"#"</definedName>
    <definedName name="FDC_63_90" hidden="1">"#"</definedName>
    <definedName name="FDC_63_91" hidden="1">"#"</definedName>
    <definedName name="FDC_63_92" hidden="1">"#"</definedName>
    <definedName name="FDC_63_93" hidden="1">"#"</definedName>
    <definedName name="FDC_63_94" hidden="1">"#"</definedName>
    <definedName name="FDC_63_95" hidden="1">"#"</definedName>
    <definedName name="FDC_63_96" hidden="1">"#"</definedName>
    <definedName name="FDC_63_97" hidden="1">"#"</definedName>
    <definedName name="FDC_63_98" hidden="1">"#"</definedName>
    <definedName name="FDC_63_99" hidden="1">"#"</definedName>
    <definedName name="FDC_64_0" hidden="1">"#"</definedName>
    <definedName name="FDC_64_1" hidden="1">"#"</definedName>
    <definedName name="FDC_64_10" hidden="1">"#"</definedName>
    <definedName name="FDC_64_100" hidden="1">"#"</definedName>
    <definedName name="FDC_64_101" hidden="1">"#"</definedName>
    <definedName name="FDC_64_102" hidden="1">"#"</definedName>
    <definedName name="FDC_64_103" hidden="1">"#"</definedName>
    <definedName name="FDC_64_104" hidden="1">"#"</definedName>
    <definedName name="FDC_64_105" hidden="1">"#"</definedName>
    <definedName name="FDC_64_106" hidden="1">"#"</definedName>
    <definedName name="FDC_64_107" hidden="1">"#"</definedName>
    <definedName name="FDC_64_108" hidden="1">"#"</definedName>
    <definedName name="FDC_64_109" hidden="1">"#"</definedName>
    <definedName name="FDC_64_11" hidden="1">"#"</definedName>
    <definedName name="FDC_64_110" hidden="1">"#"</definedName>
    <definedName name="FDC_64_111" hidden="1">"#"</definedName>
    <definedName name="FDC_64_112" hidden="1">"#"</definedName>
    <definedName name="FDC_64_113" hidden="1">"#"</definedName>
    <definedName name="FDC_64_114" hidden="1">"#"</definedName>
    <definedName name="FDC_64_115" hidden="1">"#"</definedName>
    <definedName name="FDC_64_116" hidden="1">"#"</definedName>
    <definedName name="FDC_64_117" hidden="1">"#"</definedName>
    <definedName name="FDC_64_118" hidden="1">"#"</definedName>
    <definedName name="FDC_64_119" hidden="1">"#"</definedName>
    <definedName name="FDC_64_12" hidden="1">"#"</definedName>
    <definedName name="FDC_64_120" hidden="1">"#"</definedName>
    <definedName name="FDC_64_121" hidden="1">"#"</definedName>
    <definedName name="FDC_64_122" hidden="1">"#"</definedName>
    <definedName name="FDC_64_123" hidden="1">"#"</definedName>
    <definedName name="FDC_64_124" hidden="1">"#"</definedName>
    <definedName name="FDC_64_125" hidden="1">"#"</definedName>
    <definedName name="FDC_64_126" hidden="1">"#"</definedName>
    <definedName name="FDC_64_127" hidden="1">"#"</definedName>
    <definedName name="FDC_64_128" hidden="1">"#"</definedName>
    <definedName name="FDC_64_129" hidden="1">"#"</definedName>
    <definedName name="FDC_64_13" hidden="1">"#"</definedName>
    <definedName name="FDC_64_130" hidden="1">"#"</definedName>
    <definedName name="FDC_64_131" hidden="1">"#"</definedName>
    <definedName name="FDC_64_132" hidden="1">"#"</definedName>
    <definedName name="FDC_64_133" hidden="1">"#"</definedName>
    <definedName name="FDC_64_134" hidden="1">"#"</definedName>
    <definedName name="FDC_64_135" hidden="1">"#"</definedName>
    <definedName name="FDC_64_136" hidden="1">"#"</definedName>
    <definedName name="FDC_64_137" hidden="1">"#"</definedName>
    <definedName name="FDC_64_138" hidden="1">"#"</definedName>
    <definedName name="FDC_64_139" hidden="1">"#"</definedName>
    <definedName name="FDC_64_14" hidden="1">"#"</definedName>
    <definedName name="FDC_64_140" hidden="1">"#"</definedName>
    <definedName name="FDC_64_141" hidden="1">"#"</definedName>
    <definedName name="FDC_64_142" hidden="1">"#"</definedName>
    <definedName name="FDC_64_143" hidden="1">"#"</definedName>
    <definedName name="FDC_64_144" hidden="1">"#"</definedName>
    <definedName name="FDC_64_145" hidden="1">"#"</definedName>
    <definedName name="FDC_64_146" hidden="1">"#"</definedName>
    <definedName name="FDC_64_147" hidden="1">"#"</definedName>
    <definedName name="FDC_64_148" hidden="1">"#"</definedName>
    <definedName name="FDC_64_149" hidden="1">"#"</definedName>
    <definedName name="FDC_64_15" hidden="1">"#"</definedName>
    <definedName name="FDC_64_150" hidden="1">"#"</definedName>
    <definedName name="FDC_64_151" hidden="1">"#"</definedName>
    <definedName name="FDC_64_152" hidden="1">"#"</definedName>
    <definedName name="FDC_64_153" hidden="1">"#"</definedName>
    <definedName name="FDC_64_154" hidden="1">"#"</definedName>
    <definedName name="FDC_64_155" hidden="1">"#"</definedName>
    <definedName name="FDC_64_156" hidden="1">"#"</definedName>
    <definedName name="FDC_64_157" hidden="1">"#"</definedName>
    <definedName name="FDC_64_158" hidden="1">"#"</definedName>
    <definedName name="FDC_64_159" hidden="1">"#"</definedName>
    <definedName name="FDC_64_16" hidden="1">"#"</definedName>
    <definedName name="FDC_64_160" hidden="1">"#"</definedName>
    <definedName name="FDC_64_161" hidden="1">"#"</definedName>
    <definedName name="FDC_64_162" hidden="1">"#"</definedName>
    <definedName name="FDC_64_163" hidden="1">"#"</definedName>
    <definedName name="FDC_64_164" hidden="1">"#"</definedName>
    <definedName name="FDC_64_165" hidden="1">"#"</definedName>
    <definedName name="FDC_64_166" hidden="1">"#"</definedName>
    <definedName name="FDC_64_167" hidden="1">"#"</definedName>
    <definedName name="FDC_64_168" hidden="1">"#"</definedName>
    <definedName name="FDC_64_169" hidden="1">"#"</definedName>
    <definedName name="FDC_64_17" hidden="1">"#"</definedName>
    <definedName name="FDC_64_170" hidden="1">"#"</definedName>
    <definedName name="FDC_64_171" hidden="1">"#"</definedName>
    <definedName name="FDC_64_172" hidden="1">"#"</definedName>
    <definedName name="FDC_64_173" hidden="1">"#"</definedName>
    <definedName name="FDC_64_174" hidden="1">"#"</definedName>
    <definedName name="FDC_64_175" hidden="1">"#"</definedName>
    <definedName name="FDC_64_176" hidden="1">"#"</definedName>
    <definedName name="FDC_64_177" hidden="1">"#"</definedName>
    <definedName name="FDC_64_178" hidden="1">"#"</definedName>
    <definedName name="FDC_64_179" hidden="1">"#"</definedName>
    <definedName name="FDC_64_18" hidden="1">"#"</definedName>
    <definedName name="FDC_64_180" hidden="1">"#"</definedName>
    <definedName name="FDC_64_181" hidden="1">"#"</definedName>
    <definedName name="FDC_64_182" hidden="1">"#"</definedName>
    <definedName name="FDC_64_183" hidden="1">"#"</definedName>
    <definedName name="FDC_64_184" hidden="1">"#"</definedName>
    <definedName name="FDC_64_185" hidden="1">"#"</definedName>
    <definedName name="FDC_64_186" hidden="1">"#"</definedName>
    <definedName name="FDC_64_187" hidden="1">"#"</definedName>
    <definedName name="FDC_64_188" hidden="1">"#"</definedName>
    <definedName name="FDC_64_189" hidden="1">"#"</definedName>
    <definedName name="FDC_64_19" hidden="1">"#"</definedName>
    <definedName name="FDC_64_190" hidden="1">"#"</definedName>
    <definedName name="FDC_64_191" hidden="1">"#"</definedName>
    <definedName name="FDC_64_192" hidden="1">"#"</definedName>
    <definedName name="FDC_64_193" hidden="1">"#"</definedName>
    <definedName name="FDC_64_194" hidden="1">"#"</definedName>
    <definedName name="FDC_64_195" hidden="1">"#"</definedName>
    <definedName name="FDC_64_196" hidden="1">"#"</definedName>
    <definedName name="FDC_64_197" hidden="1">"#"</definedName>
    <definedName name="FDC_64_198" hidden="1">"#"</definedName>
    <definedName name="FDC_64_199" hidden="1">"#"</definedName>
    <definedName name="FDC_64_2" hidden="1">"#"</definedName>
    <definedName name="FDC_64_20" hidden="1">"#"</definedName>
    <definedName name="FDC_64_200" hidden="1">"#"</definedName>
    <definedName name="FDC_64_201" hidden="1">"#"</definedName>
    <definedName name="FDC_64_202" hidden="1">"#"</definedName>
    <definedName name="FDC_64_203" hidden="1">"#"</definedName>
    <definedName name="FDC_64_204" hidden="1">"#"</definedName>
    <definedName name="FDC_64_205" hidden="1">"#"</definedName>
    <definedName name="FDC_64_206" hidden="1">"#"</definedName>
    <definedName name="FDC_64_207" hidden="1">"#"</definedName>
    <definedName name="FDC_64_208" hidden="1">"#"</definedName>
    <definedName name="FDC_64_209" hidden="1">"#"</definedName>
    <definedName name="FDC_64_21" hidden="1">"#"</definedName>
    <definedName name="FDC_64_210" hidden="1">"#"</definedName>
    <definedName name="FDC_64_211" hidden="1">"#"</definedName>
    <definedName name="FDC_64_212" hidden="1">"#"</definedName>
    <definedName name="FDC_64_213" hidden="1">"#"</definedName>
    <definedName name="FDC_64_214" hidden="1">"#"</definedName>
    <definedName name="FDC_64_215" hidden="1">"#"</definedName>
    <definedName name="FDC_64_216" hidden="1">"#"</definedName>
    <definedName name="FDC_64_217" hidden="1">"#"</definedName>
    <definedName name="FDC_64_218" hidden="1">"#"</definedName>
    <definedName name="FDC_64_219" hidden="1">"#"</definedName>
    <definedName name="FDC_64_22" hidden="1">"#"</definedName>
    <definedName name="FDC_64_220" hidden="1">"#"</definedName>
    <definedName name="FDC_64_221" hidden="1">"#"</definedName>
    <definedName name="FDC_64_222" hidden="1">"#"</definedName>
    <definedName name="FDC_64_223" hidden="1">"#"</definedName>
    <definedName name="FDC_64_224" hidden="1">"#"</definedName>
    <definedName name="FDC_64_225" hidden="1">"#"</definedName>
    <definedName name="FDC_64_226" hidden="1">"#"</definedName>
    <definedName name="FDC_64_227" hidden="1">"#"</definedName>
    <definedName name="FDC_64_228" hidden="1">"#"</definedName>
    <definedName name="FDC_64_229" hidden="1">"#"</definedName>
    <definedName name="FDC_64_23" hidden="1">"#"</definedName>
    <definedName name="FDC_64_230" hidden="1">"#"</definedName>
    <definedName name="FDC_64_231" hidden="1">"#"</definedName>
    <definedName name="FDC_64_232" hidden="1">"#"</definedName>
    <definedName name="FDC_64_233" hidden="1">"#"</definedName>
    <definedName name="FDC_64_234" hidden="1">"#"</definedName>
    <definedName name="FDC_64_235" hidden="1">"#"</definedName>
    <definedName name="FDC_64_236" hidden="1">"#"</definedName>
    <definedName name="FDC_64_237" hidden="1">"#"</definedName>
    <definedName name="FDC_64_238" hidden="1">"#"</definedName>
    <definedName name="FDC_64_239" hidden="1">"#"</definedName>
    <definedName name="FDC_64_24" hidden="1">"#"</definedName>
    <definedName name="FDC_64_240" hidden="1">"#"</definedName>
    <definedName name="FDC_64_241" hidden="1">"#"</definedName>
    <definedName name="FDC_64_242" hidden="1">"#"</definedName>
    <definedName name="FDC_64_243" hidden="1">"#"</definedName>
    <definedName name="FDC_64_244" hidden="1">"#"</definedName>
    <definedName name="FDC_64_245" hidden="1">"#"</definedName>
    <definedName name="FDC_64_246" hidden="1">"#"</definedName>
    <definedName name="FDC_64_247" hidden="1">"#"</definedName>
    <definedName name="FDC_64_248" hidden="1">"#"</definedName>
    <definedName name="FDC_64_249" hidden="1">"#"</definedName>
    <definedName name="FDC_64_25" hidden="1">"#"</definedName>
    <definedName name="FDC_64_250" hidden="1">"#"</definedName>
    <definedName name="FDC_64_251" hidden="1">"#"</definedName>
    <definedName name="FDC_64_252" hidden="1">"#"</definedName>
    <definedName name="FDC_64_253" hidden="1">"#"</definedName>
    <definedName name="FDC_64_254" hidden="1">"#"</definedName>
    <definedName name="FDC_64_255" hidden="1">"#"</definedName>
    <definedName name="FDC_64_256" hidden="1">"#"</definedName>
    <definedName name="FDC_64_257" hidden="1">"#"</definedName>
    <definedName name="FDC_64_258" hidden="1">"#"</definedName>
    <definedName name="FDC_64_259" hidden="1">"#"</definedName>
    <definedName name="FDC_64_26" hidden="1">"#"</definedName>
    <definedName name="FDC_64_260" hidden="1">"#"</definedName>
    <definedName name="FDC_64_261" hidden="1">"#"</definedName>
    <definedName name="FDC_64_27" hidden="1">"#"</definedName>
    <definedName name="FDC_64_28" hidden="1">"#"</definedName>
    <definedName name="FDC_64_29" hidden="1">"#"</definedName>
    <definedName name="FDC_64_3" hidden="1">"#"</definedName>
    <definedName name="FDC_64_30" hidden="1">"#"</definedName>
    <definedName name="FDC_64_31" hidden="1">"#"</definedName>
    <definedName name="FDC_64_32" hidden="1">"#"</definedName>
    <definedName name="FDC_64_33" hidden="1">"#"</definedName>
    <definedName name="FDC_64_34" hidden="1">"#"</definedName>
    <definedName name="FDC_64_35" hidden="1">"#"</definedName>
    <definedName name="FDC_64_36" hidden="1">"#"</definedName>
    <definedName name="FDC_64_37" hidden="1">"#"</definedName>
    <definedName name="FDC_64_38" hidden="1">"#"</definedName>
    <definedName name="FDC_64_39" hidden="1">"#"</definedName>
    <definedName name="FDC_64_4" hidden="1">"#"</definedName>
    <definedName name="FDC_64_40" hidden="1">"#"</definedName>
    <definedName name="FDC_64_41" hidden="1">"#"</definedName>
    <definedName name="FDC_64_42" hidden="1">"#"</definedName>
    <definedName name="FDC_64_43" hidden="1">"#"</definedName>
    <definedName name="FDC_64_44" hidden="1">"#"</definedName>
    <definedName name="FDC_64_45" hidden="1">"#"</definedName>
    <definedName name="FDC_64_46" hidden="1">"#"</definedName>
    <definedName name="FDC_64_47" hidden="1">"#"</definedName>
    <definedName name="FDC_64_48" hidden="1">"#"</definedName>
    <definedName name="FDC_64_49" hidden="1">"#"</definedName>
    <definedName name="FDC_64_5" hidden="1">"#"</definedName>
    <definedName name="FDC_64_50" hidden="1">"#"</definedName>
    <definedName name="FDC_64_51" hidden="1">"#"</definedName>
    <definedName name="FDC_64_52" hidden="1">"#"</definedName>
    <definedName name="FDC_64_53" hidden="1">"#"</definedName>
    <definedName name="FDC_64_54" hidden="1">"#"</definedName>
    <definedName name="FDC_64_55" hidden="1">"#"</definedName>
    <definedName name="FDC_64_56" hidden="1">"#"</definedName>
    <definedName name="FDC_64_57" hidden="1">"#"</definedName>
    <definedName name="FDC_64_58" hidden="1">"#"</definedName>
    <definedName name="FDC_64_59" hidden="1">"#"</definedName>
    <definedName name="FDC_64_6" hidden="1">"#"</definedName>
    <definedName name="FDC_64_60" hidden="1">"#"</definedName>
    <definedName name="FDC_64_61" hidden="1">"#"</definedName>
    <definedName name="FDC_64_62" hidden="1">"#"</definedName>
    <definedName name="FDC_64_63" hidden="1">"#"</definedName>
    <definedName name="FDC_64_64" hidden="1">"#"</definedName>
    <definedName name="FDC_64_65" hidden="1">"#"</definedName>
    <definedName name="FDC_64_66" hidden="1">"#"</definedName>
    <definedName name="FDC_64_67" hidden="1">"#"</definedName>
    <definedName name="FDC_64_68" hidden="1">"#"</definedName>
    <definedName name="FDC_64_69" hidden="1">"#"</definedName>
    <definedName name="FDC_64_7" hidden="1">"#"</definedName>
    <definedName name="FDC_64_70" hidden="1">"#"</definedName>
    <definedName name="FDC_64_71" hidden="1">"#"</definedName>
    <definedName name="FDC_64_72" hidden="1">"#"</definedName>
    <definedName name="FDC_64_73" hidden="1">"#"</definedName>
    <definedName name="FDC_64_74" hidden="1">"#"</definedName>
    <definedName name="FDC_64_75" hidden="1">"#"</definedName>
    <definedName name="FDC_64_76" hidden="1">"#"</definedName>
    <definedName name="FDC_64_77" hidden="1">"#"</definedName>
    <definedName name="FDC_64_78" hidden="1">"#"</definedName>
    <definedName name="FDC_64_79" hidden="1">"#"</definedName>
    <definedName name="FDC_64_8" hidden="1">"#"</definedName>
    <definedName name="FDC_64_80" hidden="1">"#"</definedName>
    <definedName name="FDC_64_81" hidden="1">"#"</definedName>
    <definedName name="FDC_64_82" hidden="1">"#"</definedName>
    <definedName name="FDC_64_83" hidden="1">"#"</definedName>
    <definedName name="FDC_64_84" hidden="1">"#"</definedName>
    <definedName name="FDC_64_85" hidden="1">"#"</definedName>
    <definedName name="FDC_64_86" hidden="1">"#"</definedName>
    <definedName name="FDC_64_87" hidden="1">"#"</definedName>
    <definedName name="FDC_64_88" hidden="1">"#"</definedName>
    <definedName name="FDC_64_89" hidden="1">"#"</definedName>
    <definedName name="FDC_64_9" hidden="1">"#"</definedName>
    <definedName name="FDC_64_90" hidden="1">"#"</definedName>
    <definedName name="FDC_64_91" hidden="1">"#"</definedName>
    <definedName name="FDC_64_92" hidden="1">"#"</definedName>
    <definedName name="FDC_64_93" hidden="1">"#"</definedName>
    <definedName name="FDC_64_94" hidden="1">"#"</definedName>
    <definedName name="FDC_64_95" hidden="1">"#"</definedName>
    <definedName name="FDC_64_96" hidden="1">"#"</definedName>
    <definedName name="FDC_64_97" hidden="1">"#"</definedName>
    <definedName name="FDC_64_98" hidden="1">"#"</definedName>
    <definedName name="FDC_64_99" hidden="1">"#"</definedName>
    <definedName name="FDC_65_0" hidden="1">"#"</definedName>
    <definedName name="FDC_7_0" hidden="1">"#"</definedName>
    <definedName name="FDC_7_1" hidden="1">"#"</definedName>
    <definedName name="FDC_7_2" hidden="1">"#"</definedName>
    <definedName name="FDC_7_3" hidden="1">"#"</definedName>
    <definedName name="FDC_8_0" hidden="1">"#"</definedName>
    <definedName name="FDC_8_1" hidden="1">"#"</definedName>
    <definedName name="FDC_8_2" hidden="1">"#"</definedName>
    <definedName name="FDC_8_3" hidden="1">"#"</definedName>
    <definedName name="FDC_9_0" hidden="1">"#"</definedName>
    <definedName name="FDC_9_1" hidden="1">"#"</definedName>
    <definedName name="FDC_9_2" hidden="1">"#"</definedName>
    <definedName name="FDC_9_3" hidden="1">"#"</definedName>
    <definedName name="FDD_0_0" hidden="1">"A30681"</definedName>
    <definedName name="FDD_0_1" hidden="1">"A31047"</definedName>
    <definedName name="FDD_0_10" hidden="1">"A34334"</definedName>
    <definedName name="FDD_0_11" hidden="1">"A34699"</definedName>
    <definedName name="FDD_0_12" hidden="1">"A35064"</definedName>
    <definedName name="FDD_0_13" hidden="1">"A35430"</definedName>
    <definedName name="FDD_0_14" hidden="1">"A35795"</definedName>
    <definedName name="FDD_0_2" hidden="1">"A31412"</definedName>
    <definedName name="FDD_0_3" hidden="1">"A31777"</definedName>
    <definedName name="FDD_0_4" hidden="1">"A32142"</definedName>
    <definedName name="FDD_0_5" hidden="1">"A32508"</definedName>
    <definedName name="FDD_0_6" hidden="1">"A32873"</definedName>
    <definedName name="FDD_0_7" hidden="1">"A33238"</definedName>
    <definedName name="FDD_0_8" hidden="1">"A33603"</definedName>
    <definedName name="FDD_0_9" hidden="1">"A33969"</definedName>
    <definedName name="FDD_1_0" hidden="1">"U25569"</definedName>
    <definedName name="FDD_10_0" hidden="1">"A25569"</definedName>
    <definedName name="FDD_10_1" hidden="1">"A35795"</definedName>
    <definedName name="FDD_10_2" hidden="1">"A36160"</definedName>
    <definedName name="FDD_10_3" hidden="1">"E36525"</definedName>
    <definedName name="FDD_100_0" hidden="1">"A25569"</definedName>
    <definedName name="FDD_101_0" hidden="1">"A25569"</definedName>
    <definedName name="FDD_102_0" hidden="1">"A25569"</definedName>
    <definedName name="FDD_103_0" hidden="1">"A25569"</definedName>
    <definedName name="FDD_104_0" hidden="1">"A25569"</definedName>
    <definedName name="FDD_105_0" hidden="1">"A25569"</definedName>
    <definedName name="FDD_106_0" hidden="1">"A25569"</definedName>
    <definedName name="FDD_107_0" hidden="1">"A25569"</definedName>
    <definedName name="FDD_108_0" hidden="1">"A25569"</definedName>
    <definedName name="FDD_109_0" hidden="1">"A25569"</definedName>
    <definedName name="FDD_11_0" hidden="1">"A25569"</definedName>
    <definedName name="FDD_11_1" hidden="1">"E35795"</definedName>
    <definedName name="FDD_11_2" hidden="1">"E36160"</definedName>
    <definedName name="FDD_11_3" hidden="1">"E36525"</definedName>
    <definedName name="FDD_110_0" hidden="1">"A25569"</definedName>
    <definedName name="FDD_111_0" hidden="1">"A25569"</definedName>
    <definedName name="FDD_112_0" hidden="1">"A25569"</definedName>
    <definedName name="FDD_113_0" hidden="1">"A25569"</definedName>
    <definedName name="FDD_114_0" hidden="1">"A25569"</definedName>
    <definedName name="FDD_115_0" hidden="1">"A25569"</definedName>
    <definedName name="FDD_116_0" hidden="1">"A25569"</definedName>
    <definedName name="FDD_117_0" hidden="1">"A30681"</definedName>
    <definedName name="FDD_117_1" hidden="1">"A31047"</definedName>
    <definedName name="FDD_117_10" hidden="1">"A34334"</definedName>
    <definedName name="FDD_117_11" hidden="1">"A34699"</definedName>
    <definedName name="FDD_117_12" hidden="1">"A35064"</definedName>
    <definedName name="FDD_117_13" hidden="1">"A35430"</definedName>
    <definedName name="FDD_117_14" hidden="1">"A35795"</definedName>
    <definedName name="FDD_117_2" hidden="1">"A31412"</definedName>
    <definedName name="FDD_117_3" hidden="1">"A31777"</definedName>
    <definedName name="FDD_117_4" hidden="1">"A32142"</definedName>
    <definedName name="FDD_117_5" hidden="1">"A32508"</definedName>
    <definedName name="FDD_117_6" hidden="1">"A32873"</definedName>
    <definedName name="FDD_117_7" hidden="1">"A33238"</definedName>
    <definedName name="FDD_117_8" hidden="1">"A33603"</definedName>
    <definedName name="FDD_117_9" hidden="1">"A33969"</definedName>
    <definedName name="FDD_118_0" hidden="1">"A30681"</definedName>
    <definedName name="FDD_118_1" hidden="1">"A31047"</definedName>
    <definedName name="FDD_118_10" hidden="1">"A34334"</definedName>
    <definedName name="FDD_118_11" hidden="1">"A34699"</definedName>
    <definedName name="FDD_118_12" hidden="1">"A35064"</definedName>
    <definedName name="FDD_118_13" hidden="1">"A35430"</definedName>
    <definedName name="FDD_118_14" hidden="1">"A35795"</definedName>
    <definedName name="FDD_118_2" hidden="1">"A31412"</definedName>
    <definedName name="FDD_118_3" hidden="1">"A31777"</definedName>
    <definedName name="FDD_118_4" hidden="1">"A32142"</definedName>
    <definedName name="FDD_118_5" hidden="1">"A32508"</definedName>
    <definedName name="FDD_118_6" hidden="1">"A32873"</definedName>
    <definedName name="FDD_118_7" hidden="1">"A33238"</definedName>
    <definedName name="FDD_118_8" hidden="1">"A33603"</definedName>
    <definedName name="FDD_118_9" hidden="1">"A33969"</definedName>
    <definedName name="FDD_119_0" hidden="1">"A30681"</definedName>
    <definedName name="FDD_119_1" hidden="1">"A31047"</definedName>
    <definedName name="FDD_119_10" hidden="1">"A34334"</definedName>
    <definedName name="FDD_119_11" hidden="1">"A34699"</definedName>
    <definedName name="FDD_119_12" hidden="1">"A35064"</definedName>
    <definedName name="FDD_119_13" hidden="1">"A35430"</definedName>
    <definedName name="FDD_119_14" hidden="1">"A35795"</definedName>
    <definedName name="FDD_119_2" hidden="1">"A31412"</definedName>
    <definedName name="FDD_119_3" hidden="1">"A31777"</definedName>
    <definedName name="FDD_119_4" hidden="1">"A32142"</definedName>
    <definedName name="FDD_119_5" hidden="1">"A32508"</definedName>
    <definedName name="FDD_119_6" hidden="1">"A32873"</definedName>
    <definedName name="FDD_119_7" hidden="1">"A33238"</definedName>
    <definedName name="FDD_119_8" hidden="1">"A33603"</definedName>
    <definedName name="FDD_119_9" hidden="1">"A33969"</definedName>
    <definedName name="FDD_12_0" hidden="1">"A25569"</definedName>
    <definedName name="FDD_12_1" hidden="1">"E35795"</definedName>
    <definedName name="FDD_12_2" hidden="1">"E36160"</definedName>
    <definedName name="FDD_12_3" hidden="1">"E36525"</definedName>
    <definedName name="FDD_120_0" hidden="1">"A30681"</definedName>
    <definedName name="FDD_120_1" hidden="1">"A31047"</definedName>
    <definedName name="FDD_120_10" hidden="1">"A34334"</definedName>
    <definedName name="FDD_120_11" hidden="1">"A34699"</definedName>
    <definedName name="FDD_120_12" hidden="1">"A35064"</definedName>
    <definedName name="FDD_120_13" hidden="1">"A35430"</definedName>
    <definedName name="FDD_120_14" hidden="1">"A35795"</definedName>
    <definedName name="FDD_120_2" hidden="1">"A31412"</definedName>
    <definedName name="FDD_120_3" hidden="1">"A31777"</definedName>
    <definedName name="FDD_120_4" hidden="1">"A32142"</definedName>
    <definedName name="FDD_120_5" hidden="1">"A32508"</definedName>
    <definedName name="FDD_120_6" hidden="1">"A32873"</definedName>
    <definedName name="FDD_120_7" hidden="1">"A33238"</definedName>
    <definedName name="FDD_120_8" hidden="1">"A33603"</definedName>
    <definedName name="FDD_120_9" hidden="1">"A33969"</definedName>
    <definedName name="FDD_121_0" hidden="1">"A30681"</definedName>
    <definedName name="FDD_121_1" hidden="1">"A31047"</definedName>
    <definedName name="FDD_121_10" hidden="1">"A34334"</definedName>
    <definedName name="FDD_121_11" hidden="1">"A34699"</definedName>
    <definedName name="FDD_121_12" hidden="1">"A35064"</definedName>
    <definedName name="FDD_121_13" hidden="1">"A35430"</definedName>
    <definedName name="FDD_121_14" hidden="1">"A35795"</definedName>
    <definedName name="FDD_121_2" hidden="1">"A31412"</definedName>
    <definedName name="FDD_121_3" hidden="1">"A31777"</definedName>
    <definedName name="FDD_121_4" hidden="1">"A32142"</definedName>
    <definedName name="FDD_121_5" hidden="1">"A32508"</definedName>
    <definedName name="FDD_121_6" hidden="1">"A32873"</definedName>
    <definedName name="FDD_121_7" hidden="1">"A33238"</definedName>
    <definedName name="FDD_121_8" hidden="1">"A33603"</definedName>
    <definedName name="FDD_121_9" hidden="1">"A33969"</definedName>
    <definedName name="FDD_122_0" hidden="1">"A30681"</definedName>
    <definedName name="FDD_122_1" hidden="1">"A31047"</definedName>
    <definedName name="FDD_122_10" hidden="1">"A34334"</definedName>
    <definedName name="FDD_122_11" hidden="1">"A34699"</definedName>
    <definedName name="FDD_122_12" hidden="1">"A35064"</definedName>
    <definedName name="FDD_122_13" hidden="1">"A35430"</definedName>
    <definedName name="FDD_122_14" hidden="1">"A35795"</definedName>
    <definedName name="FDD_122_2" hidden="1">"A31412"</definedName>
    <definedName name="FDD_122_3" hidden="1">"A31777"</definedName>
    <definedName name="FDD_122_4" hidden="1">"A32142"</definedName>
    <definedName name="FDD_122_5" hidden="1">"A32508"</definedName>
    <definedName name="FDD_122_6" hidden="1">"A32873"</definedName>
    <definedName name="FDD_122_7" hidden="1">"A33238"</definedName>
    <definedName name="FDD_122_8" hidden="1">"A33603"</definedName>
    <definedName name="FDD_122_9" hidden="1">"A33969"</definedName>
    <definedName name="FDD_123_0" hidden="1">"A30681"</definedName>
    <definedName name="FDD_123_1" hidden="1">"A31047"</definedName>
    <definedName name="FDD_123_10" hidden="1">"A34334"</definedName>
    <definedName name="FDD_123_11" hidden="1">"A34699"</definedName>
    <definedName name="FDD_123_12" hidden="1">"A35064"</definedName>
    <definedName name="FDD_123_13" hidden="1">"A35430"</definedName>
    <definedName name="FDD_123_14" hidden="1">"A35795"</definedName>
    <definedName name="FDD_123_2" hidden="1">"A31412"</definedName>
    <definedName name="FDD_123_3" hidden="1">"A31777"</definedName>
    <definedName name="FDD_123_4" hidden="1">"A32142"</definedName>
    <definedName name="FDD_123_5" hidden="1">"A32508"</definedName>
    <definedName name="FDD_123_6" hidden="1">"A32873"</definedName>
    <definedName name="FDD_123_7" hidden="1">"A33238"</definedName>
    <definedName name="FDD_123_8" hidden="1">"A33603"</definedName>
    <definedName name="FDD_123_9" hidden="1">"A33969"</definedName>
    <definedName name="FDD_124_0" hidden="1">"A30681"</definedName>
    <definedName name="FDD_124_1" hidden="1">"A31047"</definedName>
    <definedName name="FDD_124_10" hidden="1">"A34334"</definedName>
    <definedName name="FDD_124_11" hidden="1">"A34699"</definedName>
    <definedName name="FDD_124_12" hidden="1">"A35064"</definedName>
    <definedName name="FDD_124_13" hidden="1">"A35430"</definedName>
    <definedName name="FDD_124_14" hidden="1">"A35795"</definedName>
    <definedName name="FDD_124_2" hidden="1">"A31412"</definedName>
    <definedName name="FDD_124_3" hidden="1">"A31777"</definedName>
    <definedName name="FDD_124_4" hidden="1">"A32142"</definedName>
    <definedName name="FDD_124_5" hidden="1">"A32508"</definedName>
    <definedName name="FDD_124_6" hidden="1">"A32873"</definedName>
    <definedName name="FDD_124_7" hidden="1">"A33238"</definedName>
    <definedName name="FDD_124_8" hidden="1">"A33603"</definedName>
    <definedName name="FDD_124_9" hidden="1">"A33969"</definedName>
    <definedName name="FDD_125_0" hidden="1">"A30681"</definedName>
    <definedName name="FDD_125_1" hidden="1">"A31047"</definedName>
    <definedName name="FDD_125_10" hidden="1">"A34334"</definedName>
    <definedName name="FDD_125_11" hidden="1">"A34699"</definedName>
    <definedName name="FDD_125_12" hidden="1">"A35064"</definedName>
    <definedName name="FDD_125_13" hidden="1">"A35430"</definedName>
    <definedName name="FDD_125_14" hidden="1">"A35795"</definedName>
    <definedName name="FDD_125_2" hidden="1">"A31412"</definedName>
    <definedName name="FDD_125_3" hidden="1">"A31777"</definedName>
    <definedName name="FDD_125_4" hidden="1">"A32142"</definedName>
    <definedName name="FDD_125_5" hidden="1">"A32508"</definedName>
    <definedName name="FDD_125_6" hidden="1">"A32873"</definedName>
    <definedName name="FDD_125_7" hidden="1">"A33238"</definedName>
    <definedName name="FDD_125_8" hidden="1">"A33603"</definedName>
    <definedName name="FDD_125_9" hidden="1">"A33969"</definedName>
    <definedName name="FDD_126_0" hidden="1">"A30681"</definedName>
    <definedName name="FDD_126_1" hidden="1">"A31047"</definedName>
    <definedName name="FDD_126_10" hidden="1">"A34334"</definedName>
    <definedName name="FDD_126_11" hidden="1">"A34699"</definedName>
    <definedName name="FDD_126_12" hidden="1">"A35064"</definedName>
    <definedName name="FDD_126_13" hidden="1">"A35430"</definedName>
    <definedName name="FDD_126_14" hidden="1">"A35795"</definedName>
    <definedName name="FDD_126_2" hidden="1">"A31412"</definedName>
    <definedName name="FDD_126_3" hidden="1">"A31777"</definedName>
    <definedName name="FDD_126_4" hidden="1">"A32142"</definedName>
    <definedName name="FDD_126_5" hidden="1">"A32508"</definedName>
    <definedName name="FDD_126_6" hidden="1">"A32873"</definedName>
    <definedName name="FDD_126_7" hidden="1">"A33238"</definedName>
    <definedName name="FDD_126_8" hidden="1">"A33603"</definedName>
    <definedName name="FDD_126_9" hidden="1">"A33969"</definedName>
    <definedName name="FDD_127_0" hidden="1">"A30681"</definedName>
    <definedName name="FDD_127_1" hidden="1">"A31047"</definedName>
    <definedName name="FDD_127_10" hidden="1">"A34334"</definedName>
    <definedName name="FDD_127_11" hidden="1">"A34699"</definedName>
    <definedName name="FDD_127_12" hidden="1">"A35064"</definedName>
    <definedName name="FDD_127_13" hidden="1">"A35430"</definedName>
    <definedName name="FDD_127_14" hidden="1">"A35795"</definedName>
    <definedName name="FDD_127_2" hidden="1">"A31412"</definedName>
    <definedName name="FDD_127_3" hidden="1">"A31777"</definedName>
    <definedName name="FDD_127_4" hidden="1">"A32142"</definedName>
    <definedName name="FDD_127_5" hidden="1">"A32508"</definedName>
    <definedName name="FDD_127_6" hidden="1">"A32873"</definedName>
    <definedName name="FDD_127_7" hidden="1">"A33238"</definedName>
    <definedName name="FDD_127_8" hidden="1">"A33603"</definedName>
    <definedName name="FDD_127_9" hidden="1">"A33969"</definedName>
    <definedName name="FDD_128_0" hidden="1">"A30681"</definedName>
    <definedName name="FDD_128_1" hidden="1">"A31047"</definedName>
    <definedName name="FDD_128_10" hidden="1">"A34334"</definedName>
    <definedName name="FDD_128_11" hidden="1">"A34699"</definedName>
    <definedName name="FDD_128_12" hidden="1">"A35064"</definedName>
    <definedName name="FDD_128_13" hidden="1">"A35430"</definedName>
    <definedName name="FDD_128_14" hidden="1">"A35795"</definedName>
    <definedName name="FDD_128_2" hidden="1">"A31412"</definedName>
    <definedName name="FDD_128_3" hidden="1">"A31777"</definedName>
    <definedName name="FDD_128_4" hidden="1">"A32142"</definedName>
    <definedName name="FDD_128_5" hidden="1">"A32508"</definedName>
    <definedName name="FDD_128_6" hidden="1">"A32873"</definedName>
    <definedName name="FDD_128_7" hidden="1">"A33238"</definedName>
    <definedName name="FDD_128_8" hidden="1">"A33603"</definedName>
    <definedName name="FDD_128_9" hidden="1">"A33969"</definedName>
    <definedName name="FDD_129_0" hidden="1">"A30681"</definedName>
    <definedName name="FDD_129_1" hidden="1">"A31047"</definedName>
    <definedName name="FDD_129_10" hidden="1">"A34334"</definedName>
    <definedName name="FDD_129_11" hidden="1">"A34699"</definedName>
    <definedName name="FDD_129_12" hidden="1">"A35064"</definedName>
    <definedName name="FDD_129_13" hidden="1">"A35430"</definedName>
    <definedName name="FDD_129_14" hidden="1">"A35795"</definedName>
    <definedName name="FDD_129_2" hidden="1">"A31412"</definedName>
    <definedName name="FDD_129_3" hidden="1">"A31777"</definedName>
    <definedName name="FDD_129_4" hidden="1">"A32142"</definedName>
    <definedName name="FDD_129_5" hidden="1">"A32508"</definedName>
    <definedName name="FDD_129_6" hidden="1">"A32873"</definedName>
    <definedName name="FDD_129_7" hidden="1">"A33238"</definedName>
    <definedName name="FDD_129_8" hidden="1">"A33603"</definedName>
    <definedName name="FDD_129_9" hidden="1">"A33969"</definedName>
    <definedName name="FDD_13_0" hidden="1">"A25569"</definedName>
    <definedName name="FDD_130_0" hidden="1">"A30681"</definedName>
    <definedName name="FDD_130_1" hidden="1">"A31047"</definedName>
    <definedName name="FDD_130_10" hidden="1">"A34334"</definedName>
    <definedName name="FDD_130_11" hidden="1">"A34699"</definedName>
    <definedName name="FDD_130_12" hidden="1">"A35064"</definedName>
    <definedName name="FDD_130_13" hidden="1">"A35430"</definedName>
    <definedName name="FDD_130_14" hidden="1">"A35795"</definedName>
    <definedName name="FDD_130_2" hidden="1">"A31412"</definedName>
    <definedName name="FDD_130_3" hidden="1">"A31777"</definedName>
    <definedName name="FDD_130_4" hidden="1">"A32142"</definedName>
    <definedName name="FDD_130_5" hidden="1">"A32508"</definedName>
    <definedName name="FDD_130_6" hidden="1">"A32873"</definedName>
    <definedName name="FDD_130_7" hidden="1">"A33238"</definedName>
    <definedName name="FDD_130_8" hidden="1">"A33603"</definedName>
    <definedName name="FDD_130_9" hidden="1">"A33969"</definedName>
    <definedName name="FDD_131_0" hidden="1">"A30681"</definedName>
    <definedName name="FDD_131_1" hidden="1">"A31047"</definedName>
    <definedName name="FDD_131_10" hidden="1">"A34334"</definedName>
    <definedName name="FDD_131_11" hidden="1">"A34699"</definedName>
    <definedName name="FDD_131_12" hidden="1">"A35064"</definedName>
    <definedName name="FDD_131_13" hidden="1">"A35430"</definedName>
    <definedName name="FDD_131_14" hidden="1">"A35795"</definedName>
    <definedName name="FDD_131_2" hidden="1">"A31412"</definedName>
    <definedName name="FDD_131_3" hidden="1">"A31777"</definedName>
    <definedName name="FDD_131_4" hidden="1">"A32142"</definedName>
    <definedName name="FDD_131_5" hidden="1">"A32508"</definedName>
    <definedName name="FDD_131_6" hidden="1">"A32873"</definedName>
    <definedName name="FDD_131_7" hidden="1">"A33238"</definedName>
    <definedName name="FDD_131_8" hidden="1">"A33603"</definedName>
    <definedName name="FDD_131_9" hidden="1">"A33969"</definedName>
    <definedName name="FDD_132_0" hidden="1">"U30681"</definedName>
    <definedName name="FDD_132_1" hidden="1">"U31047"</definedName>
    <definedName name="FDD_132_10" hidden="1">"U34334"</definedName>
    <definedName name="FDD_132_11" hidden="1">"U34699"</definedName>
    <definedName name="FDD_132_12" hidden="1">"U35064"</definedName>
    <definedName name="FDD_132_13" hidden="1">"U35430"</definedName>
    <definedName name="FDD_132_14" hidden="1">"U35795"</definedName>
    <definedName name="FDD_132_2" hidden="1">"U31412"</definedName>
    <definedName name="FDD_132_3" hidden="1">"U31777"</definedName>
    <definedName name="FDD_132_4" hidden="1">"U32142"</definedName>
    <definedName name="FDD_132_5" hidden="1">"U32508"</definedName>
    <definedName name="FDD_132_6" hidden="1">"U32873"</definedName>
    <definedName name="FDD_132_7" hidden="1">"U33238"</definedName>
    <definedName name="FDD_132_8" hidden="1">"U33603"</definedName>
    <definedName name="FDD_132_9" hidden="1">"U33969"</definedName>
    <definedName name="FDD_133_0" hidden="1">"A30681"</definedName>
    <definedName name="FDD_133_1" hidden="1">"A31047"</definedName>
    <definedName name="FDD_133_10" hidden="1">"A34334"</definedName>
    <definedName name="FDD_133_11" hidden="1">"A34699"</definedName>
    <definedName name="FDD_133_12" hidden="1">"A35064"</definedName>
    <definedName name="FDD_133_13" hidden="1">"A35430"</definedName>
    <definedName name="FDD_133_14" hidden="1">"A35795"</definedName>
    <definedName name="FDD_133_2" hidden="1">"A31412"</definedName>
    <definedName name="FDD_133_3" hidden="1">"A31777"</definedName>
    <definedName name="FDD_133_4" hidden="1">"A32142"</definedName>
    <definedName name="FDD_133_5" hidden="1">"A32508"</definedName>
    <definedName name="FDD_133_6" hidden="1">"A32873"</definedName>
    <definedName name="FDD_133_7" hidden="1">"A33238"</definedName>
    <definedName name="FDD_133_8" hidden="1">"A33603"</definedName>
    <definedName name="FDD_133_9" hidden="1">"A33969"</definedName>
    <definedName name="FDD_134_0" hidden="1">"A30681"</definedName>
    <definedName name="FDD_134_1" hidden="1">"A31047"</definedName>
    <definedName name="FDD_134_10" hidden="1">"A34334"</definedName>
    <definedName name="FDD_134_11" hidden="1">"A34699"</definedName>
    <definedName name="FDD_134_12" hidden="1">"A35064"</definedName>
    <definedName name="FDD_134_13" hidden="1">"A35430"</definedName>
    <definedName name="FDD_134_14" hidden="1">"A35795"</definedName>
    <definedName name="FDD_134_2" hidden="1">"A31412"</definedName>
    <definedName name="FDD_134_3" hidden="1">"A31777"</definedName>
    <definedName name="FDD_134_4" hidden="1">"A32142"</definedName>
    <definedName name="FDD_134_5" hidden="1">"A32508"</definedName>
    <definedName name="FDD_134_6" hidden="1">"A32873"</definedName>
    <definedName name="FDD_134_7" hidden="1">"A33238"</definedName>
    <definedName name="FDD_134_8" hidden="1">"A33603"</definedName>
    <definedName name="FDD_134_9" hidden="1">"A33969"</definedName>
    <definedName name="FDD_135_0" hidden="1">"A30681"</definedName>
    <definedName name="FDD_135_1" hidden="1">"A31047"</definedName>
    <definedName name="FDD_135_10" hidden="1">"A34334"</definedName>
    <definedName name="FDD_135_11" hidden="1">"A34699"</definedName>
    <definedName name="FDD_135_12" hidden="1">"A35064"</definedName>
    <definedName name="FDD_135_13" hidden="1">"A35430"</definedName>
    <definedName name="FDD_135_14" hidden="1">"A35795"</definedName>
    <definedName name="FDD_135_2" hidden="1">"A31412"</definedName>
    <definedName name="FDD_135_3" hidden="1">"A31777"</definedName>
    <definedName name="FDD_135_4" hidden="1">"A32142"</definedName>
    <definedName name="FDD_135_5" hidden="1">"A32508"</definedName>
    <definedName name="FDD_135_6" hidden="1">"A32873"</definedName>
    <definedName name="FDD_135_7" hidden="1">"A33238"</definedName>
    <definedName name="FDD_135_8" hidden="1">"A33603"</definedName>
    <definedName name="FDD_135_9" hidden="1">"A33969"</definedName>
    <definedName name="FDD_136_0" hidden="1">"A30681"</definedName>
    <definedName name="FDD_136_1" hidden="1">"A31047"</definedName>
    <definedName name="FDD_136_10" hidden="1">"A34334"</definedName>
    <definedName name="FDD_136_11" hidden="1">"A34699"</definedName>
    <definedName name="FDD_136_12" hidden="1">"A35064"</definedName>
    <definedName name="FDD_136_13" hidden="1">"A35430"</definedName>
    <definedName name="FDD_136_14" hidden="1">"A35795"</definedName>
    <definedName name="FDD_136_2" hidden="1">"A31412"</definedName>
    <definedName name="FDD_136_3" hidden="1">"A31777"</definedName>
    <definedName name="FDD_136_4" hidden="1">"A32142"</definedName>
    <definedName name="FDD_136_5" hidden="1">"A32508"</definedName>
    <definedName name="FDD_136_6" hidden="1">"A32873"</definedName>
    <definedName name="FDD_136_7" hidden="1">"A33238"</definedName>
    <definedName name="FDD_136_8" hidden="1">"A33603"</definedName>
    <definedName name="FDD_136_9" hidden="1">"A33969"</definedName>
    <definedName name="FDD_137_0" hidden="1">"A30681"</definedName>
    <definedName name="FDD_137_1" hidden="1">"A31047"</definedName>
    <definedName name="FDD_137_10" hidden="1">"A34334"</definedName>
    <definedName name="FDD_137_11" hidden="1">"A34699"</definedName>
    <definedName name="FDD_137_12" hidden="1">"A35064"</definedName>
    <definedName name="FDD_137_13" hidden="1">"A35430"</definedName>
    <definedName name="FDD_137_14" hidden="1">"A35795"</definedName>
    <definedName name="FDD_137_2" hidden="1">"A31412"</definedName>
    <definedName name="FDD_137_3" hidden="1">"A31777"</definedName>
    <definedName name="FDD_137_4" hidden="1">"A32142"</definedName>
    <definedName name="FDD_137_5" hidden="1">"A32508"</definedName>
    <definedName name="FDD_137_6" hidden="1">"A32873"</definedName>
    <definedName name="FDD_137_7" hidden="1">"A33238"</definedName>
    <definedName name="FDD_137_8" hidden="1">"A33603"</definedName>
    <definedName name="FDD_137_9" hidden="1">"A33969"</definedName>
    <definedName name="FDD_138_0" hidden="1">"A30681"</definedName>
    <definedName name="FDD_138_1" hidden="1">"A31047"</definedName>
    <definedName name="FDD_138_10" hidden="1">"A34334"</definedName>
    <definedName name="FDD_138_11" hidden="1">"A34699"</definedName>
    <definedName name="FDD_138_12" hidden="1">"A35064"</definedName>
    <definedName name="FDD_138_13" hidden="1">"A35430"</definedName>
    <definedName name="FDD_138_14" hidden="1">"A35795"</definedName>
    <definedName name="FDD_138_2" hidden="1">"A31412"</definedName>
    <definedName name="FDD_138_3" hidden="1">"A31777"</definedName>
    <definedName name="FDD_138_4" hidden="1">"A32142"</definedName>
    <definedName name="FDD_138_5" hidden="1">"A32508"</definedName>
    <definedName name="FDD_138_6" hidden="1">"A32873"</definedName>
    <definedName name="FDD_138_7" hidden="1">"A33238"</definedName>
    <definedName name="FDD_138_8" hidden="1">"A33603"</definedName>
    <definedName name="FDD_138_9" hidden="1">"A33969"</definedName>
    <definedName name="FDD_139_0" hidden="1">"A30681"</definedName>
    <definedName name="FDD_139_1" hidden="1">"A31047"</definedName>
    <definedName name="FDD_139_10" hidden="1">"U34334"</definedName>
    <definedName name="FDD_139_11" hidden="1">"U34699"</definedName>
    <definedName name="FDD_139_12" hidden="1">"U35064"</definedName>
    <definedName name="FDD_139_13" hidden="1">"U35430"</definedName>
    <definedName name="FDD_139_14" hidden="1">"U35795"</definedName>
    <definedName name="FDD_139_2" hidden="1">"A31412"</definedName>
    <definedName name="FDD_139_3" hidden="1">"U31777"</definedName>
    <definedName name="FDD_139_4" hidden="1">"U32142"</definedName>
    <definedName name="FDD_139_5" hidden="1">"U32508"</definedName>
    <definedName name="FDD_139_6" hidden="1">"U32873"</definedName>
    <definedName name="FDD_139_7" hidden="1">"U33238"</definedName>
    <definedName name="FDD_139_8" hidden="1">"U33603"</definedName>
    <definedName name="FDD_139_9" hidden="1">"U33969"</definedName>
    <definedName name="FDD_14_0" hidden="1">"A25569"</definedName>
    <definedName name="FDD_140_0" hidden="1">"A25569"</definedName>
    <definedName name="FDD_141_0" hidden="1">"A30681"</definedName>
    <definedName name="FDD_141_1" hidden="1">"A31047"</definedName>
    <definedName name="FDD_141_10" hidden="1">"A34334"</definedName>
    <definedName name="FDD_141_11" hidden="1">"A34699"</definedName>
    <definedName name="FDD_141_12" hidden="1">"A35064"</definedName>
    <definedName name="FDD_141_13" hidden="1">"A35430"</definedName>
    <definedName name="FDD_141_14" hidden="1">"A35795"</definedName>
    <definedName name="FDD_141_2" hidden="1">"A31412"</definedName>
    <definedName name="FDD_141_3" hidden="1">"A31777"</definedName>
    <definedName name="FDD_141_4" hidden="1">"A32142"</definedName>
    <definedName name="FDD_141_5" hidden="1">"A32508"</definedName>
    <definedName name="FDD_141_6" hidden="1">"A32873"</definedName>
    <definedName name="FDD_141_7" hidden="1">"A33238"</definedName>
    <definedName name="FDD_141_8" hidden="1">"A33603"</definedName>
    <definedName name="FDD_141_9" hidden="1">"A33969"</definedName>
    <definedName name="FDD_142_0" hidden="1">"A30681"</definedName>
    <definedName name="FDD_142_1" hidden="1">"A31047"</definedName>
    <definedName name="FDD_142_10" hidden="1">"A34334"</definedName>
    <definedName name="FDD_142_11" hidden="1">"A34699"</definedName>
    <definedName name="FDD_142_12" hidden="1">"A35064"</definedName>
    <definedName name="FDD_142_13" hidden="1">"A35430"</definedName>
    <definedName name="FDD_142_14" hidden="1">"A35795"</definedName>
    <definedName name="FDD_142_2" hidden="1">"A31412"</definedName>
    <definedName name="FDD_142_3" hidden="1">"A31777"</definedName>
    <definedName name="FDD_142_4" hidden="1">"A32142"</definedName>
    <definedName name="FDD_142_5" hidden="1">"A32508"</definedName>
    <definedName name="FDD_142_6" hidden="1">"A32873"</definedName>
    <definedName name="FDD_142_7" hidden="1">"A33238"</definedName>
    <definedName name="FDD_142_8" hidden="1">"A33603"</definedName>
    <definedName name="FDD_142_9" hidden="1">"A33969"</definedName>
    <definedName name="FDD_143_0" hidden="1">"A30681"</definedName>
    <definedName name="FDD_143_1" hidden="1">"A31047"</definedName>
    <definedName name="FDD_143_10" hidden="1">"A34334"</definedName>
    <definedName name="FDD_143_11" hidden="1">"A34699"</definedName>
    <definedName name="FDD_143_12" hidden="1">"A35064"</definedName>
    <definedName name="FDD_143_13" hidden="1">"A35430"</definedName>
    <definedName name="FDD_143_14" hidden="1">"A35795"</definedName>
    <definedName name="FDD_143_2" hidden="1">"A31412"</definedName>
    <definedName name="FDD_143_3" hidden="1">"A31777"</definedName>
    <definedName name="FDD_143_4" hidden="1">"A32142"</definedName>
    <definedName name="FDD_143_5" hidden="1">"A32508"</definedName>
    <definedName name="FDD_143_6" hidden="1">"A32873"</definedName>
    <definedName name="FDD_143_7" hidden="1">"A33238"</definedName>
    <definedName name="FDD_143_8" hidden="1">"A33603"</definedName>
    <definedName name="FDD_143_9" hidden="1">"A33969"</definedName>
    <definedName name="FDD_144_0" hidden="1">"A30681"</definedName>
    <definedName name="FDD_144_1" hidden="1">"A31047"</definedName>
    <definedName name="FDD_144_10" hidden="1">"A34334"</definedName>
    <definedName name="FDD_144_11" hidden="1">"A34699"</definedName>
    <definedName name="FDD_144_12" hidden="1">"A35064"</definedName>
    <definedName name="FDD_144_13" hidden="1">"A35430"</definedName>
    <definedName name="FDD_144_14" hidden="1">"A35795"</definedName>
    <definedName name="FDD_144_2" hidden="1">"A31412"</definedName>
    <definedName name="FDD_144_3" hidden="1">"A31777"</definedName>
    <definedName name="FDD_144_4" hidden="1">"A32142"</definedName>
    <definedName name="FDD_144_5" hidden="1">"A32508"</definedName>
    <definedName name="FDD_144_6" hidden="1">"A32873"</definedName>
    <definedName name="FDD_144_7" hidden="1">"A33238"</definedName>
    <definedName name="FDD_144_8" hidden="1">"A33603"</definedName>
    <definedName name="FDD_144_9" hidden="1">"A33969"</definedName>
    <definedName name="FDD_145_0" hidden="1">"A30681"</definedName>
    <definedName name="FDD_145_1" hidden="1">"A31047"</definedName>
    <definedName name="FDD_145_10" hidden="1">"A34334"</definedName>
    <definedName name="FDD_145_11" hidden="1">"A34699"</definedName>
    <definedName name="FDD_145_12" hidden="1">"A35064"</definedName>
    <definedName name="FDD_145_13" hidden="1">"A35430"</definedName>
    <definedName name="FDD_145_14" hidden="1">"A35795"</definedName>
    <definedName name="FDD_145_2" hidden="1">"A31412"</definedName>
    <definedName name="FDD_145_3" hidden="1">"A31777"</definedName>
    <definedName name="FDD_145_4" hidden="1">"A32142"</definedName>
    <definedName name="FDD_145_5" hidden="1">"A32508"</definedName>
    <definedName name="FDD_145_6" hidden="1">"A32873"</definedName>
    <definedName name="FDD_145_7" hidden="1">"A33238"</definedName>
    <definedName name="FDD_145_8" hidden="1">"A33603"</definedName>
    <definedName name="FDD_145_9" hidden="1">"A33969"</definedName>
    <definedName name="FDD_146_0" hidden="1">"A30681"</definedName>
    <definedName name="FDD_146_1" hidden="1">"A31047"</definedName>
    <definedName name="FDD_146_10" hidden="1">"A34334"</definedName>
    <definedName name="FDD_146_11" hidden="1">"A34699"</definedName>
    <definedName name="FDD_146_12" hidden="1">"A35064"</definedName>
    <definedName name="FDD_146_13" hidden="1">"A35430"</definedName>
    <definedName name="FDD_146_14" hidden="1">"A35795"</definedName>
    <definedName name="FDD_146_2" hidden="1">"A31412"</definedName>
    <definedName name="FDD_146_3" hidden="1">"A31777"</definedName>
    <definedName name="FDD_146_4" hidden="1">"A32142"</definedName>
    <definedName name="FDD_146_5" hidden="1">"A32508"</definedName>
    <definedName name="FDD_146_6" hidden="1">"A32873"</definedName>
    <definedName name="FDD_146_7" hidden="1">"A33238"</definedName>
    <definedName name="FDD_146_8" hidden="1">"A33603"</definedName>
    <definedName name="FDD_146_9" hidden="1">"A33969"</definedName>
    <definedName name="FDD_147_0" hidden="1">"U30681"</definedName>
    <definedName name="FDD_147_1" hidden="1">"U31047"</definedName>
    <definedName name="FDD_147_10" hidden="1">"U34334"</definedName>
    <definedName name="FDD_147_11" hidden="1">"U34699"</definedName>
    <definedName name="FDD_147_12" hidden="1">"U35064"</definedName>
    <definedName name="FDD_147_13" hidden="1">"U35430"</definedName>
    <definedName name="FDD_147_14" hidden="1">"U35795"</definedName>
    <definedName name="FDD_147_2" hidden="1">"U31412"</definedName>
    <definedName name="FDD_147_3" hidden="1">"U31777"</definedName>
    <definedName name="FDD_147_4" hidden="1">"U32142"</definedName>
    <definedName name="FDD_147_5" hidden="1">"U32508"</definedName>
    <definedName name="FDD_147_6" hidden="1">"U32873"</definedName>
    <definedName name="FDD_147_7" hidden="1">"U33238"</definedName>
    <definedName name="FDD_147_8" hidden="1">"U33603"</definedName>
    <definedName name="FDD_147_9" hidden="1">"U33969"</definedName>
    <definedName name="FDD_148_0" hidden="1">"A30681"</definedName>
    <definedName name="FDD_148_1" hidden="1">"A31047"</definedName>
    <definedName name="FDD_148_10" hidden="1">"A34334"</definedName>
    <definedName name="FDD_148_11" hidden="1">"A34699"</definedName>
    <definedName name="FDD_148_12" hidden="1">"A35064"</definedName>
    <definedName name="FDD_148_13" hidden="1">"A35430"</definedName>
    <definedName name="FDD_148_14" hidden="1">"A35795"</definedName>
    <definedName name="FDD_148_2" hidden="1">"A31412"</definedName>
    <definedName name="FDD_148_3" hidden="1">"A31777"</definedName>
    <definedName name="FDD_148_4" hidden="1">"A32142"</definedName>
    <definedName name="FDD_148_5" hidden="1">"A32508"</definedName>
    <definedName name="FDD_148_6" hidden="1">"A32873"</definedName>
    <definedName name="FDD_148_7" hidden="1">"A33238"</definedName>
    <definedName name="FDD_148_8" hidden="1">"A33603"</definedName>
    <definedName name="FDD_148_9" hidden="1">"A33969"</definedName>
    <definedName name="FDD_149_0" hidden="1">"U30681"</definedName>
    <definedName name="FDD_149_1" hidden="1">"U31047"</definedName>
    <definedName name="FDD_149_10" hidden="1">"U34334"</definedName>
    <definedName name="FDD_149_11" hidden="1">"U34699"</definedName>
    <definedName name="FDD_149_12" hidden="1">"U35064"</definedName>
    <definedName name="FDD_149_13" hidden="1">"U35430"</definedName>
    <definedName name="FDD_149_14" hidden="1">"A35795"</definedName>
    <definedName name="FDD_149_2" hidden="1">"U31412"</definedName>
    <definedName name="FDD_149_3" hidden="1">"U31777"</definedName>
    <definedName name="FDD_149_4" hidden="1">"U32142"</definedName>
    <definedName name="FDD_149_5" hidden="1">"U32508"</definedName>
    <definedName name="FDD_149_6" hidden="1">"U32873"</definedName>
    <definedName name="FDD_149_7" hidden="1">"U33238"</definedName>
    <definedName name="FDD_149_8" hidden="1">"U33603"</definedName>
    <definedName name="FDD_149_9" hidden="1">"U33969"</definedName>
    <definedName name="FDD_15_0" hidden="1">"A25569"</definedName>
    <definedName name="FDD_151_0" hidden="1">"A30681"</definedName>
    <definedName name="FDD_151_1" hidden="1">"A31047"</definedName>
    <definedName name="FDD_151_10" hidden="1">"A34334"</definedName>
    <definedName name="FDD_151_11" hidden="1">"A34699"</definedName>
    <definedName name="FDD_151_12" hidden="1">"A35064"</definedName>
    <definedName name="FDD_151_13" hidden="1">"A35430"</definedName>
    <definedName name="FDD_151_14" hidden="1">"A35795"</definedName>
    <definedName name="FDD_151_2" hidden="1">"A31412"</definedName>
    <definedName name="FDD_151_3" hidden="1">"A31777"</definedName>
    <definedName name="FDD_151_4" hidden="1">"A32142"</definedName>
    <definedName name="FDD_151_5" hidden="1">"A32508"</definedName>
    <definedName name="FDD_151_6" hidden="1">"A32873"</definedName>
    <definedName name="FDD_151_7" hidden="1">"A33238"</definedName>
    <definedName name="FDD_151_8" hidden="1">"A33603"</definedName>
    <definedName name="FDD_151_9" hidden="1">"A33969"</definedName>
    <definedName name="FDD_152_0" hidden="1">"A30681"</definedName>
    <definedName name="FDD_152_1" hidden="1">"A31047"</definedName>
    <definedName name="FDD_152_10" hidden="1">"A34334"</definedName>
    <definedName name="FDD_152_11" hidden="1">"A34699"</definedName>
    <definedName name="FDD_152_12" hidden="1">"A35064"</definedName>
    <definedName name="FDD_152_13" hidden="1">"A35430"</definedName>
    <definedName name="FDD_152_14" hidden="1">"A35795"</definedName>
    <definedName name="FDD_152_15" hidden="1">"E36160"</definedName>
    <definedName name="FDD_152_2" hidden="1">"A31412"</definedName>
    <definedName name="FDD_152_3" hidden="1">"A31777"</definedName>
    <definedName name="FDD_152_4" hidden="1">"A32142"</definedName>
    <definedName name="FDD_152_5" hidden="1">"A32508"</definedName>
    <definedName name="FDD_152_6" hidden="1">"A32873"</definedName>
    <definedName name="FDD_152_7" hidden="1">"A33238"</definedName>
    <definedName name="FDD_152_8" hidden="1">"A33603"</definedName>
    <definedName name="FDD_152_9" hidden="1">"A33969"</definedName>
    <definedName name="FDD_153_0" hidden="1">"A30681"</definedName>
    <definedName name="FDD_153_1" hidden="1">"A31047"</definedName>
    <definedName name="FDD_153_10" hidden="1">"A34334"</definedName>
    <definedName name="FDD_153_11" hidden="1">"A34699"</definedName>
    <definedName name="FDD_153_12" hidden="1">"A35064"</definedName>
    <definedName name="FDD_153_13" hidden="1">"A35430"</definedName>
    <definedName name="FDD_153_14" hidden="1">"A35795"</definedName>
    <definedName name="FDD_153_2" hidden="1">"A31412"</definedName>
    <definedName name="FDD_153_3" hidden="1">"A31777"</definedName>
    <definedName name="FDD_153_4" hidden="1">"A32142"</definedName>
    <definedName name="FDD_153_5" hidden="1">"A32508"</definedName>
    <definedName name="FDD_153_6" hidden="1">"A32873"</definedName>
    <definedName name="FDD_153_7" hidden="1">"A33238"</definedName>
    <definedName name="FDD_153_8" hidden="1">"A33603"</definedName>
    <definedName name="FDD_153_9" hidden="1">"A33969"</definedName>
    <definedName name="FDD_154_0" hidden="1">"A30681"</definedName>
    <definedName name="FDD_154_1" hidden="1">"A31047"</definedName>
    <definedName name="FDD_154_10" hidden="1">"A34334"</definedName>
    <definedName name="FDD_154_11" hidden="1">"A34699"</definedName>
    <definedName name="FDD_154_12" hidden="1">"A35064"</definedName>
    <definedName name="FDD_154_13" hidden="1">"A35430"</definedName>
    <definedName name="FDD_154_14" hidden="1">"A35795"</definedName>
    <definedName name="FDD_154_2" hidden="1">"A31412"</definedName>
    <definedName name="FDD_154_3" hidden="1">"A31777"</definedName>
    <definedName name="FDD_154_4" hidden="1">"A32142"</definedName>
    <definedName name="FDD_154_5" hidden="1">"A32508"</definedName>
    <definedName name="FDD_154_6" hidden="1">"A32873"</definedName>
    <definedName name="FDD_154_7" hidden="1">"A33238"</definedName>
    <definedName name="FDD_154_8" hidden="1">"A33603"</definedName>
    <definedName name="FDD_154_9" hidden="1">"A33969"</definedName>
    <definedName name="FDD_155_0" hidden="1">"A25569"</definedName>
    <definedName name="FDD_156_0" hidden="1">"A30681"</definedName>
    <definedName name="FDD_156_1" hidden="1">"A31047"</definedName>
    <definedName name="FDD_156_10" hidden="1">"A34334"</definedName>
    <definedName name="FDD_156_11" hidden="1">"A34699"</definedName>
    <definedName name="FDD_156_12" hidden="1">"A35064"</definedName>
    <definedName name="FDD_156_13" hidden="1">"A35430"</definedName>
    <definedName name="FDD_156_14" hidden="1">"A35795"</definedName>
    <definedName name="FDD_156_15" hidden="1">"E36160"</definedName>
    <definedName name="FDD_156_2" hidden="1">"A31412"</definedName>
    <definedName name="FDD_156_3" hidden="1">"A31777"</definedName>
    <definedName name="FDD_156_4" hidden="1">"A32142"</definedName>
    <definedName name="FDD_156_5" hidden="1">"A32508"</definedName>
    <definedName name="FDD_156_6" hidden="1">"A32873"</definedName>
    <definedName name="FDD_156_7" hidden="1">"A33238"</definedName>
    <definedName name="FDD_156_8" hidden="1">"A33603"</definedName>
    <definedName name="FDD_156_9" hidden="1">"A33969"</definedName>
    <definedName name="FDD_157_0" hidden="1">"A30681"</definedName>
    <definedName name="FDD_157_1" hidden="1">"A31047"</definedName>
    <definedName name="FDD_157_10" hidden="1">"A34334"</definedName>
    <definedName name="FDD_157_11" hidden="1">"A34699"</definedName>
    <definedName name="FDD_157_12" hidden="1">"A35064"</definedName>
    <definedName name="FDD_157_13" hidden="1">"A35430"</definedName>
    <definedName name="FDD_157_14" hidden="1">"A35795"</definedName>
    <definedName name="FDD_157_2" hidden="1">"A31412"</definedName>
    <definedName name="FDD_157_3" hidden="1">"A31777"</definedName>
    <definedName name="FDD_157_4" hidden="1">"A32142"</definedName>
    <definedName name="FDD_157_5" hidden="1">"A32508"</definedName>
    <definedName name="FDD_157_6" hidden="1">"A32873"</definedName>
    <definedName name="FDD_157_7" hidden="1">"A33238"</definedName>
    <definedName name="FDD_157_8" hidden="1">"A33603"</definedName>
    <definedName name="FDD_157_9" hidden="1">"A33969"</definedName>
    <definedName name="FDD_158_0" hidden="1">"A30681"</definedName>
    <definedName name="FDD_158_1" hidden="1">"A31047"</definedName>
    <definedName name="FDD_158_10" hidden="1">"A34334"</definedName>
    <definedName name="FDD_158_11" hidden="1">"A34699"</definedName>
    <definedName name="FDD_158_12" hidden="1">"A35064"</definedName>
    <definedName name="FDD_158_13" hidden="1">"A35430"</definedName>
    <definedName name="FDD_158_14" hidden="1">"A35795"</definedName>
    <definedName name="FDD_158_15" hidden="1">"E36160"</definedName>
    <definedName name="FDD_158_2" hidden="1">"A31412"</definedName>
    <definedName name="FDD_158_3" hidden="1">"A31777"</definedName>
    <definedName name="FDD_158_4" hidden="1">"A32142"</definedName>
    <definedName name="FDD_158_5" hidden="1">"A32508"</definedName>
    <definedName name="FDD_158_6" hidden="1">"A32873"</definedName>
    <definedName name="FDD_158_7" hidden="1">"A33238"</definedName>
    <definedName name="FDD_158_8" hidden="1">"A33603"</definedName>
    <definedName name="FDD_158_9" hidden="1">"A33969"</definedName>
    <definedName name="FDD_159_0" hidden="1">"A30681"</definedName>
    <definedName name="FDD_159_1" hidden="1">"A31047"</definedName>
    <definedName name="FDD_159_10" hidden="1">"A34334"</definedName>
    <definedName name="FDD_159_11" hidden="1">"A34699"</definedName>
    <definedName name="FDD_159_12" hidden="1">"A35064"</definedName>
    <definedName name="FDD_159_13" hidden="1">"A35430"</definedName>
    <definedName name="FDD_159_14" hidden="1">"A35795"</definedName>
    <definedName name="FDD_159_2" hidden="1">"A31412"</definedName>
    <definedName name="FDD_159_3" hidden="1">"A31777"</definedName>
    <definedName name="FDD_159_4" hidden="1">"A32142"</definedName>
    <definedName name="FDD_159_5" hidden="1">"A32508"</definedName>
    <definedName name="FDD_159_6" hidden="1">"A32873"</definedName>
    <definedName name="FDD_159_7" hidden="1">"A33238"</definedName>
    <definedName name="FDD_159_8" hidden="1">"A33603"</definedName>
    <definedName name="FDD_159_9" hidden="1">"A33969"</definedName>
    <definedName name="FDD_16_0" hidden="1">"A25569"</definedName>
    <definedName name="FDD_160_0" hidden="1">"A30681"</definedName>
    <definedName name="FDD_160_1" hidden="1">"A31047"</definedName>
    <definedName name="FDD_160_10" hidden="1">"A34334"</definedName>
    <definedName name="FDD_160_11" hidden="1">"A34699"</definedName>
    <definedName name="FDD_160_12" hidden="1">"A35064"</definedName>
    <definedName name="FDD_160_13" hidden="1">"A35430"</definedName>
    <definedName name="FDD_160_14" hidden="1">"A35795"</definedName>
    <definedName name="FDD_160_15" hidden="1">"E36160"</definedName>
    <definedName name="FDD_160_2" hidden="1">"A31412"</definedName>
    <definedName name="FDD_160_3" hidden="1">"A31777"</definedName>
    <definedName name="FDD_160_4" hidden="1">"A32142"</definedName>
    <definedName name="FDD_160_5" hidden="1">"A32508"</definedName>
    <definedName name="FDD_160_6" hidden="1">"A32873"</definedName>
    <definedName name="FDD_160_7" hidden="1">"A33238"</definedName>
    <definedName name="FDD_160_8" hidden="1">"A33603"</definedName>
    <definedName name="FDD_160_9" hidden="1">"A33969"</definedName>
    <definedName name="FDD_161_0" hidden="1">"A30681"</definedName>
    <definedName name="FDD_161_1" hidden="1">"A31047"</definedName>
    <definedName name="FDD_161_10" hidden="1">"A34334"</definedName>
    <definedName name="FDD_161_11" hidden="1">"A34699"</definedName>
    <definedName name="FDD_161_12" hidden="1">"A35064"</definedName>
    <definedName name="FDD_161_13" hidden="1">"A35430"</definedName>
    <definedName name="FDD_161_14" hidden="1">"A35795"</definedName>
    <definedName name="FDD_161_2" hidden="1">"A31412"</definedName>
    <definedName name="FDD_161_3" hidden="1">"A31777"</definedName>
    <definedName name="FDD_161_4" hidden="1">"A32142"</definedName>
    <definedName name="FDD_161_5" hidden="1">"A32508"</definedName>
    <definedName name="FDD_161_6" hidden="1">"A32873"</definedName>
    <definedName name="FDD_161_7" hidden="1">"A33238"</definedName>
    <definedName name="FDD_161_8" hidden="1">"A33603"</definedName>
    <definedName name="FDD_161_9" hidden="1">"A33969"</definedName>
    <definedName name="FDD_162_0" hidden="1">"A30681"</definedName>
    <definedName name="FDD_162_1" hidden="1">"A31047"</definedName>
    <definedName name="FDD_162_10" hidden="1">"A34334"</definedName>
    <definedName name="FDD_162_11" hidden="1">"A34699"</definedName>
    <definedName name="FDD_162_12" hidden="1">"A35064"</definedName>
    <definedName name="FDD_162_13" hidden="1">"A35430"</definedName>
    <definedName name="FDD_162_14" hidden="1">"A35795"</definedName>
    <definedName name="FDD_162_2" hidden="1">"A31412"</definedName>
    <definedName name="FDD_162_3" hidden="1">"A31777"</definedName>
    <definedName name="FDD_162_4" hidden="1">"A32142"</definedName>
    <definedName name="FDD_162_5" hidden="1">"A32508"</definedName>
    <definedName name="FDD_162_6" hidden="1">"A32873"</definedName>
    <definedName name="FDD_162_7" hidden="1">"A33238"</definedName>
    <definedName name="FDD_162_8" hidden="1">"A33603"</definedName>
    <definedName name="FDD_162_9" hidden="1">"A33969"</definedName>
    <definedName name="FDD_163_0" hidden="1">"A30681"</definedName>
    <definedName name="FDD_163_1" hidden="1">"A31047"</definedName>
    <definedName name="FDD_163_10" hidden="1">"A34334"</definedName>
    <definedName name="FDD_163_11" hidden="1">"A34699"</definedName>
    <definedName name="FDD_163_12" hidden="1">"A35064"</definedName>
    <definedName name="FDD_163_13" hidden="1">"A35430"</definedName>
    <definedName name="FDD_163_14" hidden="1">"A35795"</definedName>
    <definedName name="FDD_163_2" hidden="1">"A31412"</definedName>
    <definedName name="FDD_163_3" hidden="1">"A31777"</definedName>
    <definedName name="FDD_163_4" hidden="1">"A32142"</definedName>
    <definedName name="FDD_163_5" hidden="1">"A32508"</definedName>
    <definedName name="FDD_163_6" hidden="1">"A32873"</definedName>
    <definedName name="FDD_163_7" hidden="1">"A33238"</definedName>
    <definedName name="FDD_163_8" hidden="1">"A33603"</definedName>
    <definedName name="FDD_163_9" hidden="1">"A33969"</definedName>
    <definedName name="FDD_164_0" hidden="1">"A25569"</definedName>
    <definedName name="FDD_165_0" hidden="1">"A30681"</definedName>
    <definedName name="FDD_165_1" hidden="1">"A31047"</definedName>
    <definedName name="FDD_165_10" hidden="1">"A34334"</definedName>
    <definedName name="FDD_165_11" hidden="1">"A34699"</definedName>
    <definedName name="FDD_165_12" hidden="1">"A35064"</definedName>
    <definedName name="FDD_165_13" hidden="1">"A35430"</definedName>
    <definedName name="FDD_165_14" hidden="1">"A35795"</definedName>
    <definedName name="FDD_165_2" hidden="1">"A31412"</definedName>
    <definedName name="FDD_165_3" hidden="1">"A31777"</definedName>
    <definedName name="FDD_165_4" hidden="1">"A32142"</definedName>
    <definedName name="FDD_165_5" hidden="1">"A32508"</definedName>
    <definedName name="FDD_165_6" hidden="1">"A32873"</definedName>
    <definedName name="FDD_165_7" hidden="1">"A33238"</definedName>
    <definedName name="FDD_165_8" hidden="1">"A33603"</definedName>
    <definedName name="FDD_165_9" hidden="1">"A33969"</definedName>
    <definedName name="FDD_166_0" hidden="1">"A30681"</definedName>
    <definedName name="FDD_166_1" hidden="1">"A31047"</definedName>
    <definedName name="FDD_166_10" hidden="1">"A34334"</definedName>
    <definedName name="FDD_166_11" hidden="1">"A34699"</definedName>
    <definedName name="FDD_166_12" hidden="1">"A35064"</definedName>
    <definedName name="FDD_166_13" hidden="1">"A35430"</definedName>
    <definedName name="FDD_166_14" hidden="1">"A35795"</definedName>
    <definedName name="FDD_166_2" hidden="1">"A31412"</definedName>
    <definedName name="FDD_166_3" hidden="1">"A31777"</definedName>
    <definedName name="FDD_166_4" hidden="1">"A32142"</definedName>
    <definedName name="FDD_166_5" hidden="1">"A32508"</definedName>
    <definedName name="FDD_166_6" hidden="1">"A32873"</definedName>
    <definedName name="FDD_166_7" hidden="1">"A33238"</definedName>
    <definedName name="FDD_166_8" hidden="1">"A33603"</definedName>
    <definedName name="FDD_166_9" hidden="1">"A33969"</definedName>
    <definedName name="FDD_167_0" hidden="1">"A30681"</definedName>
    <definedName name="FDD_167_1" hidden="1">"A31047"</definedName>
    <definedName name="FDD_167_10" hidden="1">"A34334"</definedName>
    <definedName name="FDD_167_11" hidden="1">"A34699"</definedName>
    <definedName name="FDD_167_12" hidden="1">"A35064"</definedName>
    <definedName name="FDD_167_13" hidden="1">"A35430"</definedName>
    <definedName name="FDD_167_14" hidden="1">"A35795"</definedName>
    <definedName name="FDD_167_2" hidden="1">"A31412"</definedName>
    <definedName name="FDD_167_3" hidden="1">"A31777"</definedName>
    <definedName name="FDD_167_4" hidden="1">"A32142"</definedName>
    <definedName name="FDD_167_5" hidden="1">"A32508"</definedName>
    <definedName name="FDD_167_6" hidden="1">"A32873"</definedName>
    <definedName name="FDD_167_7" hidden="1">"A33238"</definedName>
    <definedName name="FDD_167_8" hidden="1">"A33603"</definedName>
    <definedName name="FDD_167_9" hidden="1">"A33969"</definedName>
    <definedName name="FDD_168_0" hidden="1">"E36160"</definedName>
    <definedName name="FDD_168_1" hidden="1">"E36525"</definedName>
    <definedName name="FDD_168_2" hidden="1">"E36891"</definedName>
    <definedName name="FDD_169_0" hidden="1">"A30681"</definedName>
    <definedName name="FDD_169_1" hidden="1">"A31047"</definedName>
    <definedName name="FDD_169_10" hidden="1">"A34334"</definedName>
    <definedName name="FDD_169_11" hidden="1">"A34699"</definedName>
    <definedName name="FDD_169_12" hidden="1">"A35064"</definedName>
    <definedName name="FDD_169_13" hidden="1">"A35430"</definedName>
    <definedName name="FDD_169_14" hidden="1">"A35795"</definedName>
    <definedName name="FDD_169_2" hidden="1">"A31412"</definedName>
    <definedName name="FDD_169_3" hidden="1">"A31777"</definedName>
    <definedName name="FDD_169_4" hidden="1">"A32142"</definedName>
    <definedName name="FDD_169_5" hidden="1">"A32508"</definedName>
    <definedName name="FDD_169_6" hidden="1">"A32873"</definedName>
    <definedName name="FDD_169_7" hidden="1">"A33238"</definedName>
    <definedName name="FDD_169_8" hidden="1">"A33603"</definedName>
    <definedName name="FDD_169_9" hidden="1">"A33969"</definedName>
    <definedName name="FDD_17_0" hidden="1">"A25569"</definedName>
    <definedName name="FDD_170_0" hidden="1">"A30681"</definedName>
    <definedName name="FDD_170_1" hidden="1">"A31047"</definedName>
    <definedName name="FDD_170_10" hidden="1">"A34334"</definedName>
    <definedName name="FDD_170_11" hidden="1">"A34699"</definedName>
    <definedName name="FDD_170_12" hidden="1">"A35064"</definedName>
    <definedName name="FDD_170_13" hidden="1">"A35430"</definedName>
    <definedName name="FDD_170_14" hidden="1">"A35795"</definedName>
    <definedName name="FDD_170_2" hidden="1">"A31412"</definedName>
    <definedName name="FDD_170_3" hidden="1">"A31777"</definedName>
    <definedName name="FDD_170_4" hidden="1">"A32142"</definedName>
    <definedName name="FDD_170_5" hidden="1">"A32508"</definedName>
    <definedName name="FDD_170_6" hidden="1">"A32873"</definedName>
    <definedName name="FDD_170_7" hidden="1">"A33238"</definedName>
    <definedName name="FDD_170_8" hidden="1">"A33603"</definedName>
    <definedName name="FDD_170_9" hidden="1">"A33969"</definedName>
    <definedName name="FDD_171_0" hidden="1">"A30681"</definedName>
    <definedName name="FDD_171_1" hidden="1">"A31047"</definedName>
    <definedName name="FDD_171_10" hidden="1">"A34334"</definedName>
    <definedName name="FDD_171_11" hidden="1">"A34699"</definedName>
    <definedName name="FDD_171_12" hidden="1">"A35064"</definedName>
    <definedName name="FDD_171_13" hidden="1">"A35430"</definedName>
    <definedName name="FDD_171_14" hidden="1">"A35795"</definedName>
    <definedName name="FDD_171_2" hidden="1">"A31412"</definedName>
    <definedName name="FDD_171_3" hidden="1">"A31777"</definedName>
    <definedName name="FDD_171_4" hidden="1">"A32142"</definedName>
    <definedName name="FDD_171_5" hidden="1">"A32508"</definedName>
    <definedName name="FDD_171_6" hidden="1">"A32873"</definedName>
    <definedName name="FDD_171_7" hidden="1">"A33238"</definedName>
    <definedName name="FDD_171_8" hidden="1">"A33603"</definedName>
    <definedName name="FDD_171_9" hidden="1">"A33969"</definedName>
    <definedName name="FDD_172_0" hidden="1">"A30681"</definedName>
    <definedName name="FDD_172_1" hidden="1">"A31047"</definedName>
    <definedName name="FDD_172_10" hidden="1">"A34334"</definedName>
    <definedName name="FDD_172_11" hidden="1">"A34699"</definedName>
    <definedName name="FDD_172_12" hidden="1">"A35064"</definedName>
    <definedName name="FDD_172_13" hidden="1">"A35430"</definedName>
    <definedName name="FDD_172_14" hidden="1">"A35795"</definedName>
    <definedName name="FDD_172_2" hidden="1">"A31412"</definedName>
    <definedName name="FDD_172_3" hidden="1">"A31777"</definedName>
    <definedName name="FDD_172_4" hidden="1">"A32142"</definedName>
    <definedName name="FDD_172_5" hidden="1">"A32508"</definedName>
    <definedName name="FDD_172_6" hidden="1">"A32873"</definedName>
    <definedName name="FDD_172_7" hidden="1">"A33238"</definedName>
    <definedName name="FDD_172_8" hidden="1">"A33603"</definedName>
    <definedName name="FDD_172_9" hidden="1">"A33969"</definedName>
    <definedName name="FDD_173_0" hidden="1">"A30681"</definedName>
    <definedName name="FDD_173_1" hidden="1">"A31047"</definedName>
    <definedName name="FDD_173_10" hidden="1">"A34334"</definedName>
    <definedName name="FDD_173_11" hidden="1">"A34699"</definedName>
    <definedName name="FDD_173_12" hidden="1">"A35064"</definedName>
    <definedName name="FDD_173_13" hidden="1">"A35430"</definedName>
    <definedName name="FDD_173_14" hidden="1">"A35795"</definedName>
    <definedName name="FDD_173_2" hidden="1">"A31412"</definedName>
    <definedName name="FDD_173_3" hidden="1">"A31777"</definedName>
    <definedName name="FDD_173_4" hidden="1">"A32142"</definedName>
    <definedName name="FDD_173_5" hidden="1">"A32508"</definedName>
    <definedName name="FDD_173_6" hidden="1">"A32873"</definedName>
    <definedName name="FDD_173_7" hidden="1">"A33238"</definedName>
    <definedName name="FDD_173_8" hidden="1">"A33603"</definedName>
    <definedName name="FDD_173_9" hidden="1">"A33969"</definedName>
    <definedName name="FDD_174_0" hidden="1">"A30681"</definedName>
    <definedName name="FDD_174_1" hidden="1">"A31047"</definedName>
    <definedName name="FDD_174_10" hidden="1">"A34334"</definedName>
    <definedName name="FDD_174_11" hidden="1">"A34699"</definedName>
    <definedName name="FDD_174_12" hidden="1">"A35064"</definedName>
    <definedName name="FDD_174_13" hidden="1">"A35430"</definedName>
    <definedName name="FDD_174_14" hidden="1">"A35795"</definedName>
    <definedName name="FDD_174_2" hidden="1">"A31412"</definedName>
    <definedName name="FDD_174_3" hidden="1">"A31777"</definedName>
    <definedName name="FDD_174_4" hidden="1">"A32142"</definedName>
    <definedName name="FDD_174_5" hidden="1">"A32508"</definedName>
    <definedName name="FDD_174_6" hidden="1">"A32873"</definedName>
    <definedName name="FDD_174_7" hidden="1">"A33238"</definedName>
    <definedName name="FDD_174_8" hidden="1">"A33603"</definedName>
    <definedName name="FDD_174_9" hidden="1">"A33969"</definedName>
    <definedName name="FDD_175_0" hidden="1">"E36160"</definedName>
    <definedName name="FDD_175_1" hidden="1">"E36525"</definedName>
    <definedName name="FDD_175_2" hidden="1">"E36891"</definedName>
    <definedName name="FDD_176_0" hidden="1">"E36160"</definedName>
    <definedName name="FDD_176_1" hidden="1">"E36525"</definedName>
    <definedName name="FDD_176_2" hidden="1">"E36891"</definedName>
    <definedName name="FDD_177_0" hidden="1">"E36160"</definedName>
    <definedName name="FDD_177_1" hidden="1">"E36525"</definedName>
    <definedName name="FDD_177_2" hidden="1">"E36891"</definedName>
    <definedName name="FDD_178_0" hidden="1">"E36160"</definedName>
    <definedName name="FDD_178_1" hidden="1">"E36525"</definedName>
    <definedName name="FDD_178_2" hidden="1">"E36891"</definedName>
    <definedName name="FDD_179_0" hidden="1">"E36160"</definedName>
    <definedName name="FDD_179_1" hidden="1">"E36525"</definedName>
    <definedName name="FDD_179_2" hidden="1">"E36891"</definedName>
    <definedName name="FDD_18_0" hidden="1">"A25569"</definedName>
    <definedName name="FDD_180_0" hidden="1">"E36160"</definedName>
    <definedName name="FDD_180_1" hidden="1">"E36525"</definedName>
    <definedName name="FDD_180_2" hidden="1">"E36891"</definedName>
    <definedName name="FDD_181_0" hidden="1">"E36160"</definedName>
    <definedName name="FDD_181_1" hidden="1">"E36525"</definedName>
    <definedName name="FDD_181_2" hidden="1">"E36891"</definedName>
    <definedName name="FDD_182_0" hidden="1">"E36160"</definedName>
    <definedName name="FDD_182_1" hidden="1">"E36525"</definedName>
    <definedName name="FDD_182_2" hidden="1">"E36891"</definedName>
    <definedName name="FDD_183_0" hidden="1">"E36160"</definedName>
    <definedName name="FDD_183_1" hidden="1">"E36525"</definedName>
    <definedName name="FDD_183_2" hidden="1">"E36891"</definedName>
    <definedName name="FDD_184_0" hidden="1">"E36160"</definedName>
    <definedName name="FDD_184_1" hidden="1">"E36525"</definedName>
    <definedName name="FDD_184_2" hidden="1">"E36891"</definedName>
    <definedName name="FDD_185_0" hidden="1">"E36160"</definedName>
    <definedName name="FDD_185_1" hidden="1">"E36525"</definedName>
    <definedName name="FDD_185_2" hidden="1">"E36891"</definedName>
    <definedName name="FDD_186_0" hidden="1">"E36160"</definedName>
    <definedName name="FDD_186_1" hidden="1">"E36525"</definedName>
    <definedName name="FDD_186_2" hidden="1">"E36891"</definedName>
    <definedName name="FDD_187_0" hidden="1">"E36160"</definedName>
    <definedName name="FDD_187_1" hidden="1">"E36525"</definedName>
    <definedName name="FDD_187_2" hidden="1">"E36891"</definedName>
    <definedName name="FDD_188_0" hidden="1">"A30681"</definedName>
    <definedName name="FDD_188_1" hidden="1">"A31047"</definedName>
    <definedName name="FDD_188_10" hidden="1">"A34334"</definedName>
    <definedName name="FDD_188_11" hidden="1">"A34699"</definedName>
    <definedName name="FDD_188_12" hidden="1">"A35064"</definedName>
    <definedName name="FDD_188_13" hidden="1">"A35430"</definedName>
    <definedName name="FDD_188_14" hidden="1">"A35795"</definedName>
    <definedName name="FDD_188_2" hidden="1">"A31412"</definedName>
    <definedName name="FDD_188_3" hidden="1">"A31777"</definedName>
    <definedName name="FDD_188_4" hidden="1">"A32142"</definedName>
    <definedName name="FDD_188_5" hidden="1">"A32508"</definedName>
    <definedName name="FDD_188_6" hidden="1">"A32873"</definedName>
    <definedName name="FDD_188_7" hidden="1">"A33238"</definedName>
    <definedName name="FDD_188_8" hidden="1">"A33603"</definedName>
    <definedName name="FDD_188_9" hidden="1">"A33969"</definedName>
    <definedName name="FDD_189_0" hidden="1">"A30681"</definedName>
    <definedName name="FDD_189_1" hidden="1">"A31047"</definedName>
    <definedName name="FDD_189_10" hidden="1">"A34334"</definedName>
    <definedName name="FDD_189_11" hidden="1">"A34699"</definedName>
    <definedName name="FDD_189_12" hidden="1">"A35064"</definedName>
    <definedName name="FDD_189_13" hidden="1">"A35430"</definedName>
    <definedName name="FDD_189_14" hidden="1">"A35795"</definedName>
    <definedName name="FDD_189_2" hidden="1">"A31412"</definedName>
    <definedName name="FDD_189_3" hidden="1">"A31777"</definedName>
    <definedName name="FDD_189_4" hidden="1">"A32142"</definedName>
    <definedName name="FDD_189_5" hidden="1">"A32508"</definedName>
    <definedName name="FDD_189_6" hidden="1">"A32873"</definedName>
    <definedName name="FDD_189_7" hidden="1">"A33238"</definedName>
    <definedName name="FDD_189_8" hidden="1">"A33603"</definedName>
    <definedName name="FDD_189_9" hidden="1">"A33969"</definedName>
    <definedName name="FDD_19_0" hidden="1">"A25569"</definedName>
    <definedName name="FDD_19_1" hidden="1">"A35795"</definedName>
    <definedName name="FDD_19_2" hidden="1">"E36160"</definedName>
    <definedName name="FDD_19_3" hidden="1">"E36525"</definedName>
    <definedName name="FDD_190_0" hidden="1">"A30681"</definedName>
    <definedName name="FDD_190_1" hidden="1">"A31047"</definedName>
    <definedName name="FDD_190_10" hidden="1">"A34334"</definedName>
    <definedName name="FDD_190_11" hidden="1">"A34699"</definedName>
    <definedName name="FDD_190_12" hidden="1">"A35064"</definedName>
    <definedName name="FDD_190_13" hidden="1">"A35430"</definedName>
    <definedName name="FDD_190_14" hidden="1">"A35795"</definedName>
    <definedName name="FDD_190_2" hidden="1">"A31412"</definedName>
    <definedName name="FDD_190_3" hidden="1">"A31777"</definedName>
    <definedName name="FDD_190_4" hidden="1">"A32142"</definedName>
    <definedName name="FDD_190_5" hidden="1">"A32508"</definedName>
    <definedName name="FDD_190_6" hidden="1">"A32873"</definedName>
    <definedName name="FDD_190_7" hidden="1">"A33238"</definedName>
    <definedName name="FDD_190_8" hidden="1">"A33603"</definedName>
    <definedName name="FDD_190_9" hidden="1">"A33969"</definedName>
    <definedName name="FDD_191_0" hidden="1">"A30681"</definedName>
    <definedName name="FDD_191_1" hidden="1">"A31047"</definedName>
    <definedName name="FDD_191_10" hidden="1">"A34334"</definedName>
    <definedName name="FDD_191_11" hidden="1">"A34699"</definedName>
    <definedName name="FDD_191_12" hidden="1">"A35064"</definedName>
    <definedName name="FDD_191_13" hidden="1">"A35430"</definedName>
    <definedName name="FDD_191_14" hidden="1">"A35795"</definedName>
    <definedName name="FDD_191_2" hidden="1">"A31412"</definedName>
    <definedName name="FDD_191_3" hidden="1">"A31777"</definedName>
    <definedName name="FDD_191_4" hidden="1">"A32142"</definedName>
    <definedName name="FDD_191_5" hidden="1">"A32508"</definedName>
    <definedName name="FDD_191_6" hidden="1">"A32873"</definedName>
    <definedName name="FDD_191_7" hidden="1">"A33238"</definedName>
    <definedName name="FDD_191_8" hidden="1">"A33603"</definedName>
    <definedName name="FDD_191_9" hidden="1">"A33969"</definedName>
    <definedName name="FDD_192_0" hidden="1">"E36160"</definedName>
    <definedName name="FDD_192_1" hidden="1">"E36525"</definedName>
    <definedName name="FDD_192_2" hidden="1">"E36891"</definedName>
    <definedName name="FDD_193_0" hidden="1">"A30681"</definedName>
    <definedName name="FDD_193_1" hidden="1">"A31047"</definedName>
    <definedName name="FDD_193_10" hidden="1">"A34334"</definedName>
    <definedName name="FDD_193_11" hidden="1">"A34699"</definedName>
    <definedName name="FDD_193_12" hidden="1">"A35064"</definedName>
    <definedName name="FDD_193_13" hidden="1">"A35430"</definedName>
    <definedName name="FDD_193_14" hidden="1">"A35795"</definedName>
    <definedName name="FDD_193_2" hidden="1">"A31412"</definedName>
    <definedName name="FDD_193_3" hidden="1">"A31777"</definedName>
    <definedName name="FDD_193_4" hidden="1">"A32142"</definedName>
    <definedName name="FDD_193_5" hidden="1">"A32508"</definedName>
    <definedName name="FDD_193_6" hidden="1">"A32873"</definedName>
    <definedName name="FDD_193_7" hidden="1">"A33238"</definedName>
    <definedName name="FDD_193_8" hidden="1">"A33603"</definedName>
    <definedName name="FDD_193_9" hidden="1">"A33969"</definedName>
    <definedName name="FDD_194_0" hidden="1">"A30681"</definedName>
    <definedName name="FDD_194_1" hidden="1">"A31047"</definedName>
    <definedName name="FDD_194_10" hidden="1">"A34334"</definedName>
    <definedName name="FDD_194_11" hidden="1">"A34699"</definedName>
    <definedName name="FDD_194_12" hidden="1">"A35064"</definedName>
    <definedName name="FDD_194_13" hidden="1">"A35430"</definedName>
    <definedName name="FDD_194_14" hidden="1">"A35795"</definedName>
    <definedName name="FDD_194_2" hidden="1">"A31412"</definedName>
    <definedName name="FDD_194_3" hidden="1">"A31777"</definedName>
    <definedName name="FDD_194_4" hidden="1">"A32142"</definedName>
    <definedName name="FDD_194_5" hidden="1">"A32508"</definedName>
    <definedName name="FDD_194_6" hidden="1">"A32873"</definedName>
    <definedName name="FDD_194_7" hidden="1">"A33238"</definedName>
    <definedName name="FDD_194_8" hidden="1">"A33603"</definedName>
    <definedName name="FDD_194_9" hidden="1">"A33969"</definedName>
    <definedName name="FDD_195_0" hidden="1">"A30681"</definedName>
    <definedName name="FDD_195_1" hidden="1">"A31047"</definedName>
    <definedName name="FDD_195_10" hidden="1">"A34334"</definedName>
    <definedName name="FDD_195_11" hidden="1">"A34699"</definedName>
    <definedName name="FDD_195_12" hidden="1">"A35064"</definedName>
    <definedName name="FDD_195_13" hidden="1">"A35430"</definedName>
    <definedName name="FDD_195_14" hidden="1">"A35795"</definedName>
    <definedName name="FDD_195_2" hidden="1">"A31412"</definedName>
    <definedName name="FDD_195_3" hidden="1">"A31777"</definedName>
    <definedName name="FDD_195_4" hidden="1">"A32142"</definedName>
    <definedName name="FDD_195_5" hidden="1">"A32508"</definedName>
    <definedName name="FDD_195_6" hidden="1">"A32873"</definedName>
    <definedName name="FDD_195_7" hidden="1">"A33238"</definedName>
    <definedName name="FDD_195_8" hidden="1">"A33603"</definedName>
    <definedName name="FDD_195_9" hidden="1">"A33969"</definedName>
    <definedName name="FDD_196_0" hidden="1">"E36160"</definedName>
    <definedName name="FDD_196_1" hidden="1">"E36525"</definedName>
    <definedName name="FDD_196_2" hidden="1">"E36891"</definedName>
    <definedName name="FDD_197_0" hidden="1">"A30681"</definedName>
    <definedName name="FDD_197_1" hidden="1">"A31047"</definedName>
    <definedName name="FDD_197_10" hidden="1">"A34334"</definedName>
    <definedName name="FDD_197_11" hidden="1">"A34699"</definedName>
    <definedName name="FDD_197_12" hidden="1">"A35064"</definedName>
    <definedName name="FDD_197_13" hidden="1">"A35430"</definedName>
    <definedName name="FDD_197_14" hidden="1">"A35795"</definedName>
    <definedName name="FDD_197_2" hidden="1">"A31412"</definedName>
    <definedName name="FDD_197_3" hidden="1">"A31777"</definedName>
    <definedName name="FDD_197_4" hidden="1">"A32142"</definedName>
    <definedName name="FDD_197_5" hidden="1">"A32508"</definedName>
    <definedName name="FDD_197_6" hidden="1">"A32873"</definedName>
    <definedName name="FDD_197_7" hidden="1">"A33238"</definedName>
    <definedName name="FDD_197_8" hidden="1">"A33603"</definedName>
    <definedName name="FDD_197_9" hidden="1">"A33969"</definedName>
    <definedName name="FDD_198_0" hidden="1">"A30681"</definedName>
    <definedName name="FDD_198_1" hidden="1">"A31047"</definedName>
    <definedName name="FDD_198_10" hidden="1">"U34334"</definedName>
    <definedName name="FDD_198_11" hidden="1">"U34699"</definedName>
    <definedName name="FDD_198_12" hidden="1">"U35064"</definedName>
    <definedName name="FDD_198_13" hidden="1">"U35430"</definedName>
    <definedName name="FDD_198_14" hidden="1">"U35795"</definedName>
    <definedName name="FDD_198_2" hidden="1">"A31412"</definedName>
    <definedName name="FDD_198_3" hidden="1">"U31777"</definedName>
    <definedName name="FDD_198_4" hidden="1">"U32142"</definedName>
    <definedName name="FDD_198_5" hidden="1">"U32508"</definedName>
    <definedName name="FDD_198_6" hidden="1">"U32873"</definedName>
    <definedName name="FDD_198_7" hidden="1">"U33238"</definedName>
    <definedName name="FDD_198_8" hidden="1">"U33603"</definedName>
    <definedName name="FDD_198_9" hidden="1">"U33969"</definedName>
    <definedName name="FDD_199_0" hidden="1">"E36160"</definedName>
    <definedName name="FDD_199_1" hidden="1">"E36525"</definedName>
    <definedName name="FDD_199_2" hidden="1">"E36891"</definedName>
    <definedName name="FDD_2_0" hidden="1">"A25569"</definedName>
    <definedName name="FDD_20_0" hidden="1">"A25569"</definedName>
    <definedName name="FDD_200_0" hidden="1">"E36160"</definedName>
    <definedName name="FDD_200_1" hidden="1">"E36525"</definedName>
    <definedName name="FDD_200_2" hidden="1">"E36891"</definedName>
    <definedName name="FDD_201_0" hidden="1">"A30681"</definedName>
    <definedName name="FDD_201_1" hidden="1">"A31047"</definedName>
    <definedName name="FDD_201_10" hidden="1">"A34334"</definedName>
    <definedName name="FDD_201_11" hidden="1">"A34699"</definedName>
    <definedName name="FDD_201_12" hidden="1">"A35064"</definedName>
    <definedName name="FDD_201_13" hidden="1">"A35430"</definedName>
    <definedName name="FDD_201_14" hidden="1">"A35795"</definedName>
    <definedName name="FDD_201_2" hidden="1">"A31412"</definedName>
    <definedName name="FDD_201_3" hidden="1">"A31777"</definedName>
    <definedName name="FDD_201_4" hidden="1">"A32142"</definedName>
    <definedName name="FDD_201_5" hidden="1">"A32508"</definedName>
    <definedName name="FDD_201_6" hidden="1">"A32873"</definedName>
    <definedName name="FDD_201_7" hidden="1">"A33238"</definedName>
    <definedName name="FDD_201_8" hidden="1">"A33603"</definedName>
    <definedName name="FDD_201_9" hidden="1">"A33969"</definedName>
    <definedName name="FDD_202_0" hidden="1">"A30681"</definedName>
    <definedName name="FDD_202_1" hidden="1">"A31047"</definedName>
    <definedName name="FDD_202_10" hidden="1">"A34334"</definedName>
    <definedName name="FDD_202_11" hidden="1">"A34699"</definedName>
    <definedName name="FDD_202_12" hidden="1">"A35064"</definedName>
    <definedName name="FDD_202_13" hidden="1">"A35430"</definedName>
    <definedName name="FDD_202_14" hidden="1">"A35795"</definedName>
    <definedName name="FDD_202_2" hidden="1">"A31412"</definedName>
    <definedName name="FDD_202_3" hidden="1">"A31777"</definedName>
    <definedName name="FDD_202_4" hidden="1">"A32142"</definedName>
    <definedName name="FDD_202_5" hidden="1">"A32508"</definedName>
    <definedName name="FDD_202_6" hidden="1">"A32873"</definedName>
    <definedName name="FDD_202_7" hidden="1">"A33238"</definedName>
    <definedName name="FDD_202_8" hidden="1">"A33603"</definedName>
    <definedName name="FDD_202_9" hidden="1">"A33969"</definedName>
    <definedName name="FDD_203_0" hidden="1">"E36160"</definedName>
    <definedName name="FDD_203_1" hidden="1">"E36525"</definedName>
    <definedName name="FDD_203_2" hidden="1">"E36891"</definedName>
    <definedName name="FDD_204_0" hidden="1">"A25569"</definedName>
    <definedName name="FDD_205_0" hidden="1">"A25569"</definedName>
    <definedName name="FDD_206_0" hidden="1">"A25569"</definedName>
    <definedName name="FDD_207_0" hidden="1">"A25569"</definedName>
    <definedName name="FDD_208_0" hidden="1">"E36160"</definedName>
    <definedName name="FDD_208_1" hidden="1">"E36525"</definedName>
    <definedName name="FDD_208_2" hidden="1">"E36891"</definedName>
    <definedName name="FDD_209_0" hidden="1">"A25569"</definedName>
    <definedName name="FDD_21_0" hidden="1">"A25569"</definedName>
    <definedName name="FDD_210_0" hidden="1">"A25569"</definedName>
    <definedName name="FDD_211_0" hidden="1">"A25569"</definedName>
    <definedName name="FDD_212_0" hidden="1">"A25569"</definedName>
    <definedName name="FDD_213_0" hidden="1">"E36160"</definedName>
    <definedName name="FDD_213_1" hidden="1">"E36525"</definedName>
    <definedName name="FDD_213_2" hidden="1">"E36891"</definedName>
    <definedName name="FDD_214_0" hidden="1">"A25569"</definedName>
    <definedName name="FDD_215_0" hidden="1">"A25569"</definedName>
    <definedName name="FDD_216_0" hidden="1">"A25569"</definedName>
    <definedName name="FDD_217_0" hidden="1">"A25569"</definedName>
    <definedName name="FDD_218_0" hidden="1">"E36160"</definedName>
    <definedName name="FDD_218_1" hidden="1">"E36525"</definedName>
    <definedName name="FDD_218_2" hidden="1">"E36891"</definedName>
    <definedName name="FDD_219_0" hidden="1">"U25569"</definedName>
    <definedName name="FDD_22_0" hidden="1">"A25569"</definedName>
    <definedName name="FDD_220_0" hidden="1">"U25569"</definedName>
    <definedName name="FDD_221_0" hidden="1">"U25569"</definedName>
    <definedName name="FDD_222_0" hidden="1">"U25569"</definedName>
    <definedName name="FDD_223_0" hidden="1">"E36160"</definedName>
    <definedName name="FDD_223_1" hidden="1">"E36525"</definedName>
    <definedName name="FDD_223_2" hidden="1">"E36891"</definedName>
    <definedName name="FDD_224_0" hidden="1">"A25569"</definedName>
    <definedName name="FDD_225_0" hidden="1">"A25569"</definedName>
    <definedName name="FDD_226_0" hidden="1">"A25569"</definedName>
    <definedName name="FDD_227_0" hidden="1">"A25569"</definedName>
    <definedName name="FDD_228_0" hidden="1">"E36160"</definedName>
    <definedName name="FDD_228_1" hidden="1">"E36525"</definedName>
    <definedName name="FDD_228_2" hidden="1">"E36891"</definedName>
    <definedName name="FDD_229_0" hidden="1">"A25569"</definedName>
    <definedName name="FDD_23_0" hidden="1">"A25569"</definedName>
    <definedName name="FDD_230_0" hidden="1">"A25569"</definedName>
    <definedName name="FDD_231_0" hidden="1">"A25569"</definedName>
    <definedName name="FDD_232_0" hidden="1">"A25569"</definedName>
    <definedName name="FDD_233_0" hidden="1">"A25569"</definedName>
    <definedName name="FDD_234_0" hidden="1">"A25569"</definedName>
    <definedName name="FDD_235_0" hidden="1">"A25569"</definedName>
    <definedName name="FDD_236_0" hidden="1">"A25569"</definedName>
    <definedName name="FDD_237_0" hidden="1">"A25569"</definedName>
    <definedName name="FDD_238_0" hidden="1">"A30681"</definedName>
    <definedName name="FDD_238_1" hidden="1">"A31047"</definedName>
    <definedName name="FDD_238_10" hidden="1">"A34334"</definedName>
    <definedName name="FDD_238_11" hidden="1">"A34699"</definedName>
    <definedName name="FDD_238_12" hidden="1">"A35064"</definedName>
    <definedName name="FDD_238_13" hidden="1">"A35430"</definedName>
    <definedName name="FDD_238_14" hidden="1">"A35795"</definedName>
    <definedName name="FDD_238_2" hidden="1">"A31412"</definedName>
    <definedName name="FDD_238_3" hidden="1">"A31777"</definedName>
    <definedName name="FDD_238_4" hidden="1">"A32142"</definedName>
    <definedName name="FDD_238_5" hidden="1">"A32508"</definedName>
    <definedName name="FDD_238_6" hidden="1">"A32873"</definedName>
    <definedName name="FDD_238_7" hidden="1">"A33238"</definedName>
    <definedName name="FDD_238_8" hidden="1">"A33603"</definedName>
    <definedName name="FDD_238_9" hidden="1">"A33969"</definedName>
    <definedName name="FDD_24_0" hidden="1">"A25569"</definedName>
    <definedName name="FDD_243_0" hidden="1">"E36160"</definedName>
    <definedName name="FDD_243_1" hidden="1">"E36525"</definedName>
    <definedName name="FDD_243_2" hidden="1">"E36891"</definedName>
    <definedName name="FDD_244_0" hidden="1">"A25569"</definedName>
    <definedName name="FDD_245_0" hidden="1">"A25569"</definedName>
    <definedName name="FDD_246_0" hidden="1">"A25569"</definedName>
    <definedName name="FDD_247_0" hidden="1">"A25569"</definedName>
    <definedName name="FDD_248_0" hidden="1">"E36160"</definedName>
    <definedName name="FDD_248_1" hidden="1">"E36525"</definedName>
    <definedName name="FDD_248_2" hidden="1">"E36891"</definedName>
    <definedName name="FDD_249_0" hidden="1">"A25569"</definedName>
    <definedName name="FDD_25_0" hidden="1">"A25569"</definedName>
    <definedName name="FDD_25_1" hidden="1">"U35795"</definedName>
    <definedName name="FDD_25_2" hidden="1">"U36160"</definedName>
    <definedName name="FDD_25_3" hidden="1">"U36525"</definedName>
    <definedName name="FDD_250_0" hidden="1">"A25569"</definedName>
    <definedName name="FDD_251_0" hidden="1">"A25569"</definedName>
    <definedName name="FDD_252_0" hidden="1">"A25569"</definedName>
    <definedName name="FDD_253_0" hidden="1">"E36160"</definedName>
    <definedName name="FDD_253_1" hidden="1">"E36525"</definedName>
    <definedName name="FDD_253_2" hidden="1">"E36891"</definedName>
    <definedName name="FDD_254_0" hidden="1">"E36160"</definedName>
    <definedName name="FDD_254_1" hidden="1">"E36525"</definedName>
    <definedName name="FDD_254_2" hidden="1">"E36891"</definedName>
    <definedName name="FDD_255_0" hidden="1">"E36160"</definedName>
    <definedName name="FDD_255_1" hidden="1">"E36525"</definedName>
    <definedName name="FDD_255_2" hidden="1">"E36891"</definedName>
    <definedName name="FDD_256_0" hidden="1">"U36160"</definedName>
    <definedName name="FDD_256_1" hidden="1">"U36525"</definedName>
    <definedName name="FDD_256_2" hidden="1">"U36891"</definedName>
    <definedName name="FDD_257_0" hidden="1">"E36160"</definedName>
    <definedName name="FDD_257_1" hidden="1">"E36525"</definedName>
    <definedName name="FDD_257_2" hidden="1">"E36891"</definedName>
    <definedName name="FDD_258_0" hidden="1">"E36160"</definedName>
    <definedName name="FDD_258_1" hidden="1">"E36525"</definedName>
    <definedName name="FDD_258_2" hidden="1">"E36891"</definedName>
    <definedName name="FDD_259_0" hidden="1">"E36160"</definedName>
    <definedName name="FDD_259_1" hidden="1">"E36525"</definedName>
    <definedName name="FDD_259_2" hidden="1">"E36891"</definedName>
    <definedName name="FDD_26_0" hidden="1">"A25569"</definedName>
    <definedName name="FDD_260_0" hidden="1">"E36160"</definedName>
    <definedName name="FDD_260_1" hidden="1">"E36525"</definedName>
    <definedName name="FDD_260_2" hidden="1">"E36891"</definedName>
    <definedName name="FDD_261_0" hidden="1">"E36160"</definedName>
    <definedName name="FDD_261_1" hidden="1">"E36525"</definedName>
    <definedName name="FDD_261_2" hidden="1">"E36891"</definedName>
    <definedName name="FDD_264_0" hidden="1">"E36160"</definedName>
    <definedName name="FDD_264_1" hidden="1">"E36525"</definedName>
    <definedName name="FDD_264_2" hidden="1">"E36891"</definedName>
    <definedName name="FDD_265_0" hidden="1">"A25569"</definedName>
    <definedName name="FDD_266_0" hidden="1">"A25569"</definedName>
    <definedName name="FDD_267_0" hidden="1">"A25569"</definedName>
    <definedName name="FDD_268_0" hidden="1">"A25569"</definedName>
    <definedName name="FDD_269_0" hidden="1">"E36160"</definedName>
    <definedName name="FDD_269_1" hidden="1">"E36525"</definedName>
    <definedName name="FDD_269_2" hidden="1">"E36891"</definedName>
    <definedName name="FDD_27_0" hidden="1">"A25569"</definedName>
    <definedName name="FDD_270_0" hidden="1">"A25569"</definedName>
    <definedName name="FDD_271_0" hidden="1">"A25569"</definedName>
    <definedName name="FDD_272_0" hidden="1">"A25569"</definedName>
    <definedName name="FDD_273_0" hidden="1">"A25569"</definedName>
    <definedName name="FDD_274_0" hidden="1">"E36160"</definedName>
    <definedName name="FDD_274_1" hidden="1">"E36525"</definedName>
    <definedName name="FDD_274_2" hidden="1">"E36891"</definedName>
    <definedName name="FDD_275_0" hidden="1">"A25569"</definedName>
    <definedName name="FDD_276_0" hidden="1">"A25569"</definedName>
    <definedName name="FDD_277_0" hidden="1">"A25569"</definedName>
    <definedName name="FDD_278_0" hidden="1">"A25569"</definedName>
    <definedName name="FDD_279_0" hidden="1">"E36160"</definedName>
    <definedName name="FDD_279_1" hidden="1">"E36525"</definedName>
    <definedName name="FDD_279_2" hidden="1">"E36891"</definedName>
    <definedName name="FDD_28_0" hidden="1">"A25569"</definedName>
    <definedName name="FDD_280_0" hidden="1">"E36160"</definedName>
    <definedName name="FDD_280_1" hidden="1">"E36525"</definedName>
    <definedName name="FDD_280_2" hidden="1">"E36891"</definedName>
    <definedName name="FDD_281_0" hidden="1">"E36160"</definedName>
    <definedName name="FDD_281_1" hidden="1">"E36525"</definedName>
    <definedName name="FDD_281_2" hidden="1">"E36891"</definedName>
    <definedName name="FDD_282_0" hidden="1">"E36160"</definedName>
    <definedName name="FDD_282_1" hidden="1">"E36525"</definedName>
    <definedName name="FDD_282_2" hidden="1">"E36891"</definedName>
    <definedName name="FDD_283_0" hidden="1">"E36160"</definedName>
    <definedName name="FDD_283_1" hidden="1">"E36525"</definedName>
    <definedName name="FDD_283_2" hidden="1">"E36891"</definedName>
    <definedName name="FDD_284_0" hidden="1">"A30681"</definedName>
    <definedName name="FDD_284_1" hidden="1">"A31047"</definedName>
    <definedName name="FDD_284_10" hidden="1">"A34334"</definedName>
    <definedName name="FDD_284_11" hidden="1">"A34699"</definedName>
    <definedName name="FDD_284_12" hidden="1">"A35064"</definedName>
    <definedName name="FDD_284_13" hidden="1">"A35430"</definedName>
    <definedName name="FDD_284_14" hidden="1">"A35795"</definedName>
    <definedName name="FDD_284_2" hidden="1">"A31412"</definedName>
    <definedName name="FDD_284_3" hidden="1">"A31777"</definedName>
    <definedName name="FDD_284_4" hidden="1">"A32142"</definedName>
    <definedName name="FDD_284_5" hidden="1">"A32508"</definedName>
    <definedName name="FDD_284_6" hidden="1">"A32873"</definedName>
    <definedName name="FDD_284_7" hidden="1">"A33238"</definedName>
    <definedName name="FDD_284_8" hidden="1">"A33603"</definedName>
    <definedName name="FDD_284_9" hidden="1">"A33969"</definedName>
    <definedName name="FDD_285_0" hidden="1">"A35795"</definedName>
    <definedName name="FDD_285_1" hidden="1">"E36160"</definedName>
    <definedName name="FDD_285_10" hidden="1">"E39447"</definedName>
    <definedName name="FDD_285_11" hidden="1">"E39813"</definedName>
    <definedName name="FDD_285_12" hidden="1">"E40178"</definedName>
    <definedName name="FDD_285_13" hidden="1">"E40543"</definedName>
    <definedName name="FDD_285_14" hidden="1">"E40908"</definedName>
    <definedName name="FDD_285_15" hidden="1">"E41274"</definedName>
    <definedName name="FDD_285_16" hidden="1">"E41639"</definedName>
    <definedName name="FDD_285_17" hidden="1">"E42004"</definedName>
    <definedName name="FDD_285_18" hidden="1">"E42369"</definedName>
    <definedName name="FDD_285_19" hidden="1">"E42735"</definedName>
    <definedName name="FDD_285_2" hidden="1">"E36525"</definedName>
    <definedName name="FDD_285_20" hidden="1">"E43100"</definedName>
    <definedName name="FDD_285_21" hidden="1">"E43465"</definedName>
    <definedName name="FDD_285_22" hidden="1">"E43830"</definedName>
    <definedName name="FDD_285_23" hidden="1">"E44196"</definedName>
    <definedName name="FDD_285_24" hidden="1">"E44561"</definedName>
    <definedName name="FDD_285_25" hidden="1">"E44926"</definedName>
    <definedName name="FDD_285_3" hidden="1">"E36891"</definedName>
    <definedName name="FDD_285_4" hidden="1">"E37256"</definedName>
    <definedName name="FDD_285_5" hidden="1">"E37621"</definedName>
    <definedName name="FDD_285_6" hidden="1">"E37986"</definedName>
    <definedName name="FDD_285_7" hidden="1">"E38352"</definedName>
    <definedName name="FDD_285_8" hidden="1">"E38717"</definedName>
    <definedName name="FDD_285_9" hidden="1">"E39082"</definedName>
    <definedName name="FDD_286_0" hidden="1">"E36160"</definedName>
    <definedName name="FDD_286_1" hidden="1">"E36525"</definedName>
    <definedName name="FDD_286_10" hidden="1">"E39813"</definedName>
    <definedName name="FDD_286_11" hidden="1">"E40178"</definedName>
    <definedName name="FDD_286_12" hidden="1">"E40543"</definedName>
    <definedName name="FDD_286_13" hidden="1">"E40908"</definedName>
    <definedName name="FDD_286_14" hidden="1">"E41274"</definedName>
    <definedName name="FDD_286_15" hidden="1">"E41639"</definedName>
    <definedName name="FDD_286_16" hidden="1">"E42004"</definedName>
    <definedName name="FDD_286_17" hidden="1">"E42369"</definedName>
    <definedName name="FDD_286_18" hidden="1">"E42735"</definedName>
    <definedName name="FDD_286_19" hidden="1">"E43100"</definedName>
    <definedName name="FDD_286_2" hidden="1">"E36891"</definedName>
    <definedName name="FDD_286_20" hidden="1">"E43465"</definedName>
    <definedName name="FDD_286_21" hidden="1">"E43830"</definedName>
    <definedName name="FDD_286_22" hidden="1">"E44196"</definedName>
    <definedName name="FDD_286_23" hidden="1">"E44561"</definedName>
    <definedName name="FDD_286_24" hidden="1">"E44926"</definedName>
    <definedName name="FDD_286_3" hidden="1">"E37256"</definedName>
    <definedName name="FDD_286_4" hidden="1">"E37621"</definedName>
    <definedName name="FDD_286_5" hidden="1">"E37986"</definedName>
    <definedName name="FDD_286_6" hidden="1">"E38352"</definedName>
    <definedName name="FDD_286_7" hidden="1">"E38717"</definedName>
    <definedName name="FDD_286_8" hidden="1">"E39082"</definedName>
    <definedName name="FDD_286_9" hidden="1">"E39447"</definedName>
    <definedName name="FDD_287_0" hidden="1">"A25569"</definedName>
    <definedName name="FDD_288_0" hidden="1">"A25569"</definedName>
    <definedName name="FDD_289_0" hidden="1">"A36890"</definedName>
    <definedName name="FDD_29_0" hidden="1">"A25569"</definedName>
    <definedName name="FDD_290_0" hidden="1">"A36890"</definedName>
    <definedName name="FDD_291_0" hidden="1">"A25569"</definedName>
    <definedName name="FDD_295_0" hidden="1">"U25569"</definedName>
    <definedName name="FDD_296_0" hidden="1">"A25569"</definedName>
    <definedName name="FDD_297_0" hidden="1">"A25569"</definedName>
    <definedName name="FDD_298_0" hidden="1">"A25569"</definedName>
    <definedName name="FDD_299_0" hidden="1">"A25569"</definedName>
    <definedName name="FDD_3_0" hidden="1">"A25569"</definedName>
    <definedName name="FDD_30_0" hidden="1">"A25569"</definedName>
    <definedName name="FDD_300_0" hidden="1">"U25569"</definedName>
    <definedName name="FDD_301_0" hidden="1">"U35795"</definedName>
    <definedName name="FDD_301_1" hidden="1">"U36160"</definedName>
    <definedName name="FDD_301_2" hidden="1">"U36525"</definedName>
    <definedName name="FDD_302_0" hidden="1">"U35795"</definedName>
    <definedName name="FDD_302_1" hidden="1">"U36160"</definedName>
    <definedName name="FDD_302_2" hidden="1">"U36525"</definedName>
    <definedName name="FDD_303_0" hidden="1">"U35795"</definedName>
    <definedName name="FDD_303_1" hidden="1">"U36160"</definedName>
    <definedName name="FDD_303_2" hidden="1">"U36525"</definedName>
    <definedName name="FDD_304_0" hidden="1">"U35795"</definedName>
    <definedName name="FDD_304_1" hidden="1">"U36160"</definedName>
    <definedName name="FDD_304_2" hidden="1">"U36525"</definedName>
    <definedName name="FDD_305_0" hidden="1">"A30681"</definedName>
    <definedName name="FDD_305_1" hidden="1">"A31047"</definedName>
    <definedName name="FDD_305_10" hidden="1">"U34334"</definedName>
    <definedName name="FDD_305_11" hidden="1">"U34699"</definedName>
    <definedName name="FDD_305_12" hidden="1">"U35064"</definedName>
    <definedName name="FDD_305_13" hidden="1">"U35430"</definedName>
    <definedName name="FDD_305_14" hidden="1">"U35795"</definedName>
    <definedName name="FDD_305_2" hidden="1">"A31412"</definedName>
    <definedName name="FDD_305_3" hidden="1">"U31777"</definedName>
    <definedName name="FDD_305_4" hidden="1">"U32142"</definedName>
    <definedName name="FDD_305_5" hidden="1">"U32508"</definedName>
    <definedName name="FDD_305_6" hidden="1">"U32873"</definedName>
    <definedName name="FDD_305_7" hidden="1">"U33238"</definedName>
    <definedName name="FDD_305_8" hidden="1">"U33603"</definedName>
    <definedName name="FDD_305_9" hidden="1">"U33969"</definedName>
    <definedName name="FDD_306_0" hidden="1">"U35795"</definedName>
    <definedName name="FDD_306_1" hidden="1">"E36160"</definedName>
    <definedName name="FDD_306_2" hidden="1">"U36525"</definedName>
    <definedName name="FDD_307_0" hidden="1">"A35795"</definedName>
    <definedName name="FDD_307_1" hidden="1">"U36160"</definedName>
    <definedName name="FDD_307_2" hidden="1">"U36525"</definedName>
    <definedName name="FDD_31_0" hidden="1">"A25569"</definedName>
    <definedName name="FDD_32_0" hidden="1">"A25569"</definedName>
    <definedName name="FDD_33_0" hidden="1">"A25569"</definedName>
    <definedName name="FDD_34_0" hidden="1">"A25569"</definedName>
    <definedName name="FDD_35_0" hidden="1">"A25569"</definedName>
    <definedName name="FDD_36_0" hidden="1">"A25569"</definedName>
    <definedName name="FDD_37_0" hidden="1">"A25569"</definedName>
    <definedName name="FDD_38_0" hidden="1">"A25569"</definedName>
    <definedName name="FDD_39_0" hidden="1">"A25569"</definedName>
    <definedName name="FDD_4_0" hidden="1">"A25569"</definedName>
    <definedName name="FDD_40_0" hidden="1">"A25569"</definedName>
    <definedName name="FDD_41_0" hidden="1">"U25569"</definedName>
    <definedName name="FDD_41_1" hidden="1">"A35795"</definedName>
    <definedName name="FDD_41_2" hidden="1">"E36160"</definedName>
    <definedName name="FDD_41_3" hidden="1">"E36525"</definedName>
    <definedName name="FDD_42_0" hidden="1">"U25569"</definedName>
    <definedName name="FDD_42_1" hidden="1">"U35795"</definedName>
    <definedName name="FDD_42_2" hidden="1">"U36160"</definedName>
    <definedName name="FDD_42_3" hidden="1">"U36525"</definedName>
    <definedName name="FDD_43_0" hidden="1">"A25569"</definedName>
    <definedName name="FDD_44_0" hidden="1">"A30681"</definedName>
    <definedName name="FDD_44_1" hidden="1">"A31047"</definedName>
    <definedName name="FDD_44_10" hidden="1">"A34334"</definedName>
    <definedName name="FDD_44_11" hidden="1">"A34699"</definedName>
    <definedName name="FDD_44_12" hidden="1">"A35064"</definedName>
    <definedName name="FDD_44_13" hidden="1">"A35430"</definedName>
    <definedName name="FDD_44_14" hidden="1">"A35795"</definedName>
    <definedName name="FDD_44_2" hidden="1">"A31412"</definedName>
    <definedName name="FDD_44_3" hidden="1">"A31777"</definedName>
    <definedName name="FDD_44_4" hidden="1">"A32142"</definedName>
    <definedName name="FDD_44_5" hidden="1">"A32508"</definedName>
    <definedName name="FDD_44_6" hidden="1">"A32873"</definedName>
    <definedName name="FDD_44_7" hidden="1">"A33238"</definedName>
    <definedName name="FDD_44_8" hidden="1">"A33603"</definedName>
    <definedName name="FDD_44_9" hidden="1">"A33969"</definedName>
    <definedName name="FDD_45_0" hidden="1">"A30681"</definedName>
    <definedName name="FDD_45_1" hidden="1">"A31047"</definedName>
    <definedName name="FDD_45_10" hidden="1">"A34334"</definedName>
    <definedName name="FDD_45_11" hidden="1">"A34699"</definedName>
    <definedName name="FDD_45_12" hidden="1">"A35064"</definedName>
    <definedName name="FDD_45_13" hidden="1">"A35430"</definedName>
    <definedName name="FDD_45_14" hidden="1">"A35795"</definedName>
    <definedName name="FDD_45_2" hidden="1">"A31412"</definedName>
    <definedName name="FDD_45_3" hidden="1">"A31777"</definedName>
    <definedName name="FDD_45_4" hidden="1">"A32142"</definedName>
    <definedName name="FDD_45_5" hidden="1">"A32508"</definedName>
    <definedName name="FDD_45_6" hidden="1">"A32873"</definedName>
    <definedName name="FDD_45_7" hidden="1">"A33238"</definedName>
    <definedName name="FDD_45_8" hidden="1">"A33603"</definedName>
    <definedName name="FDD_45_9" hidden="1">"A33969"</definedName>
    <definedName name="FDD_46_0" hidden="1">"A30681"</definedName>
    <definedName name="FDD_46_1" hidden="1">"A31047"</definedName>
    <definedName name="FDD_46_10" hidden="1">"A34334"</definedName>
    <definedName name="FDD_46_11" hidden="1">"A34699"</definedName>
    <definedName name="FDD_46_12" hidden="1">"A35064"</definedName>
    <definedName name="FDD_46_13" hidden="1">"A35430"</definedName>
    <definedName name="FDD_46_14" hidden="1">"A35795"</definedName>
    <definedName name="FDD_46_2" hidden="1">"A31412"</definedName>
    <definedName name="FDD_46_3" hidden="1">"A31777"</definedName>
    <definedName name="FDD_46_4" hidden="1">"A32142"</definedName>
    <definedName name="FDD_46_5" hidden="1">"A32508"</definedName>
    <definedName name="FDD_46_6" hidden="1">"A32873"</definedName>
    <definedName name="FDD_46_7" hidden="1">"A33238"</definedName>
    <definedName name="FDD_46_8" hidden="1">"A33603"</definedName>
    <definedName name="FDD_46_9" hidden="1">"A33969"</definedName>
    <definedName name="FDD_47_0" hidden="1">"A30681"</definedName>
    <definedName name="FDD_47_1" hidden="1">"A31047"</definedName>
    <definedName name="FDD_47_10" hidden="1">"A34334"</definedName>
    <definedName name="FDD_47_11" hidden="1">"A34699"</definedName>
    <definedName name="FDD_47_12" hidden="1">"A35064"</definedName>
    <definedName name="FDD_47_13" hidden="1">"A35430"</definedName>
    <definedName name="FDD_47_14" hidden="1">"A35795"</definedName>
    <definedName name="FDD_47_2" hidden="1">"A31412"</definedName>
    <definedName name="FDD_47_3" hidden="1">"A31777"</definedName>
    <definedName name="FDD_47_4" hidden="1">"A32142"</definedName>
    <definedName name="FDD_47_5" hidden="1">"A32508"</definedName>
    <definedName name="FDD_47_6" hidden="1">"A32873"</definedName>
    <definedName name="FDD_47_7" hidden="1">"A33238"</definedName>
    <definedName name="FDD_47_8" hidden="1">"A33603"</definedName>
    <definedName name="FDD_47_9" hidden="1">"A33969"</definedName>
    <definedName name="FDD_48_0" hidden="1">"A30681"</definedName>
    <definedName name="FDD_48_1" hidden="1">"A31047"</definedName>
    <definedName name="FDD_48_10" hidden="1">"A34334"</definedName>
    <definedName name="FDD_48_11" hidden="1">"A34699"</definedName>
    <definedName name="FDD_48_12" hidden="1">"A35064"</definedName>
    <definedName name="FDD_48_13" hidden="1">"A35430"</definedName>
    <definedName name="FDD_48_14" hidden="1">"A35795"</definedName>
    <definedName name="FDD_48_2" hidden="1">"A31412"</definedName>
    <definedName name="FDD_48_3" hidden="1">"A31777"</definedName>
    <definedName name="FDD_48_4" hidden="1">"A32142"</definedName>
    <definedName name="FDD_48_5" hidden="1">"A32508"</definedName>
    <definedName name="FDD_48_6" hidden="1">"A32873"</definedName>
    <definedName name="FDD_48_7" hidden="1">"A33238"</definedName>
    <definedName name="FDD_48_8" hidden="1">"A33603"</definedName>
    <definedName name="FDD_48_9" hidden="1">"A33969"</definedName>
    <definedName name="FDD_49_0" hidden="1">"A30681"</definedName>
    <definedName name="FDD_49_1" hidden="1">"A31047"</definedName>
    <definedName name="FDD_49_10" hidden="1">"A34334"</definedName>
    <definedName name="FDD_49_11" hidden="1">"A34699"</definedName>
    <definedName name="FDD_49_12" hidden="1">"A35064"</definedName>
    <definedName name="FDD_49_13" hidden="1">"A35430"</definedName>
    <definedName name="FDD_49_14" hidden="1">"A35795"</definedName>
    <definedName name="FDD_49_2" hidden="1">"A31412"</definedName>
    <definedName name="FDD_49_3" hidden="1">"A31777"</definedName>
    <definedName name="FDD_49_4" hidden="1">"A32142"</definedName>
    <definedName name="FDD_49_5" hidden="1">"A32508"</definedName>
    <definedName name="FDD_49_6" hidden="1">"A32873"</definedName>
    <definedName name="FDD_49_7" hidden="1">"A33238"</definedName>
    <definedName name="FDD_49_8" hidden="1">"A33603"</definedName>
    <definedName name="FDD_49_9" hidden="1">"A33969"</definedName>
    <definedName name="FDD_5_0" hidden="1">"A25569"</definedName>
    <definedName name="FDD_5_1" hidden="1">"E35795"</definedName>
    <definedName name="FDD_5_2" hidden="1">"E36160"</definedName>
    <definedName name="FDD_5_3" hidden="1">"E36525"</definedName>
    <definedName name="FDD_50_0" hidden="1">"A30681"</definedName>
    <definedName name="FDD_50_1" hidden="1">"A31047"</definedName>
    <definedName name="FDD_50_10" hidden="1">"A34334"</definedName>
    <definedName name="FDD_50_11" hidden="1">"A34699"</definedName>
    <definedName name="FDD_50_12" hidden="1">"A35064"</definedName>
    <definedName name="FDD_50_13" hidden="1">"A35430"</definedName>
    <definedName name="FDD_50_14" hidden="1">"A35795"</definedName>
    <definedName name="FDD_50_2" hidden="1">"A31412"</definedName>
    <definedName name="FDD_50_3" hidden="1">"A31777"</definedName>
    <definedName name="FDD_50_4" hidden="1">"A32142"</definedName>
    <definedName name="FDD_50_5" hidden="1">"A32508"</definedName>
    <definedName name="FDD_50_6" hidden="1">"A32873"</definedName>
    <definedName name="FDD_50_7" hidden="1">"A33238"</definedName>
    <definedName name="FDD_50_8" hidden="1">"A33603"</definedName>
    <definedName name="FDD_50_9" hidden="1">"A33969"</definedName>
    <definedName name="FDD_51_0" hidden="1">"A30681"</definedName>
    <definedName name="FDD_51_1" hidden="1">"A31047"</definedName>
    <definedName name="FDD_51_10" hidden="1">"A34334"</definedName>
    <definedName name="FDD_51_11" hidden="1">"A34699"</definedName>
    <definedName name="FDD_51_12" hidden="1">"A35064"</definedName>
    <definedName name="FDD_51_13" hidden="1">"A35430"</definedName>
    <definedName name="FDD_51_14" hidden="1">"A35795"</definedName>
    <definedName name="FDD_51_2" hidden="1">"A31412"</definedName>
    <definedName name="FDD_51_3" hidden="1">"A31777"</definedName>
    <definedName name="FDD_51_4" hidden="1">"A32142"</definedName>
    <definedName name="FDD_51_5" hidden="1">"A32508"</definedName>
    <definedName name="FDD_51_6" hidden="1">"A32873"</definedName>
    <definedName name="FDD_51_7" hidden="1">"A33238"</definedName>
    <definedName name="FDD_51_8" hidden="1">"A33603"</definedName>
    <definedName name="FDD_51_9" hidden="1">"A33969"</definedName>
    <definedName name="FDD_52_0" hidden="1">"A30681"</definedName>
    <definedName name="FDD_52_1" hidden="1">"A31047"</definedName>
    <definedName name="FDD_52_10" hidden="1">"A34334"</definedName>
    <definedName name="FDD_52_11" hidden="1">"A34699"</definedName>
    <definedName name="FDD_52_12" hidden="1">"A35064"</definedName>
    <definedName name="FDD_52_13" hidden="1">"A35430"</definedName>
    <definedName name="FDD_52_14" hidden="1">"A35795"</definedName>
    <definedName name="FDD_52_2" hidden="1">"A31412"</definedName>
    <definedName name="FDD_52_3" hidden="1">"A31777"</definedName>
    <definedName name="FDD_52_4" hidden="1">"A32142"</definedName>
    <definedName name="FDD_52_5" hidden="1">"A32508"</definedName>
    <definedName name="FDD_52_6" hidden="1">"A32873"</definedName>
    <definedName name="FDD_52_7" hidden="1">"A33238"</definedName>
    <definedName name="FDD_52_8" hidden="1">"A33603"</definedName>
    <definedName name="FDD_52_9" hidden="1">"A33969"</definedName>
    <definedName name="FDD_53_0" hidden="1">"U30681"</definedName>
    <definedName name="FDD_53_1" hidden="1">"A31047"</definedName>
    <definedName name="FDD_53_10" hidden="1">"A34334"</definedName>
    <definedName name="FDD_53_11" hidden="1">"A34699"</definedName>
    <definedName name="FDD_53_12" hidden="1">"A35064"</definedName>
    <definedName name="FDD_53_13" hidden="1">"A35430"</definedName>
    <definedName name="FDD_53_14" hidden="1">"A35795"</definedName>
    <definedName name="FDD_53_2" hidden="1">"A31412"</definedName>
    <definedName name="FDD_53_3" hidden="1">"A31777"</definedName>
    <definedName name="FDD_53_4" hidden="1">"A32142"</definedName>
    <definedName name="FDD_53_5" hidden="1">"A32508"</definedName>
    <definedName name="FDD_53_6" hidden="1">"A32873"</definedName>
    <definedName name="FDD_53_7" hidden="1">"A33238"</definedName>
    <definedName name="FDD_53_8" hidden="1">"A33603"</definedName>
    <definedName name="FDD_53_9" hidden="1">"A33969"</definedName>
    <definedName name="FDD_54_0" hidden="1">"A30681"</definedName>
    <definedName name="FDD_54_1" hidden="1">"A31047"</definedName>
    <definedName name="FDD_54_10" hidden="1">"A34334"</definedName>
    <definedName name="FDD_54_11" hidden="1">"A34699"</definedName>
    <definedName name="FDD_54_12" hidden="1">"A35064"</definedName>
    <definedName name="FDD_54_13" hidden="1">"A35430"</definedName>
    <definedName name="FDD_54_14" hidden="1">"A35795"</definedName>
    <definedName name="FDD_54_2" hidden="1">"A31412"</definedName>
    <definedName name="FDD_54_3" hidden="1">"A31777"</definedName>
    <definedName name="FDD_54_4" hidden="1">"A32142"</definedName>
    <definedName name="FDD_54_5" hidden="1">"A32508"</definedName>
    <definedName name="FDD_54_6" hidden="1">"A32873"</definedName>
    <definedName name="FDD_54_7" hidden="1">"A33238"</definedName>
    <definedName name="FDD_54_8" hidden="1">"A33603"</definedName>
    <definedName name="FDD_54_9" hidden="1">"A33969"</definedName>
    <definedName name="FDD_55_0" hidden="1">"A30681"</definedName>
    <definedName name="FDD_55_1" hidden="1">"A31047"</definedName>
    <definedName name="FDD_55_10" hidden="1">"A34334"</definedName>
    <definedName name="FDD_55_11" hidden="1">"A34699"</definedName>
    <definedName name="FDD_55_12" hidden="1">"A35064"</definedName>
    <definedName name="FDD_55_13" hidden="1">"A35430"</definedName>
    <definedName name="FDD_55_14" hidden="1">"A35795"</definedName>
    <definedName name="FDD_55_2" hidden="1">"A31412"</definedName>
    <definedName name="FDD_55_3" hidden="1">"A31777"</definedName>
    <definedName name="FDD_55_4" hidden="1">"A32142"</definedName>
    <definedName name="FDD_55_5" hidden="1">"A32508"</definedName>
    <definedName name="FDD_55_6" hidden="1">"A32873"</definedName>
    <definedName name="FDD_55_7" hidden="1">"A33238"</definedName>
    <definedName name="FDD_55_8" hidden="1">"A33603"</definedName>
    <definedName name="FDD_55_9" hidden="1">"A33969"</definedName>
    <definedName name="FDD_56_0" hidden="1">"A30681"</definedName>
    <definedName name="FDD_56_1" hidden="1">"A31047"</definedName>
    <definedName name="FDD_56_10" hidden="1">"A34334"</definedName>
    <definedName name="FDD_56_11" hidden="1">"A34699"</definedName>
    <definedName name="FDD_56_12" hidden="1">"A35064"</definedName>
    <definedName name="FDD_56_13" hidden="1">"A35430"</definedName>
    <definedName name="FDD_56_14" hidden="1">"A35795"</definedName>
    <definedName name="FDD_56_2" hidden="1">"A31412"</definedName>
    <definedName name="FDD_56_3" hidden="1">"A31777"</definedName>
    <definedName name="FDD_56_4" hidden="1">"A32142"</definedName>
    <definedName name="FDD_56_5" hidden="1">"A32508"</definedName>
    <definedName name="FDD_56_6" hidden="1">"A32873"</definedName>
    <definedName name="FDD_56_7" hidden="1">"A33238"</definedName>
    <definedName name="FDD_56_8" hidden="1">"A33603"</definedName>
    <definedName name="FDD_56_9" hidden="1">"A33969"</definedName>
    <definedName name="FDD_57_0" hidden="1">"A30681"</definedName>
    <definedName name="FDD_57_1" hidden="1">"A31047"</definedName>
    <definedName name="FDD_57_10" hidden="1">"A34334"</definedName>
    <definedName name="FDD_57_11" hidden="1">"A34699"</definedName>
    <definedName name="FDD_57_12" hidden="1">"A35064"</definedName>
    <definedName name="FDD_57_13" hidden="1">"A35430"</definedName>
    <definedName name="FDD_57_14" hidden="1">"A35795"</definedName>
    <definedName name="FDD_57_2" hidden="1">"A31412"</definedName>
    <definedName name="FDD_57_3" hidden="1">"A31777"</definedName>
    <definedName name="FDD_57_4" hidden="1">"A32142"</definedName>
    <definedName name="FDD_57_5" hidden="1">"A32508"</definedName>
    <definedName name="FDD_57_6" hidden="1">"A32873"</definedName>
    <definedName name="FDD_57_7" hidden="1">"A33238"</definedName>
    <definedName name="FDD_57_8" hidden="1">"A33603"</definedName>
    <definedName name="FDD_57_9" hidden="1">"A33969"</definedName>
    <definedName name="FDD_58_0" hidden="1">"A30681"</definedName>
    <definedName name="FDD_58_1" hidden="1">"A31047"</definedName>
    <definedName name="FDD_58_10" hidden="1">"A34334"</definedName>
    <definedName name="FDD_58_100" hidden="1">"A35044"</definedName>
    <definedName name="FDD_58_101" hidden="1">"A35051"</definedName>
    <definedName name="FDD_58_102" hidden="1">"A35058"</definedName>
    <definedName name="FDD_58_103" hidden="1">"A35065"</definedName>
    <definedName name="FDD_58_104" hidden="1">"A35072"</definedName>
    <definedName name="FDD_58_105" hidden="1">"A35079"</definedName>
    <definedName name="FDD_58_106" hidden="1">"A35086"</definedName>
    <definedName name="FDD_58_107" hidden="1">"A35093"</definedName>
    <definedName name="FDD_58_108" hidden="1">"A35100"</definedName>
    <definedName name="FDD_58_109" hidden="1">"A35107"</definedName>
    <definedName name="FDD_58_11" hidden="1">"A34699"</definedName>
    <definedName name="FDD_58_110" hidden="1">"A35114"</definedName>
    <definedName name="FDD_58_111" hidden="1">"A35121"</definedName>
    <definedName name="FDD_58_112" hidden="1">"A35128"</definedName>
    <definedName name="FDD_58_113" hidden="1">"A35135"</definedName>
    <definedName name="FDD_58_114" hidden="1">"A35142"</definedName>
    <definedName name="FDD_58_115" hidden="1">"A35149"</definedName>
    <definedName name="FDD_58_116" hidden="1">"A35156"</definedName>
    <definedName name="FDD_58_117" hidden="1">"A35162"</definedName>
    <definedName name="FDD_58_118" hidden="1">"A35170"</definedName>
    <definedName name="FDD_58_119" hidden="1">"A35177"</definedName>
    <definedName name="FDD_58_12" hidden="1">"A35064"</definedName>
    <definedName name="FDD_58_120" hidden="1">"A35184"</definedName>
    <definedName name="FDD_58_121" hidden="1">"A35191"</definedName>
    <definedName name="FDD_58_122" hidden="1">"A35198"</definedName>
    <definedName name="FDD_58_123" hidden="1">"A35205"</definedName>
    <definedName name="FDD_58_124" hidden="1">"A35212"</definedName>
    <definedName name="FDD_58_125" hidden="1">"A35219"</definedName>
    <definedName name="FDD_58_126" hidden="1">"A35226"</definedName>
    <definedName name="FDD_58_127" hidden="1">"A35233"</definedName>
    <definedName name="FDD_58_128" hidden="1">"A35240"</definedName>
    <definedName name="FDD_58_129" hidden="1">"A35247"</definedName>
    <definedName name="FDD_58_13" hidden="1">"A35430"</definedName>
    <definedName name="FDD_58_130" hidden="1">"A35254"</definedName>
    <definedName name="FDD_58_131" hidden="1">"A35261"</definedName>
    <definedName name="FDD_58_132" hidden="1">"A35268"</definedName>
    <definedName name="FDD_58_133" hidden="1">"A35275"</definedName>
    <definedName name="FDD_58_134" hidden="1">"A35282"</definedName>
    <definedName name="FDD_58_135" hidden="1">"A35289"</definedName>
    <definedName name="FDD_58_136" hidden="1">"A35296"</definedName>
    <definedName name="FDD_58_137" hidden="1">"A35303"</definedName>
    <definedName name="FDD_58_138" hidden="1">"A35310"</definedName>
    <definedName name="FDD_58_139" hidden="1">"A35317"</definedName>
    <definedName name="FDD_58_14" hidden="1">"A35795"</definedName>
    <definedName name="FDD_58_140" hidden="1">"A35324"</definedName>
    <definedName name="FDD_58_141" hidden="1">"A35331"</definedName>
    <definedName name="FDD_58_142" hidden="1">"A35338"</definedName>
    <definedName name="FDD_58_143" hidden="1">"A35345"</definedName>
    <definedName name="FDD_58_144" hidden="1">"A35352"</definedName>
    <definedName name="FDD_58_145" hidden="1">"A35359"</definedName>
    <definedName name="FDD_58_146" hidden="1">"A35366"</definedName>
    <definedName name="FDD_58_147" hidden="1">"A35373"</definedName>
    <definedName name="FDD_58_148" hidden="1">"A35380"</definedName>
    <definedName name="FDD_58_149" hidden="1">"A35387"</definedName>
    <definedName name="FDD_58_15" hidden="1">"A34449"</definedName>
    <definedName name="FDD_58_150" hidden="1">"A35394"</definedName>
    <definedName name="FDD_58_151" hidden="1">"A35401"</definedName>
    <definedName name="FDD_58_152" hidden="1">"A35408"</definedName>
    <definedName name="FDD_58_153" hidden="1">"A35415"</definedName>
    <definedName name="FDD_58_154" hidden="1">"A35422"</definedName>
    <definedName name="FDD_58_155" hidden="1">"A35429"</definedName>
    <definedName name="FDD_58_156" hidden="1">"A35436"</definedName>
    <definedName name="FDD_58_157" hidden="1">"A35443"</definedName>
    <definedName name="FDD_58_158" hidden="1">"A35450"</definedName>
    <definedName name="FDD_58_159" hidden="1">"A35457"</definedName>
    <definedName name="FDD_58_16" hidden="1">"A34456"</definedName>
    <definedName name="FDD_58_160" hidden="1">"A35464"</definedName>
    <definedName name="FDD_58_161" hidden="1">"A35471"</definedName>
    <definedName name="FDD_58_162" hidden="1">"A35478"</definedName>
    <definedName name="FDD_58_163" hidden="1">"A35485"</definedName>
    <definedName name="FDD_58_164" hidden="1">"A35492"</definedName>
    <definedName name="FDD_58_165" hidden="1">"A35499"</definedName>
    <definedName name="FDD_58_166" hidden="1">"A35506"</definedName>
    <definedName name="FDD_58_167" hidden="1">"A35513"</definedName>
    <definedName name="FDD_58_168" hidden="1">"A35520"</definedName>
    <definedName name="FDD_58_169" hidden="1">"A35527"</definedName>
    <definedName name="FDD_58_17" hidden="1">"A34463"</definedName>
    <definedName name="FDD_58_170" hidden="1">"A35534"</definedName>
    <definedName name="FDD_58_171" hidden="1">"A35541"</definedName>
    <definedName name="FDD_58_172" hidden="1">"A35548"</definedName>
    <definedName name="FDD_58_173" hidden="1">"A35555"</definedName>
    <definedName name="FDD_58_174" hidden="1">"A35562"</definedName>
    <definedName name="FDD_58_175" hidden="1">"A35569"</definedName>
    <definedName name="FDD_58_176" hidden="1">"A35576"</definedName>
    <definedName name="FDD_58_177" hidden="1">"A35583"</definedName>
    <definedName name="FDD_58_178" hidden="1">"A35590"</definedName>
    <definedName name="FDD_58_179" hidden="1">"A35597"</definedName>
    <definedName name="FDD_58_18" hidden="1">"A34470"</definedName>
    <definedName name="FDD_58_180" hidden="1">"A35604"</definedName>
    <definedName name="FDD_58_181" hidden="1">"A35611"</definedName>
    <definedName name="FDD_58_182" hidden="1">"A35618"</definedName>
    <definedName name="FDD_58_183" hidden="1">"A35625"</definedName>
    <definedName name="FDD_58_184" hidden="1">"A35632"</definedName>
    <definedName name="FDD_58_185" hidden="1">"A35639"</definedName>
    <definedName name="FDD_58_186" hidden="1">"A35646"</definedName>
    <definedName name="FDD_58_187" hidden="1">"A35653"</definedName>
    <definedName name="FDD_58_188" hidden="1">"A35660"</definedName>
    <definedName name="FDD_58_189" hidden="1">"A35667"</definedName>
    <definedName name="FDD_58_19" hidden="1">"A34477"</definedName>
    <definedName name="FDD_58_190" hidden="1">"A35674"</definedName>
    <definedName name="FDD_58_191" hidden="1">"A35681"</definedName>
    <definedName name="FDD_58_192" hidden="1">"A35688"</definedName>
    <definedName name="FDD_58_193" hidden="1">"A35695"</definedName>
    <definedName name="FDD_58_194" hidden="1">"A35702"</definedName>
    <definedName name="FDD_58_195" hidden="1">"A35709"</definedName>
    <definedName name="FDD_58_196" hidden="1">"A35716"</definedName>
    <definedName name="FDD_58_197" hidden="1">"A35723"</definedName>
    <definedName name="FDD_58_198" hidden="1">"A35730"</definedName>
    <definedName name="FDD_58_199" hidden="1">"A35737"</definedName>
    <definedName name="FDD_58_2" hidden="1">"A31412"</definedName>
    <definedName name="FDD_58_20" hidden="1">"A34484"</definedName>
    <definedName name="FDD_58_200" hidden="1">"A35744"</definedName>
    <definedName name="FDD_58_201" hidden="1">"A35751"</definedName>
    <definedName name="FDD_58_202" hidden="1">"A35758"</definedName>
    <definedName name="FDD_58_203" hidden="1">"A35765"</definedName>
    <definedName name="FDD_58_204" hidden="1">"A35772"</definedName>
    <definedName name="FDD_58_205" hidden="1">"A35779"</definedName>
    <definedName name="FDD_58_206" hidden="1">"A35786"</definedName>
    <definedName name="FDD_58_207" hidden="1">"A35793"</definedName>
    <definedName name="FDD_58_208" hidden="1">"A35800"</definedName>
    <definedName name="FDD_58_209" hidden="1">"A35807"</definedName>
    <definedName name="FDD_58_21" hidden="1">"A34491"</definedName>
    <definedName name="FDD_58_210" hidden="1">"A35814"</definedName>
    <definedName name="FDD_58_211" hidden="1">"A35821"</definedName>
    <definedName name="FDD_58_212" hidden="1">"A35828"</definedName>
    <definedName name="FDD_58_213" hidden="1">"A35835"</definedName>
    <definedName name="FDD_58_214" hidden="1">"A35842"</definedName>
    <definedName name="FDD_58_215" hidden="1">"A35849"</definedName>
    <definedName name="FDD_58_216" hidden="1">"A35856"</definedName>
    <definedName name="FDD_58_217" hidden="1">"A35863"</definedName>
    <definedName name="FDD_58_218" hidden="1">"A35870"</definedName>
    <definedName name="FDD_58_219" hidden="1">"A35877"</definedName>
    <definedName name="FDD_58_22" hidden="1">"A34498"</definedName>
    <definedName name="FDD_58_220" hidden="1">"A35884"</definedName>
    <definedName name="FDD_58_221" hidden="1">"A35891"</definedName>
    <definedName name="FDD_58_222" hidden="1">"A35898"</definedName>
    <definedName name="FDD_58_223" hidden="1">"A35905"</definedName>
    <definedName name="FDD_58_224" hidden="1">"A35912"</definedName>
    <definedName name="FDD_58_225" hidden="1">"A35919"</definedName>
    <definedName name="FDD_58_226" hidden="1">"A35926"</definedName>
    <definedName name="FDD_58_227" hidden="1">"A35933"</definedName>
    <definedName name="FDD_58_228" hidden="1">"A35940"</definedName>
    <definedName name="FDD_58_229" hidden="1">"A35947"</definedName>
    <definedName name="FDD_58_23" hidden="1">"A34505"</definedName>
    <definedName name="FDD_58_230" hidden="1">"A35954"</definedName>
    <definedName name="FDD_58_231" hidden="1">"A35961"</definedName>
    <definedName name="FDD_58_232" hidden="1">"A35968"</definedName>
    <definedName name="FDD_58_233" hidden="1">"A35975"</definedName>
    <definedName name="FDD_58_234" hidden="1">"A35982"</definedName>
    <definedName name="FDD_58_235" hidden="1">"A35989"</definedName>
    <definedName name="FDD_58_236" hidden="1">"A35996"</definedName>
    <definedName name="FDD_58_237" hidden="1">"A36003"</definedName>
    <definedName name="FDD_58_238" hidden="1">"A36010"</definedName>
    <definedName name="FDD_58_239" hidden="1">"A36017"</definedName>
    <definedName name="FDD_58_24" hidden="1">"A34512"</definedName>
    <definedName name="FDD_58_240" hidden="1">"A36024"</definedName>
    <definedName name="FDD_58_241" hidden="1">"A36031"</definedName>
    <definedName name="FDD_58_242" hidden="1">"A36038"</definedName>
    <definedName name="FDD_58_243" hidden="1">"A36045"</definedName>
    <definedName name="FDD_58_244" hidden="1">"A36052"</definedName>
    <definedName name="FDD_58_245" hidden="1">"A36059"</definedName>
    <definedName name="FDD_58_246" hidden="1">"A36066"</definedName>
    <definedName name="FDD_58_247" hidden="1">"A36073"</definedName>
    <definedName name="FDD_58_248" hidden="1">"A36080"</definedName>
    <definedName name="FDD_58_249" hidden="1">"A36087"</definedName>
    <definedName name="FDD_58_25" hidden="1">"A34519"</definedName>
    <definedName name="FDD_58_250" hidden="1">"A36094"</definedName>
    <definedName name="FDD_58_251" hidden="1">"A36101"</definedName>
    <definedName name="FDD_58_252" hidden="1">"A36108"</definedName>
    <definedName name="FDD_58_253" hidden="1">"A36115"</definedName>
    <definedName name="FDD_58_254" hidden="1">"A36122"</definedName>
    <definedName name="FDD_58_255" hidden="1">"A36129"</definedName>
    <definedName name="FDD_58_256" hidden="1">"A36136"</definedName>
    <definedName name="FDD_58_257" hidden="1">"A36143"</definedName>
    <definedName name="FDD_58_258" hidden="1">"A36150"</definedName>
    <definedName name="FDD_58_259" hidden="1">"A36157"</definedName>
    <definedName name="FDD_58_26" hidden="1">"A34526"</definedName>
    <definedName name="FDD_58_260" hidden="1">"A36164"</definedName>
    <definedName name="FDD_58_27" hidden="1">"A34533"</definedName>
    <definedName name="FDD_58_28" hidden="1">"A34540"</definedName>
    <definedName name="FDD_58_29" hidden="1">"A34547"</definedName>
    <definedName name="FDD_58_3" hidden="1">"A31777"</definedName>
    <definedName name="FDD_58_30" hidden="1">"A34554"</definedName>
    <definedName name="FDD_58_31" hidden="1">"A34561"</definedName>
    <definedName name="FDD_58_32" hidden="1">"A34568"</definedName>
    <definedName name="FDD_58_33" hidden="1">"A34575"</definedName>
    <definedName name="FDD_58_34" hidden="1">"A34582"</definedName>
    <definedName name="FDD_58_35" hidden="1">"A34589"</definedName>
    <definedName name="FDD_58_36" hidden="1">"A34596"</definedName>
    <definedName name="FDD_58_37" hidden="1">"A34603"</definedName>
    <definedName name="FDD_58_38" hidden="1">"A34610"</definedName>
    <definedName name="FDD_58_39" hidden="1">"A34617"</definedName>
    <definedName name="FDD_58_4" hidden="1">"A32142"</definedName>
    <definedName name="FDD_58_40" hidden="1">"A34624"</definedName>
    <definedName name="FDD_58_41" hidden="1">"A34631"</definedName>
    <definedName name="FDD_58_42" hidden="1">"A34638"</definedName>
    <definedName name="FDD_58_43" hidden="1">"A34645"</definedName>
    <definedName name="FDD_58_44" hidden="1">"A34652"</definedName>
    <definedName name="FDD_58_45" hidden="1">"A34659"</definedName>
    <definedName name="FDD_58_46" hidden="1">"A34666"</definedName>
    <definedName name="FDD_58_47" hidden="1">"A34673"</definedName>
    <definedName name="FDD_58_48" hidden="1">"A34680"</definedName>
    <definedName name="FDD_58_49" hidden="1">"A34687"</definedName>
    <definedName name="FDD_58_5" hidden="1">"A32508"</definedName>
    <definedName name="FDD_58_50" hidden="1">"A34694"</definedName>
    <definedName name="FDD_58_51" hidden="1">"A34701"</definedName>
    <definedName name="FDD_58_52" hidden="1">"A34708"</definedName>
    <definedName name="FDD_58_53" hidden="1">"A34715"</definedName>
    <definedName name="FDD_58_54" hidden="1">"A34722"</definedName>
    <definedName name="FDD_58_55" hidden="1">"A34729"</definedName>
    <definedName name="FDD_58_56" hidden="1">"A34736"</definedName>
    <definedName name="FDD_58_57" hidden="1">"A34743"</definedName>
    <definedName name="FDD_58_58" hidden="1">"A34750"</definedName>
    <definedName name="FDD_58_59" hidden="1">"A34757"</definedName>
    <definedName name="FDD_58_6" hidden="1">"A32873"</definedName>
    <definedName name="FDD_58_60" hidden="1">"A34764"</definedName>
    <definedName name="FDD_58_61" hidden="1">"A34771"</definedName>
    <definedName name="FDD_58_62" hidden="1">"A34778"</definedName>
    <definedName name="FDD_58_63" hidden="1">"A34785"</definedName>
    <definedName name="FDD_58_64" hidden="1">"A34792"</definedName>
    <definedName name="FDD_58_65" hidden="1">"A34799"</definedName>
    <definedName name="FDD_58_66" hidden="1">"A34806"</definedName>
    <definedName name="FDD_58_67" hidden="1">"A34813"</definedName>
    <definedName name="FDD_58_68" hidden="1">"A34820"</definedName>
    <definedName name="FDD_58_69" hidden="1">"A34827"</definedName>
    <definedName name="FDD_58_7" hidden="1">"A33238"</definedName>
    <definedName name="FDD_58_70" hidden="1">"A34834"</definedName>
    <definedName name="FDD_58_71" hidden="1">"A34841"</definedName>
    <definedName name="FDD_58_72" hidden="1">"A34848"</definedName>
    <definedName name="FDD_58_73" hidden="1">"A34855"</definedName>
    <definedName name="FDD_58_74" hidden="1">"A34862"</definedName>
    <definedName name="FDD_58_75" hidden="1">"A34869"</definedName>
    <definedName name="FDD_58_76" hidden="1">"A34876"</definedName>
    <definedName name="FDD_58_77" hidden="1">"A34883"</definedName>
    <definedName name="FDD_58_78" hidden="1">"A34890"</definedName>
    <definedName name="FDD_58_79" hidden="1">"A34897"</definedName>
    <definedName name="FDD_58_8" hidden="1">"A33603"</definedName>
    <definedName name="FDD_58_80" hidden="1">"A34904"</definedName>
    <definedName name="FDD_58_81" hidden="1">"A34911"</definedName>
    <definedName name="FDD_58_82" hidden="1">"A34918"</definedName>
    <definedName name="FDD_58_83" hidden="1">"A34925"</definedName>
    <definedName name="FDD_58_84" hidden="1">"A34932"</definedName>
    <definedName name="FDD_58_85" hidden="1">"A34939"</definedName>
    <definedName name="FDD_58_86" hidden="1">"A34946"</definedName>
    <definedName name="FDD_58_87" hidden="1">"A34953"</definedName>
    <definedName name="FDD_58_88" hidden="1">"A34960"</definedName>
    <definedName name="FDD_58_89" hidden="1">"A34967"</definedName>
    <definedName name="FDD_58_9" hidden="1">"A33969"</definedName>
    <definedName name="FDD_58_90" hidden="1">"A34974"</definedName>
    <definedName name="FDD_58_91" hidden="1">"A34981"</definedName>
    <definedName name="FDD_58_92" hidden="1">"A34988"</definedName>
    <definedName name="FDD_58_93" hidden="1">"A34995"</definedName>
    <definedName name="FDD_58_94" hidden="1">"A35002"</definedName>
    <definedName name="FDD_58_95" hidden="1">"A35009"</definedName>
    <definedName name="FDD_58_96" hidden="1">"A35016"</definedName>
    <definedName name="FDD_58_97" hidden="1">"A35023"</definedName>
    <definedName name="FDD_58_98" hidden="1">"A35030"</definedName>
    <definedName name="FDD_58_99" hidden="1">"A35037"</definedName>
    <definedName name="FDD_59_0" hidden="1">"A30681"</definedName>
    <definedName name="FDD_59_1" hidden="1">"A31047"</definedName>
    <definedName name="FDD_59_10" hidden="1">"A34334"</definedName>
    <definedName name="FDD_59_100" hidden="1">"A35044"</definedName>
    <definedName name="FDD_59_101" hidden="1">"A35051"</definedName>
    <definedName name="FDD_59_102" hidden="1">"A35059"</definedName>
    <definedName name="FDD_59_103" hidden="1">"A35065"</definedName>
    <definedName name="FDD_59_104" hidden="1">"A35072"</definedName>
    <definedName name="FDD_59_105" hidden="1">"A35079"</definedName>
    <definedName name="FDD_59_106" hidden="1">"A35086"</definedName>
    <definedName name="FDD_59_107" hidden="1">"A35093"</definedName>
    <definedName name="FDD_59_108" hidden="1">"A35100"</definedName>
    <definedName name="FDD_59_109" hidden="1">"A35107"</definedName>
    <definedName name="FDD_59_11" hidden="1">"A34699"</definedName>
    <definedName name="FDD_59_110" hidden="1">"A35114"</definedName>
    <definedName name="FDD_59_111" hidden="1">"A35121"</definedName>
    <definedName name="FDD_59_112" hidden="1">"A35128"</definedName>
    <definedName name="FDD_59_113" hidden="1">"A35135"</definedName>
    <definedName name="FDD_59_114" hidden="1">"A35141"</definedName>
    <definedName name="FDD_59_115" hidden="1">"A35149"</definedName>
    <definedName name="FDD_59_116" hidden="1">"A35156"</definedName>
    <definedName name="FDD_59_117" hidden="1">"A35163"</definedName>
    <definedName name="FDD_59_118" hidden="1">"A35170"</definedName>
    <definedName name="FDD_59_119" hidden="1">"A35177"</definedName>
    <definedName name="FDD_59_12" hidden="1">"A35064"</definedName>
    <definedName name="FDD_59_120" hidden="1">"A35184"</definedName>
    <definedName name="FDD_59_121" hidden="1">"A35192"</definedName>
    <definedName name="FDD_59_122" hidden="1">"A35198"</definedName>
    <definedName name="FDD_59_123" hidden="1">"A35205"</definedName>
    <definedName name="FDD_59_124" hidden="1">"A35213"</definedName>
    <definedName name="FDD_59_125" hidden="1">"A35219"</definedName>
    <definedName name="FDD_59_126" hidden="1">"A35226"</definedName>
    <definedName name="FDD_59_127" hidden="1">"A35233"</definedName>
    <definedName name="FDD_59_128" hidden="1">"A35240"</definedName>
    <definedName name="FDD_59_129" hidden="1">"A35247"</definedName>
    <definedName name="FDD_59_13" hidden="1">"A35430"</definedName>
    <definedName name="FDD_59_130" hidden="1">"A35254"</definedName>
    <definedName name="FDD_59_131" hidden="1">"A35261"</definedName>
    <definedName name="FDD_59_132" hidden="1">"A35268"</definedName>
    <definedName name="FDD_59_133" hidden="1">"A35275"</definedName>
    <definedName name="FDD_59_134" hidden="1">"A35282"</definedName>
    <definedName name="FDD_59_135" hidden="1">"A35289"</definedName>
    <definedName name="FDD_59_136" hidden="1">"A35296"</definedName>
    <definedName name="FDD_59_137" hidden="1">"A35303"</definedName>
    <definedName name="FDD_59_138" hidden="1">"A35310"</definedName>
    <definedName name="FDD_59_139" hidden="1">"A35317"</definedName>
    <definedName name="FDD_59_14" hidden="1">"A35795"</definedName>
    <definedName name="FDD_59_140" hidden="1">"A35324"</definedName>
    <definedName name="FDD_59_141" hidden="1">"A35331"</definedName>
    <definedName name="FDD_59_142" hidden="1">"A35338"</definedName>
    <definedName name="FDD_59_143" hidden="1">"A35345"</definedName>
    <definedName name="FDD_59_144" hidden="1">"A35352"</definedName>
    <definedName name="FDD_59_145" hidden="1">"A35359"</definedName>
    <definedName name="FDD_59_146" hidden="1">"A35366"</definedName>
    <definedName name="FDD_59_147" hidden="1">"A35373"</definedName>
    <definedName name="FDD_59_148" hidden="1">"A35380"</definedName>
    <definedName name="FDD_59_149" hidden="1">"A35387"</definedName>
    <definedName name="FDD_59_15" hidden="1">"A34449"</definedName>
    <definedName name="FDD_59_150" hidden="1">"A35394"</definedName>
    <definedName name="FDD_59_151" hidden="1">"A35401"</definedName>
    <definedName name="FDD_59_152" hidden="1">"A35408"</definedName>
    <definedName name="FDD_59_153" hidden="1">"A35415"</definedName>
    <definedName name="FDD_59_154" hidden="1">"A35422"</definedName>
    <definedName name="FDD_59_155" hidden="1">"A35429"</definedName>
    <definedName name="FDD_59_156" hidden="1">"A35436"</definedName>
    <definedName name="FDD_59_157" hidden="1">"A35443"</definedName>
    <definedName name="FDD_59_158" hidden="1">"A35450"</definedName>
    <definedName name="FDD_59_159" hidden="1">"A35457"</definedName>
    <definedName name="FDD_59_16" hidden="1">"A34457"</definedName>
    <definedName name="FDD_59_160" hidden="1">"A35464"</definedName>
    <definedName name="FDD_59_161" hidden="1">"A35471"</definedName>
    <definedName name="FDD_59_162" hidden="1">"A35478"</definedName>
    <definedName name="FDD_59_163" hidden="1">"A35485"</definedName>
    <definedName name="FDD_59_164" hidden="1">"A35492"</definedName>
    <definedName name="FDD_59_165" hidden="1">"A35499"</definedName>
    <definedName name="FDD_59_166" hidden="1">"A35506"</definedName>
    <definedName name="FDD_59_167" hidden="1">"A35513"</definedName>
    <definedName name="FDD_59_168" hidden="1">"A35521"</definedName>
    <definedName name="FDD_59_169" hidden="1">"A35527"</definedName>
    <definedName name="FDD_59_17" hidden="1">"A34463"</definedName>
    <definedName name="FDD_59_170" hidden="1">"A35534"</definedName>
    <definedName name="FDD_59_171" hidden="1">"A35541"</definedName>
    <definedName name="FDD_59_172" hidden="1">"A35548"</definedName>
    <definedName name="FDD_59_173" hidden="1">"A35556"</definedName>
    <definedName name="FDD_59_174" hidden="1">"A35562"</definedName>
    <definedName name="FDD_59_175" hidden="1">"A35569"</definedName>
    <definedName name="FDD_59_176" hidden="1">"A35577"</definedName>
    <definedName name="FDD_59_177" hidden="1">"A35583"</definedName>
    <definedName name="FDD_59_178" hidden="1">"A35590"</definedName>
    <definedName name="FDD_59_179" hidden="1">"A35597"</definedName>
    <definedName name="FDD_59_18" hidden="1">"A34470"</definedName>
    <definedName name="FDD_59_180" hidden="1">"A35604"</definedName>
    <definedName name="FDD_59_181" hidden="1">"A35611"</definedName>
    <definedName name="FDD_59_182" hidden="1">"A35618"</definedName>
    <definedName name="FDD_59_183" hidden="1">"A35625"</definedName>
    <definedName name="FDD_59_184" hidden="1">"A35632"</definedName>
    <definedName name="FDD_59_185" hidden="1">"A35639"</definedName>
    <definedName name="FDD_59_186" hidden="1">"A35646"</definedName>
    <definedName name="FDD_59_187" hidden="1">"A35653"</definedName>
    <definedName name="FDD_59_188" hidden="1">"A35660"</definedName>
    <definedName name="FDD_59_189" hidden="1">"A35668"</definedName>
    <definedName name="FDD_59_19" hidden="1">"A34477"</definedName>
    <definedName name="FDD_59_190" hidden="1">"A35674"</definedName>
    <definedName name="FDD_59_191" hidden="1">"A35681"</definedName>
    <definedName name="FDD_59_192" hidden="1">"A35688"</definedName>
    <definedName name="FDD_59_193" hidden="1">"A35695"</definedName>
    <definedName name="FDD_59_194" hidden="1">"A35702"</definedName>
    <definedName name="FDD_59_195" hidden="1">"A35709"</definedName>
    <definedName name="FDD_59_196" hidden="1">"A35716"</definedName>
    <definedName name="FDD_59_197" hidden="1">"A35723"</definedName>
    <definedName name="FDD_59_198" hidden="1">"A35730"</definedName>
    <definedName name="FDD_59_199" hidden="1">"A35737"</definedName>
    <definedName name="FDD_59_2" hidden="1">"A31412"</definedName>
    <definedName name="FDD_59_20" hidden="1">"A34485"</definedName>
    <definedName name="FDD_59_200" hidden="1">"A35744"</definedName>
    <definedName name="FDD_59_201" hidden="1">"A35751"</definedName>
    <definedName name="FDD_59_202" hidden="1">"A35758"</definedName>
    <definedName name="FDD_59_203" hidden="1">"A35765"</definedName>
    <definedName name="FDD_59_204" hidden="1">"A35772"</definedName>
    <definedName name="FDD_59_205" hidden="1">"A35779"</definedName>
    <definedName name="FDD_59_206" hidden="1">"A35786"</definedName>
    <definedName name="FDD_59_207" hidden="1">"A35793"</definedName>
    <definedName name="FDD_59_208" hidden="1">"A35800"</definedName>
    <definedName name="FDD_59_209" hidden="1">"A35807"</definedName>
    <definedName name="FDD_59_21" hidden="1">"A34491"</definedName>
    <definedName name="FDD_59_210" hidden="1">"A35814"</definedName>
    <definedName name="FDD_59_211" hidden="1">"A35821"</definedName>
    <definedName name="FDD_59_212" hidden="1">"A35828"</definedName>
    <definedName name="FDD_59_213" hidden="1">"A35835"</definedName>
    <definedName name="FDD_59_214" hidden="1">"A35842"</definedName>
    <definedName name="FDD_59_215" hidden="1">"A35849"</definedName>
    <definedName name="FDD_59_216" hidden="1">"A35856"</definedName>
    <definedName name="FDD_59_217" hidden="1">"A35863"</definedName>
    <definedName name="FDD_59_218" hidden="1">"A35870"</definedName>
    <definedName name="FDD_59_219" hidden="1">"A35877"</definedName>
    <definedName name="FDD_59_22" hidden="1">"A34498"</definedName>
    <definedName name="FDD_59_220" hidden="1">"A35884"</definedName>
    <definedName name="FDD_59_221" hidden="1">"A35891"</definedName>
    <definedName name="FDD_59_222" hidden="1">"A35899"</definedName>
    <definedName name="FDD_59_223" hidden="1">"A35905"</definedName>
    <definedName name="FDD_59_224" hidden="1">"A35912"</definedName>
    <definedName name="FDD_59_225" hidden="1">"A35919"</definedName>
    <definedName name="FDD_59_226" hidden="1">"A35926"</definedName>
    <definedName name="FDD_59_227" hidden="1">"A35933"</definedName>
    <definedName name="FDD_59_228" hidden="1">"A35941"</definedName>
    <definedName name="FDD_59_229" hidden="1">"A35947"</definedName>
    <definedName name="FDD_59_23" hidden="1">"A34505"</definedName>
    <definedName name="FDD_59_230" hidden="1">"A35954"</definedName>
    <definedName name="FDD_59_231" hidden="1">"A35961"</definedName>
    <definedName name="FDD_59_232" hidden="1">"A35968"</definedName>
    <definedName name="FDD_59_233" hidden="1">"A35975"</definedName>
    <definedName name="FDD_59_234" hidden="1">"A35982"</definedName>
    <definedName name="FDD_59_235" hidden="1">"A35989"</definedName>
    <definedName name="FDD_59_236" hidden="1">"A35996"</definedName>
    <definedName name="FDD_59_237" hidden="1">"A36003"</definedName>
    <definedName name="FDD_59_238" hidden="1">"A36010"</definedName>
    <definedName name="FDD_59_239" hidden="1">"A36017"</definedName>
    <definedName name="FDD_59_24" hidden="1">"A34512"</definedName>
    <definedName name="FDD_59_240" hidden="1">"A36024"</definedName>
    <definedName name="FDD_59_241" hidden="1">"A36031"</definedName>
    <definedName name="FDD_59_242" hidden="1">"A36039"</definedName>
    <definedName name="FDD_59_243" hidden="1">"A36045"</definedName>
    <definedName name="FDD_59_244" hidden="1">"A36052"</definedName>
    <definedName name="FDD_59_245" hidden="1">"A36059"</definedName>
    <definedName name="FDD_59_246" hidden="1">"A36066"</definedName>
    <definedName name="FDD_59_247" hidden="1">"A36073"</definedName>
    <definedName name="FDD_59_248" hidden="1">"A36080"</definedName>
    <definedName name="FDD_59_249" hidden="1">"A36087"</definedName>
    <definedName name="FDD_59_25" hidden="1">"A34519"</definedName>
    <definedName name="FDD_59_250" hidden="1">"A36094"</definedName>
    <definedName name="FDD_59_251" hidden="1">"A36101"</definedName>
    <definedName name="FDD_59_252" hidden="1">"A36108"</definedName>
    <definedName name="FDD_59_253" hidden="1">"A36116"</definedName>
    <definedName name="FDD_59_254" hidden="1">"A36122"</definedName>
    <definedName name="FDD_59_255" hidden="1">"A36129"</definedName>
    <definedName name="FDD_59_256" hidden="1">"A36136"</definedName>
    <definedName name="FDD_59_257" hidden="1">"A36143"</definedName>
    <definedName name="FDD_59_258" hidden="1">"A36150"</definedName>
    <definedName name="FDD_59_259" hidden="1">"A36157"</definedName>
    <definedName name="FDD_59_26" hidden="1">"A34526"</definedName>
    <definedName name="FDD_59_260" hidden="1">"A36164"</definedName>
    <definedName name="FDD_59_27" hidden="1">"A34533"</definedName>
    <definedName name="FDD_59_28" hidden="1">"A34540"</definedName>
    <definedName name="FDD_59_29" hidden="1">"A34547"</definedName>
    <definedName name="FDD_59_3" hidden="1">"A31777"</definedName>
    <definedName name="FDD_59_30" hidden="1">"A34554"</definedName>
    <definedName name="FDD_59_31" hidden="1">"A34561"</definedName>
    <definedName name="FDD_59_32" hidden="1">"A34568"</definedName>
    <definedName name="FDD_59_33" hidden="1">"A34576"</definedName>
    <definedName name="FDD_59_34" hidden="1">"A34582"</definedName>
    <definedName name="FDD_59_35" hidden="1">"A34589"</definedName>
    <definedName name="FDD_59_36" hidden="1">"A34596"</definedName>
    <definedName name="FDD_59_37" hidden="1">"A34603"</definedName>
    <definedName name="FDD_59_38" hidden="1">"A34610"</definedName>
    <definedName name="FDD_59_39" hidden="1">"A34617"</definedName>
    <definedName name="FDD_59_4" hidden="1">"A32142"</definedName>
    <definedName name="FDD_59_40" hidden="1">"A34624"</definedName>
    <definedName name="FDD_59_41" hidden="1">"A34631"</definedName>
    <definedName name="FDD_59_42" hidden="1">"A34638"</definedName>
    <definedName name="FDD_59_43" hidden="1">"A34645"</definedName>
    <definedName name="FDD_59_44" hidden="1">"A34652"</definedName>
    <definedName name="FDD_59_45" hidden="1">"A34659"</definedName>
    <definedName name="FDD_59_46" hidden="1">"A34666"</definedName>
    <definedName name="FDD_59_47" hidden="1">"A34673"</definedName>
    <definedName name="FDD_59_48" hidden="1">"A34680"</definedName>
    <definedName name="FDD_59_49" hidden="1">"A34687"</definedName>
    <definedName name="FDD_59_5" hidden="1">"A32508"</definedName>
    <definedName name="FDD_59_50" hidden="1">"A34696"</definedName>
    <definedName name="FDD_59_51" hidden="1">"A34702"</definedName>
    <definedName name="FDD_59_52" hidden="1">"A34708"</definedName>
    <definedName name="FDD_59_53" hidden="1">"A34715"</definedName>
    <definedName name="FDD_59_54" hidden="1">"A34722"</definedName>
    <definedName name="FDD_59_55" hidden="1">"A34729"</definedName>
    <definedName name="FDD_59_56" hidden="1">"A34736"</definedName>
    <definedName name="FDD_59_57" hidden="1">"A34743"</definedName>
    <definedName name="FDD_59_58" hidden="1">"A34750"</definedName>
    <definedName name="FDD_59_59" hidden="1">"A34757"</definedName>
    <definedName name="FDD_59_6" hidden="1">"A32873"</definedName>
    <definedName name="FDD_59_60" hidden="1">"A34764"</definedName>
    <definedName name="FDD_59_61" hidden="1">"A34771"</definedName>
    <definedName name="FDD_59_62" hidden="1">"A34778"</definedName>
    <definedName name="FDD_59_63" hidden="1">"A34785"</definedName>
    <definedName name="FDD_59_64" hidden="1">"A34792"</definedName>
    <definedName name="FDD_59_65" hidden="1">"A34799"</definedName>
    <definedName name="FDD_59_66" hidden="1">"A34807"</definedName>
    <definedName name="FDD_59_67" hidden="1">"A34813"</definedName>
    <definedName name="FDD_59_68" hidden="1">"A34820"</definedName>
    <definedName name="FDD_59_69" hidden="1">"A34828"</definedName>
    <definedName name="FDD_59_7" hidden="1">"A33238"</definedName>
    <definedName name="FDD_59_70" hidden="1">"A34834"</definedName>
    <definedName name="FDD_59_71" hidden="1">"A34841"</definedName>
    <definedName name="FDD_59_72" hidden="1">"A34848"</definedName>
    <definedName name="FDD_59_73" hidden="1">"A34855"</definedName>
    <definedName name="FDD_59_74" hidden="1">"A34862"</definedName>
    <definedName name="FDD_59_75" hidden="1">"A34870"</definedName>
    <definedName name="FDD_59_76" hidden="1">"A34876"</definedName>
    <definedName name="FDD_59_77" hidden="1">"A34883"</definedName>
    <definedName name="FDD_59_78" hidden="1">"A34891"</definedName>
    <definedName name="FDD_59_79" hidden="1">"A34897"</definedName>
    <definedName name="FDD_59_8" hidden="1">"A33603"</definedName>
    <definedName name="FDD_59_80" hidden="1">"A34904"</definedName>
    <definedName name="FDD_59_81" hidden="1">"A34911"</definedName>
    <definedName name="FDD_59_82" hidden="1">"A34918"</definedName>
    <definedName name="FDD_59_83" hidden="1">"A34925"</definedName>
    <definedName name="FDD_59_84" hidden="1">"A34932"</definedName>
    <definedName name="FDD_59_85" hidden="1">"A34940"</definedName>
    <definedName name="FDD_59_86" hidden="1">"A34946"</definedName>
    <definedName name="FDD_59_87" hidden="1">"A34953"</definedName>
    <definedName name="FDD_59_88" hidden="1">"A34960"</definedName>
    <definedName name="FDD_59_89" hidden="1">"A34967"</definedName>
    <definedName name="FDD_59_9" hidden="1">"A33969"</definedName>
    <definedName name="FDD_59_90" hidden="1">"A34974"</definedName>
    <definedName name="FDD_59_91" hidden="1">"A34981"</definedName>
    <definedName name="FDD_59_92" hidden="1">"A34988"</definedName>
    <definedName name="FDD_59_93" hidden="1">"A34995"</definedName>
    <definedName name="FDD_59_94" hidden="1">"A35002"</definedName>
    <definedName name="FDD_59_95" hidden="1">"A35009"</definedName>
    <definedName name="FDD_59_96" hidden="1">"A35016"</definedName>
    <definedName name="FDD_59_97" hidden="1">"A35023"</definedName>
    <definedName name="FDD_59_98" hidden="1">"A35030"</definedName>
    <definedName name="FDD_59_99" hidden="1">"A35037"</definedName>
    <definedName name="FDD_6_0" hidden="1">"A25569"</definedName>
    <definedName name="FDD_6_1" hidden="1">"A35795"</definedName>
    <definedName name="FDD_6_2" hidden="1">"E36160"</definedName>
    <definedName name="FDD_6_3" hidden="1">"E36525"</definedName>
    <definedName name="FDD_60_0" hidden="1">"A30681"</definedName>
    <definedName name="FDD_60_1" hidden="1">"A31047"</definedName>
    <definedName name="FDD_60_10" hidden="1">"A34334"</definedName>
    <definedName name="FDD_60_11" hidden="1">"A34699"</definedName>
    <definedName name="FDD_60_12" hidden="1">"A35064"</definedName>
    <definedName name="FDD_60_13" hidden="1">"A35430"</definedName>
    <definedName name="FDD_60_14" hidden="1">"A35795"</definedName>
    <definedName name="FDD_60_2" hidden="1">"A31412"</definedName>
    <definedName name="FDD_60_3" hidden="1">"A31777"</definedName>
    <definedName name="FDD_60_4" hidden="1">"A32142"</definedName>
    <definedName name="FDD_60_5" hidden="1">"A32508"</definedName>
    <definedName name="FDD_60_6" hidden="1">"A32873"</definedName>
    <definedName name="FDD_60_7" hidden="1">"A33238"</definedName>
    <definedName name="FDD_60_8" hidden="1">"A33603"</definedName>
    <definedName name="FDD_60_9" hidden="1">"A33969"</definedName>
    <definedName name="FDD_61_0" hidden="1">"A30681"</definedName>
    <definedName name="FDD_61_1" hidden="1">"A31047"</definedName>
    <definedName name="FDD_61_10" hidden="1">"A34334"</definedName>
    <definedName name="FDD_61_11" hidden="1">"A34699"</definedName>
    <definedName name="FDD_61_12" hidden="1">"A35064"</definedName>
    <definedName name="FDD_61_13" hidden="1">"A35430"</definedName>
    <definedName name="FDD_61_14" hidden="1">"A35795"</definedName>
    <definedName name="FDD_61_2" hidden="1">"A31412"</definedName>
    <definedName name="FDD_61_3" hidden="1">"A31777"</definedName>
    <definedName name="FDD_61_4" hidden="1">"A32142"</definedName>
    <definedName name="FDD_61_5" hidden="1">"A32508"</definedName>
    <definedName name="FDD_61_6" hidden="1">"A32873"</definedName>
    <definedName name="FDD_61_7" hidden="1">"A33238"</definedName>
    <definedName name="FDD_61_8" hidden="1">"A33603"</definedName>
    <definedName name="FDD_61_9" hidden="1">"A33969"</definedName>
    <definedName name="FDD_62_0" hidden="1">"A30681"</definedName>
    <definedName name="FDD_62_1" hidden="1">"A31047"</definedName>
    <definedName name="FDD_62_10" hidden="1">"A34334"</definedName>
    <definedName name="FDD_62_11" hidden="1">"A34699"</definedName>
    <definedName name="FDD_62_12" hidden="1">"A35064"</definedName>
    <definedName name="FDD_62_13" hidden="1">"A35430"</definedName>
    <definedName name="FDD_62_14" hidden="1">"A35795"</definedName>
    <definedName name="FDD_62_2" hidden="1">"A31412"</definedName>
    <definedName name="FDD_62_3" hidden="1">"A31777"</definedName>
    <definedName name="FDD_62_4" hidden="1">"A32142"</definedName>
    <definedName name="FDD_62_5" hidden="1">"A32508"</definedName>
    <definedName name="FDD_62_6" hidden="1">"A32873"</definedName>
    <definedName name="FDD_62_7" hidden="1">"A33238"</definedName>
    <definedName name="FDD_62_8" hidden="1">"A33603"</definedName>
    <definedName name="FDD_62_9" hidden="1">"A33969"</definedName>
    <definedName name="FDD_63_0" hidden="1">"A30681"</definedName>
    <definedName name="FDD_63_1" hidden="1">"A31047"</definedName>
    <definedName name="FDD_63_10" hidden="1">"A34334"</definedName>
    <definedName name="FDD_63_11" hidden="1">"A34699"</definedName>
    <definedName name="FDD_63_12" hidden="1">"A35064"</definedName>
    <definedName name="FDD_63_13" hidden="1">"A35430"</definedName>
    <definedName name="FDD_63_14" hidden="1">"A35795"</definedName>
    <definedName name="FDD_63_2" hidden="1">"A31412"</definedName>
    <definedName name="FDD_63_3" hidden="1">"A31777"</definedName>
    <definedName name="FDD_63_4" hidden="1">"A32142"</definedName>
    <definedName name="FDD_63_5" hidden="1">"A32508"</definedName>
    <definedName name="FDD_63_6" hidden="1">"A32873"</definedName>
    <definedName name="FDD_63_7" hidden="1">"A33238"</definedName>
    <definedName name="FDD_63_8" hidden="1">"A33603"</definedName>
    <definedName name="FDD_63_9" hidden="1">"A33969"</definedName>
    <definedName name="FDD_64_0" hidden="1">"A30681"</definedName>
    <definedName name="FDD_64_1" hidden="1">"A31047"</definedName>
    <definedName name="FDD_64_10" hidden="1">"A34334"</definedName>
    <definedName name="FDD_64_11" hidden="1">"A34699"</definedName>
    <definedName name="FDD_64_12" hidden="1">"A35064"</definedName>
    <definedName name="FDD_64_13" hidden="1">"A35430"</definedName>
    <definedName name="FDD_64_14" hidden="1">"A35795"</definedName>
    <definedName name="FDD_64_2" hidden="1">"A31412"</definedName>
    <definedName name="FDD_64_3" hidden="1">"A31777"</definedName>
    <definedName name="FDD_64_4" hidden="1">"A32142"</definedName>
    <definedName name="FDD_64_5" hidden="1">"A32508"</definedName>
    <definedName name="FDD_64_6" hidden="1">"A32873"</definedName>
    <definedName name="FDD_64_7" hidden="1">"A33238"</definedName>
    <definedName name="FDD_64_8" hidden="1">"A33603"</definedName>
    <definedName name="FDD_64_9" hidden="1">"A33969"</definedName>
    <definedName name="FDD_65_0" hidden="1">"A30681"</definedName>
    <definedName name="FDD_65_1" hidden="1">"A31047"</definedName>
    <definedName name="FDD_65_10" hidden="1">"A34334"</definedName>
    <definedName name="FDD_65_11" hidden="1">"A34699"</definedName>
    <definedName name="FDD_65_12" hidden="1">"A35064"</definedName>
    <definedName name="FDD_65_13" hidden="1">"A35430"</definedName>
    <definedName name="FDD_65_14" hidden="1">"A35795"</definedName>
    <definedName name="FDD_65_2" hidden="1">"A31412"</definedName>
    <definedName name="FDD_65_3" hidden="1">"A31777"</definedName>
    <definedName name="FDD_65_4" hidden="1">"A32142"</definedName>
    <definedName name="FDD_65_5" hidden="1">"A32508"</definedName>
    <definedName name="FDD_65_6" hidden="1">"A32873"</definedName>
    <definedName name="FDD_65_7" hidden="1">"A33238"</definedName>
    <definedName name="FDD_65_8" hidden="1">"A33603"</definedName>
    <definedName name="FDD_65_9" hidden="1">"A33969"</definedName>
    <definedName name="FDD_66_0" hidden="1">"A30681"</definedName>
    <definedName name="FDD_66_1" hidden="1">"A31047"</definedName>
    <definedName name="FDD_66_10" hidden="1">"A34334"</definedName>
    <definedName name="FDD_66_11" hidden="1">"A34699"</definedName>
    <definedName name="FDD_66_12" hidden="1">"A35064"</definedName>
    <definedName name="FDD_66_13" hidden="1">"A35430"</definedName>
    <definedName name="FDD_66_14" hidden="1">"A35795"</definedName>
    <definedName name="FDD_66_2" hidden="1">"A31412"</definedName>
    <definedName name="FDD_66_3" hidden="1">"A31777"</definedName>
    <definedName name="FDD_66_4" hidden="1">"A32142"</definedName>
    <definedName name="FDD_66_5" hidden="1">"A32508"</definedName>
    <definedName name="FDD_66_6" hidden="1">"A32873"</definedName>
    <definedName name="FDD_66_7" hidden="1">"A33238"</definedName>
    <definedName name="FDD_66_8" hidden="1">"A33603"</definedName>
    <definedName name="FDD_66_9" hidden="1">"A33969"</definedName>
    <definedName name="FDD_67_0" hidden="1">"A30681"</definedName>
    <definedName name="FDD_67_1" hidden="1">"A31047"</definedName>
    <definedName name="FDD_67_10" hidden="1">"A34334"</definedName>
    <definedName name="FDD_67_11" hidden="1">"A34699"</definedName>
    <definedName name="FDD_67_12" hidden="1">"A35064"</definedName>
    <definedName name="FDD_67_13" hidden="1">"A35430"</definedName>
    <definedName name="FDD_67_14" hidden="1">"A35795"</definedName>
    <definedName name="FDD_67_2" hidden="1">"A31412"</definedName>
    <definedName name="FDD_67_3" hidden="1">"A31777"</definedName>
    <definedName name="FDD_67_4" hidden="1">"A32142"</definedName>
    <definedName name="FDD_67_5" hidden="1">"A32508"</definedName>
    <definedName name="FDD_67_6" hidden="1">"A32873"</definedName>
    <definedName name="FDD_67_7" hidden="1">"A33238"</definedName>
    <definedName name="FDD_67_8" hidden="1">"A33603"</definedName>
    <definedName name="FDD_67_9" hidden="1">"A33969"</definedName>
    <definedName name="FDD_68_0" hidden="1">"A30681"</definedName>
    <definedName name="FDD_68_1" hidden="1">"A31047"</definedName>
    <definedName name="FDD_68_10" hidden="1">"A34334"</definedName>
    <definedName name="FDD_68_11" hidden="1">"A34699"</definedName>
    <definedName name="FDD_68_12" hidden="1">"A35064"</definedName>
    <definedName name="FDD_68_13" hidden="1">"A35430"</definedName>
    <definedName name="FDD_68_14" hidden="1">"A35795"</definedName>
    <definedName name="FDD_68_2" hidden="1">"A31412"</definedName>
    <definedName name="FDD_68_3" hidden="1">"A31777"</definedName>
    <definedName name="FDD_68_4" hidden="1">"A32142"</definedName>
    <definedName name="FDD_68_5" hidden="1">"A32508"</definedName>
    <definedName name="FDD_68_6" hidden="1">"A32873"</definedName>
    <definedName name="FDD_68_7" hidden="1">"A33238"</definedName>
    <definedName name="FDD_68_8" hidden="1">"A33603"</definedName>
    <definedName name="FDD_68_9" hidden="1">"A33969"</definedName>
    <definedName name="FDD_69_0" hidden="1">"U30681"</definedName>
    <definedName name="FDD_69_1" hidden="1">"A31047"</definedName>
    <definedName name="FDD_69_10" hidden="1">"A34334"</definedName>
    <definedName name="FDD_69_11" hidden="1">"A34699"</definedName>
    <definedName name="FDD_69_12" hidden="1">"A35064"</definedName>
    <definedName name="FDD_69_13" hidden="1">"A35430"</definedName>
    <definedName name="FDD_69_14" hidden="1">"A35795"</definedName>
    <definedName name="FDD_69_2" hidden="1">"A31412"</definedName>
    <definedName name="FDD_69_3" hidden="1">"A31777"</definedName>
    <definedName name="FDD_69_4" hidden="1">"A32142"</definedName>
    <definedName name="FDD_69_5" hidden="1">"A32508"</definedName>
    <definedName name="FDD_69_6" hidden="1">"A32873"</definedName>
    <definedName name="FDD_69_7" hidden="1">"A33238"</definedName>
    <definedName name="FDD_69_8" hidden="1">"A33603"</definedName>
    <definedName name="FDD_69_9" hidden="1">"A33969"</definedName>
    <definedName name="FDD_7_0" hidden="1">"A25569"</definedName>
    <definedName name="FDD_7_1" hidden="1">"E35795"</definedName>
    <definedName name="FDD_7_2" hidden="1">"E36160"</definedName>
    <definedName name="FDD_7_3" hidden="1">"E36525"</definedName>
    <definedName name="FDD_70_0" hidden="1">"A30681"</definedName>
    <definedName name="FDD_70_1" hidden="1">"A31047"</definedName>
    <definedName name="FDD_70_10" hidden="1">"A34334"</definedName>
    <definedName name="FDD_70_11" hidden="1">"A34699"</definedName>
    <definedName name="FDD_70_12" hidden="1">"A35064"</definedName>
    <definedName name="FDD_70_13" hidden="1">"A35430"</definedName>
    <definedName name="FDD_70_14" hidden="1">"A35795"</definedName>
    <definedName name="FDD_70_2" hidden="1">"A31412"</definedName>
    <definedName name="FDD_70_3" hidden="1">"A31777"</definedName>
    <definedName name="FDD_70_4" hidden="1">"A32142"</definedName>
    <definedName name="FDD_70_5" hidden="1">"A32508"</definedName>
    <definedName name="FDD_70_6" hidden="1">"A32873"</definedName>
    <definedName name="FDD_70_7" hidden="1">"A33238"</definedName>
    <definedName name="FDD_70_8" hidden="1">"A33603"</definedName>
    <definedName name="FDD_70_9" hidden="1">"A33969"</definedName>
    <definedName name="FDD_71_0" hidden="1">"A30681"</definedName>
    <definedName name="FDD_71_1" hidden="1">"A31047"</definedName>
    <definedName name="FDD_71_10" hidden="1">"A34334"</definedName>
    <definedName name="FDD_71_11" hidden="1">"A34699"</definedName>
    <definedName name="FDD_71_12" hidden="1">"A35064"</definedName>
    <definedName name="FDD_71_13" hidden="1">"A35430"</definedName>
    <definedName name="FDD_71_14" hidden="1">"A35795"</definedName>
    <definedName name="FDD_71_2" hidden="1">"A31412"</definedName>
    <definedName name="FDD_71_3" hidden="1">"A31777"</definedName>
    <definedName name="FDD_71_4" hidden="1">"A32142"</definedName>
    <definedName name="FDD_71_5" hidden="1">"A32508"</definedName>
    <definedName name="FDD_71_6" hidden="1">"A32873"</definedName>
    <definedName name="FDD_71_7" hidden="1">"A33238"</definedName>
    <definedName name="FDD_71_8" hidden="1">"A33603"</definedName>
    <definedName name="FDD_71_9" hidden="1">"A33969"</definedName>
    <definedName name="FDD_72_0" hidden="1">"A30681"</definedName>
    <definedName name="FDD_72_1" hidden="1">"A31047"</definedName>
    <definedName name="FDD_72_10" hidden="1">"A34334"</definedName>
    <definedName name="FDD_72_11" hidden="1">"A34699"</definedName>
    <definedName name="FDD_72_12" hidden="1">"A35064"</definedName>
    <definedName name="FDD_72_13" hidden="1">"A35430"</definedName>
    <definedName name="FDD_72_14" hidden="1">"A35795"</definedName>
    <definedName name="FDD_72_2" hidden="1">"A31412"</definedName>
    <definedName name="FDD_72_3" hidden="1">"A31777"</definedName>
    <definedName name="FDD_72_4" hidden="1">"A32142"</definedName>
    <definedName name="FDD_72_5" hidden="1">"A32508"</definedName>
    <definedName name="FDD_72_6" hidden="1">"A32873"</definedName>
    <definedName name="FDD_72_7" hidden="1">"A33238"</definedName>
    <definedName name="FDD_72_8" hidden="1">"A33603"</definedName>
    <definedName name="FDD_72_9" hidden="1">"A33969"</definedName>
    <definedName name="FDD_73_0" hidden="1">"A30681"</definedName>
    <definedName name="FDD_73_1" hidden="1">"A31047"</definedName>
    <definedName name="FDD_73_10" hidden="1">"A34334"</definedName>
    <definedName name="FDD_73_11" hidden="1">"A34699"</definedName>
    <definedName name="FDD_73_12" hidden="1">"A35064"</definedName>
    <definedName name="FDD_73_13" hidden="1">"A35430"</definedName>
    <definedName name="FDD_73_14" hidden="1">"A35795"</definedName>
    <definedName name="FDD_73_2" hidden="1">"A31412"</definedName>
    <definedName name="FDD_73_3" hidden="1">"A31777"</definedName>
    <definedName name="FDD_73_4" hidden="1">"A32142"</definedName>
    <definedName name="FDD_73_5" hidden="1">"A32508"</definedName>
    <definedName name="FDD_73_6" hidden="1">"A32873"</definedName>
    <definedName name="FDD_73_7" hidden="1">"A33238"</definedName>
    <definedName name="FDD_73_8" hidden="1">"A33603"</definedName>
    <definedName name="FDD_73_9" hidden="1">"A33969"</definedName>
    <definedName name="FDD_74_0" hidden="1">"A30681"</definedName>
    <definedName name="FDD_74_1" hidden="1">"A31047"</definedName>
    <definedName name="FDD_74_10" hidden="1">"A34334"</definedName>
    <definedName name="FDD_74_11" hidden="1">"A34699"</definedName>
    <definedName name="FDD_74_12" hidden="1">"A35064"</definedName>
    <definedName name="FDD_74_13" hidden="1">"A35430"</definedName>
    <definedName name="FDD_74_14" hidden="1">"A35795"</definedName>
    <definedName name="FDD_74_2" hidden="1">"A31412"</definedName>
    <definedName name="FDD_74_3" hidden="1">"A31777"</definedName>
    <definedName name="FDD_74_4" hidden="1">"A32142"</definedName>
    <definedName name="FDD_74_5" hidden="1">"A32508"</definedName>
    <definedName name="FDD_74_6" hidden="1">"A32873"</definedName>
    <definedName name="FDD_74_7" hidden="1">"A33238"</definedName>
    <definedName name="FDD_74_8" hidden="1">"A33603"</definedName>
    <definedName name="FDD_74_9" hidden="1">"A33969"</definedName>
    <definedName name="FDD_75_0" hidden="1">"A30681"</definedName>
    <definedName name="FDD_75_1" hidden="1">"A31047"</definedName>
    <definedName name="FDD_75_10" hidden="1">"A34334"</definedName>
    <definedName name="FDD_75_11" hidden="1">"A34699"</definedName>
    <definedName name="FDD_75_12" hidden="1">"A35064"</definedName>
    <definedName name="FDD_75_13" hidden="1">"A35430"</definedName>
    <definedName name="FDD_75_14" hidden="1">"A35795"</definedName>
    <definedName name="FDD_75_2" hidden="1">"A31412"</definedName>
    <definedName name="FDD_75_3" hidden="1">"A31777"</definedName>
    <definedName name="FDD_75_4" hidden="1">"A32142"</definedName>
    <definedName name="FDD_75_5" hidden="1">"A32508"</definedName>
    <definedName name="FDD_75_6" hidden="1">"A32873"</definedName>
    <definedName name="FDD_75_7" hidden="1">"A33238"</definedName>
    <definedName name="FDD_75_8" hidden="1">"A33603"</definedName>
    <definedName name="FDD_75_9" hidden="1">"A33969"</definedName>
    <definedName name="FDD_76_0" hidden="1">"A30681"</definedName>
    <definedName name="FDD_76_1" hidden="1">"A31047"</definedName>
    <definedName name="FDD_76_10" hidden="1">"A34334"</definedName>
    <definedName name="FDD_76_11" hidden="1">"A34699"</definedName>
    <definedName name="FDD_76_12" hidden="1">"A35064"</definedName>
    <definedName name="FDD_76_13" hidden="1">"A35430"</definedName>
    <definedName name="FDD_76_14" hidden="1">"A35795"</definedName>
    <definedName name="FDD_76_2" hidden="1">"A31412"</definedName>
    <definedName name="FDD_76_3" hidden="1">"A31777"</definedName>
    <definedName name="FDD_76_4" hidden="1">"A32142"</definedName>
    <definedName name="FDD_76_5" hidden="1">"A32508"</definedName>
    <definedName name="FDD_76_6" hidden="1">"A32873"</definedName>
    <definedName name="FDD_76_7" hidden="1">"A33238"</definedName>
    <definedName name="FDD_76_8" hidden="1">"A33603"</definedName>
    <definedName name="FDD_76_9" hidden="1">"A33969"</definedName>
    <definedName name="FDD_77_0" hidden="1">"A30681"</definedName>
    <definedName name="FDD_77_1" hidden="1">"A31047"</definedName>
    <definedName name="FDD_77_10" hidden="1">"A34334"</definedName>
    <definedName name="FDD_77_11" hidden="1">"A34699"</definedName>
    <definedName name="FDD_77_12" hidden="1">"A35064"</definedName>
    <definedName name="FDD_77_13" hidden="1">"A35430"</definedName>
    <definedName name="FDD_77_14" hidden="1">"A35795"</definedName>
    <definedName name="FDD_77_2" hidden="1">"A31412"</definedName>
    <definedName name="FDD_77_3" hidden="1">"A31777"</definedName>
    <definedName name="FDD_77_4" hidden="1">"A32142"</definedName>
    <definedName name="FDD_77_5" hidden="1">"A32508"</definedName>
    <definedName name="FDD_77_6" hidden="1">"A32873"</definedName>
    <definedName name="FDD_77_7" hidden="1">"A33238"</definedName>
    <definedName name="FDD_77_8" hidden="1">"A33603"</definedName>
    <definedName name="FDD_77_9" hidden="1">"A33969"</definedName>
    <definedName name="FDD_78_0" hidden="1">"A30681"</definedName>
    <definedName name="FDD_78_1" hidden="1">"A31047"</definedName>
    <definedName name="FDD_78_10" hidden="1">"A34334"</definedName>
    <definedName name="FDD_78_11" hidden="1">"A34699"</definedName>
    <definedName name="FDD_78_12" hidden="1">"A35064"</definedName>
    <definedName name="FDD_78_13" hidden="1">"A35430"</definedName>
    <definedName name="FDD_78_14" hidden="1">"A35795"</definedName>
    <definedName name="FDD_78_2" hidden="1">"A31412"</definedName>
    <definedName name="FDD_78_3" hidden="1">"A31777"</definedName>
    <definedName name="FDD_78_4" hidden="1">"A32142"</definedName>
    <definedName name="FDD_78_5" hidden="1">"A32508"</definedName>
    <definedName name="FDD_78_6" hidden="1">"A32873"</definedName>
    <definedName name="FDD_78_7" hidden="1">"A33238"</definedName>
    <definedName name="FDD_78_8" hidden="1">"A33603"</definedName>
    <definedName name="FDD_78_9" hidden="1">"A33969"</definedName>
    <definedName name="FDD_79_0" hidden="1">"A30681"</definedName>
    <definedName name="FDD_79_1" hidden="1">"A31047"</definedName>
    <definedName name="FDD_79_10" hidden="1">"A34334"</definedName>
    <definedName name="FDD_79_11" hidden="1">"A34699"</definedName>
    <definedName name="FDD_79_12" hidden="1">"A35064"</definedName>
    <definedName name="FDD_79_13" hidden="1">"A35430"</definedName>
    <definedName name="FDD_79_14" hidden="1">"A35795"</definedName>
    <definedName name="FDD_79_2" hidden="1">"A31412"</definedName>
    <definedName name="FDD_79_3" hidden="1">"A31777"</definedName>
    <definedName name="FDD_79_4" hidden="1">"A32142"</definedName>
    <definedName name="FDD_79_5" hidden="1">"A32508"</definedName>
    <definedName name="FDD_79_6" hidden="1">"A32873"</definedName>
    <definedName name="FDD_79_7" hidden="1">"A33238"</definedName>
    <definedName name="FDD_79_8" hidden="1">"A33603"</definedName>
    <definedName name="FDD_79_9" hidden="1">"A33969"</definedName>
    <definedName name="FDD_8_0" hidden="1">"A25569"</definedName>
    <definedName name="FDD_8_1" hidden="1">"E35795"</definedName>
    <definedName name="FDD_8_2" hidden="1">"E36160"</definedName>
    <definedName name="FDD_8_3" hidden="1">"E36525"</definedName>
    <definedName name="FDD_80_0" hidden="1">"A30681"</definedName>
    <definedName name="FDD_80_1" hidden="1">"A31047"</definedName>
    <definedName name="FDD_80_10" hidden="1">"A34334"</definedName>
    <definedName name="FDD_80_11" hidden="1">"A34699"</definedName>
    <definedName name="FDD_80_12" hidden="1">"A35064"</definedName>
    <definedName name="FDD_80_13" hidden="1">"A35430"</definedName>
    <definedName name="FDD_80_14" hidden="1">"A35795"</definedName>
    <definedName name="FDD_80_2" hidden="1">"A31412"</definedName>
    <definedName name="FDD_80_3" hidden="1">"A31777"</definedName>
    <definedName name="FDD_80_4" hidden="1">"A32142"</definedName>
    <definedName name="FDD_80_5" hidden="1">"A32508"</definedName>
    <definedName name="FDD_80_6" hidden="1">"A32873"</definedName>
    <definedName name="FDD_80_7" hidden="1">"A33238"</definedName>
    <definedName name="FDD_80_8" hidden="1">"A33603"</definedName>
    <definedName name="FDD_80_9" hidden="1">"A33969"</definedName>
    <definedName name="FDD_81_0" hidden="1">"A30681"</definedName>
    <definedName name="FDD_81_1" hidden="1">"A31047"</definedName>
    <definedName name="FDD_81_10" hidden="1">"A34334"</definedName>
    <definedName name="FDD_81_11" hidden="1">"A34699"</definedName>
    <definedName name="FDD_81_12" hidden="1">"A35064"</definedName>
    <definedName name="FDD_81_13" hidden="1">"A35430"</definedName>
    <definedName name="FDD_81_14" hidden="1">"A35795"</definedName>
    <definedName name="FDD_81_2" hidden="1">"A31412"</definedName>
    <definedName name="FDD_81_3" hidden="1">"A31777"</definedName>
    <definedName name="FDD_81_4" hidden="1">"A32142"</definedName>
    <definedName name="FDD_81_5" hidden="1">"A32508"</definedName>
    <definedName name="FDD_81_6" hidden="1">"A32873"</definedName>
    <definedName name="FDD_81_7" hidden="1">"A33238"</definedName>
    <definedName name="FDD_81_8" hidden="1">"A33603"</definedName>
    <definedName name="FDD_81_9" hidden="1">"A33969"</definedName>
    <definedName name="FDD_82_0" hidden="1">"A30681"</definedName>
    <definedName name="FDD_82_1" hidden="1">"A31047"</definedName>
    <definedName name="FDD_82_10" hidden="1">"A34334"</definedName>
    <definedName name="FDD_82_11" hidden="1">"A34699"</definedName>
    <definedName name="FDD_82_12" hidden="1">"A35064"</definedName>
    <definedName name="FDD_82_13" hidden="1">"A35430"</definedName>
    <definedName name="FDD_82_14" hidden="1">"A35795"</definedName>
    <definedName name="FDD_82_2" hidden="1">"A31412"</definedName>
    <definedName name="FDD_82_3" hidden="1">"A31777"</definedName>
    <definedName name="FDD_82_4" hidden="1">"A32142"</definedName>
    <definedName name="FDD_82_5" hidden="1">"A32508"</definedName>
    <definedName name="FDD_82_6" hidden="1">"A32873"</definedName>
    <definedName name="FDD_82_7" hidden="1">"A33238"</definedName>
    <definedName name="FDD_82_8" hidden="1">"A33603"</definedName>
    <definedName name="FDD_82_9" hidden="1">"A33969"</definedName>
    <definedName name="FDD_83_0" hidden="1">"A30681"</definedName>
    <definedName name="FDD_83_1" hidden="1">"A31047"</definedName>
    <definedName name="FDD_83_10" hidden="1">"A34334"</definedName>
    <definedName name="FDD_83_11" hidden="1">"A34699"</definedName>
    <definedName name="FDD_83_12" hidden="1">"A35064"</definedName>
    <definedName name="FDD_83_13" hidden="1">"A35430"</definedName>
    <definedName name="FDD_83_14" hidden="1">"A35795"</definedName>
    <definedName name="FDD_83_2" hidden="1">"A31412"</definedName>
    <definedName name="FDD_83_3" hidden="1">"A31777"</definedName>
    <definedName name="FDD_83_4" hidden="1">"A32142"</definedName>
    <definedName name="FDD_83_5" hidden="1">"A32508"</definedName>
    <definedName name="FDD_83_6" hidden="1">"A32873"</definedName>
    <definedName name="FDD_83_7" hidden="1">"A33238"</definedName>
    <definedName name="FDD_83_8" hidden="1">"A33603"</definedName>
    <definedName name="FDD_83_9" hidden="1">"A33969"</definedName>
    <definedName name="FDD_84_0" hidden="1">"A30681"</definedName>
    <definedName name="FDD_84_1" hidden="1">"A31047"</definedName>
    <definedName name="FDD_84_10" hidden="1">"A34334"</definedName>
    <definedName name="FDD_84_11" hidden="1">"A34699"</definedName>
    <definedName name="FDD_84_12" hidden="1">"A35064"</definedName>
    <definedName name="FDD_84_13" hidden="1">"A35430"</definedName>
    <definedName name="FDD_84_14" hidden="1">"A35795"</definedName>
    <definedName name="FDD_84_2" hidden="1">"A31412"</definedName>
    <definedName name="FDD_84_3" hidden="1">"A31777"</definedName>
    <definedName name="FDD_84_4" hidden="1">"A32142"</definedName>
    <definedName name="FDD_84_5" hidden="1">"A32508"</definedName>
    <definedName name="FDD_84_6" hidden="1">"A32873"</definedName>
    <definedName name="FDD_84_7" hidden="1">"A33238"</definedName>
    <definedName name="FDD_84_8" hidden="1">"A33603"</definedName>
    <definedName name="FDD_84_9" hidden="1">"A33969"</definedName>
    <definedName name="FDD_85_0" hidden="1">"A30681"</definedName>
    <definedName name="FDD_85_1" hidden="1">"A31047"</definedName>
    <definedName name="FDD_85_10" hidden="1">"A34334"</definedName>
    <definedName name="FDD_85_11" hidden="1">"A34699"</definedName>
    <definedName name="FDD_85_12" hidden="1">"A35064"</definedName>
    <definedName name="FDD_85_13" hidden="1">"A35430"</definedName>
    <definedName name="FDD_85_14" hidden="1">"A35795"</definedName>
    <definedName name="FDD_85_2" hidden="1">"A31412"</definedName>
    <definedName name="FDD_85_3" hidden="1">"A31777"</definedName>
    <definedName name="FDD_85_4" hidden="1">"A32142"</definedName>
    <definedName name="FDD_85_5" hidden="1">"A32508"</definedName>
    <definedName name="FDD_85_6" hidden="1">"A32873"</definedName>
    <definedName name="FDD_85_7" hidden="1">"A33238"</definedName>
    <definedName name="FDD_85_8" hidden="1">"A33603"</definedName>
    <definedName name="FDD_85_9" hidden="1">"A33969"</definedName>
    <definedName name="FDD_86_0" hidden="1">"A30681"</definedName>
    <definedName name="FDD_86_1" hidden="1">"A31047"</definedName>
    <definedName name="FDD_86_10" hidden="1">"A34334"</definedName>
    <definedName name="FDD_86_11" hidden="1">"A34699"</definedName>
    <definedName name="FDD_86_12" hidden="1">"A35064"</definedName>
    <definedName name="FDD_86_13" hidden="1">"A35430"</definedName>
    <definedName name="FDD_86_14" hidden="1">"A35795"</definedName>
    <definedName name="FDD_86_2" hidden="1">"A31412"</definedName>
    <definedName name="FDD_86_3" hidden="1">"A31777"</definedName>
    <definedName name="FDD_86_4" hidden="1">"A32142"</definedName>
    <definedName name="FDD_86_5" hidden="1">"A32508"</definedName>
    <definedName name="FDD_86_6" hidden="1">"A32873"</definedName>
    <definedName name="FDD_86_7" hidden="1">"A33238"</definedName>
    <definedName name="FDD_86_8" hidden="1">"A33603"</definedName>
    <definedName name="FDD_86_9" hidden="1">"A33969"</definedName>
    <definedName name="FDD_87_0" hidden="1">"A30681"</definedName>
    <definedName name="FDD_87_1" hidden="1">"A31047"</definedName>
    <definedName name="FDD_87_10" hidden="1">"A34334"</definedName>
    <definedName name="FDD_87_11" hidden="1">"A34699"</definedName>
    <definedName name="FDD_87_12" hidden="1">"A35064"</definedName>
    <definedName name="FDD_87_13" hidden="1">"A35430"</definedName>
    <definedName name="FDD_87_14" hidden="1">"A35795"</definedName>
    <definedName name="FDD_87_2" hidden="1">"A31412"</definedName>
    <definedName name="FDD_87_3" hidden="1">"A31777"</definedName>
    <definedName name="FDD_87_4" hidden="1">"A32142"</definedName>
    <definedName name="FDD_87_5" hidden="1">"A32508"</definedName>
    <definedName name="FDD_87_6" hidden="1">"A32873"</definedName>
    <definedName name="FDD_87_7" hidden="1">"A33238"</definedName>
    <definedName name="FDD_87_8" hidden="1">"A33603"</definedName>
    <definedName name="FDD_87_9" hidden="1">"A33969"</definedName>
    <definedName name="FDD_88_0" hidden="1">"A30681"</definedName>
    <definedName name="FDD_88_1" hidden="1">"A31047"</definedName>
    <definedName name="FDD_88_10" hidden="1">"A34334"</definedName>
    <definedName name="FDD_88_11" hidden="1">"A34699"</definedName>
    <definedName name="FDD_88_12" hidden="1">"A35064"</definedName>
    <definedName name="FDD_88_13" hidden="1">"A35430"</definedName>
    <definedName name="FDD_88_14" hidden="1">"A35795"</definedName>
    <definedName name="FDD_88_2" hidden="1">"A31412"</definedName>
    <definedName name="FDD_88_3" hidden="1">"A31777"</definedName>
    <definedName name="FDD_88_4" hidden="1">"A32142"</definedName>
    <definedName name="FDD_88_5" hidden="1">"A32508"</definedName>
    <definedName name="FDD_88_6" hidden="1">"A32873"</definedName>
    <definedName name="FDD_88_7" hidden="1">"A33238"</definedName>
    <definedName name="FDD_88_8" hidden="1">"A33603"</definedName>
    <definedName name="FDD_88_9" hidden="1">"A33969"</definedName>
    <definedName name="FDD_89_0" hidden="1">"A30681"</definedName>
    <definedName name="FDD_89_1" hidden="1">"A31047"</definedName>
    <definedName name="FDD_89_10" hidden="1">"A34334"</definedName>
    <definedName name="FDD_89_11" hidden="1">"A34699"</definedName>
    <definedName name="FDD_89_12" hidden="1">"A35064"</definedName>
    <definedName name="FDD_89_13" hidden="1">"A35430"</definedName>
    <definedName name="FDD_89_14" hidden="1">"A35795"</definedName>
    <definedName name="FDD_89_2" hidden="1">"A31412"</definedName>
    <definedName name="FDD_89_3" hidden="1">"A31777"</definedName>
    <definedName name="FDD_89_4" hidden="1">"A32142"</definedName>
    <definedName name="FDD_89_5" hidden="1">"A32508"</definedName>
    <definedName name="FDD_89_6" hidden="1">"A32873"</definedName>
    <definedName name="FDD_89_7" hidden="1">"A33238"</definedName>
    <definedName name="FDD_89_8" hidden="1">"A33603"</definedName>
    <definedName name="FDD_89_9" hidden="1">"A33969"</definedName>
    <definedName name="FDD_9_0" hidden="1">"A25569"</definedName>
    <definedName name="FDD_9_1" hidden="1">"E35795"</definedName>
    <definedName name="FDD_9_2" hidden="1">"E36160"</definedName>
    <definedName name="FDD_9_3" hidden="1">"E36525"</definedName>
    <definedName name="FDD_90_0" hidden="1">"A30681"</definedName>
    <definedName name="FDD_90_1" hidden="1">"A31047"</definedName>
    <definedName name="FDD_90_10" hidden="1">"A34334"</definedName>
    <definedName name="FDD_90_11" hidden="1">"A34699"</definedName>
    <definedName name="FDD_90_12" hidden="1">"A35064"</definedName>
    <definedName name="FDD_90_13" hidden="1">"A35430"</definedName>
    <definedName name="FDD_90_14" hidden="1">"A35795"</definedName>
    <definedName name="FDD_90_2" hidden="1">"A31412"</definedName>
    <definedName name="FDD_90_3" hidden="1">"A31777"</definedName>
    <definedName name="FDD_90_4" hidden="1">"A32142"</definedName>
    <definedName name="FDD_90_5" hidden="1">"A32508"</definedName>
    <definedName name="FDD_90_6" hidden="1">"A32873"</definedName>
    <definedName name="FDD_90_7" hidden="1">"A33238"</definedName>
    <definedName name="FDD_90_8" hidden="1">"A33603"</definedName>
    <definedName name="FDD_90_9" hidden="1">"A33969"</definedName>
    <definedName name="FDD_91_0" hidden="1">"A30681"</definedName>
    <definedName name="FDD_91_1" hidden="1">"A31047"</definedName>
    <definedName name="FDD_91_10" hidden="1">"A34334"</definedName>
    <definedName name="FDD_91_11" hidden="1">"A34699"</definedName>
    <definedName name="FDD_91_12" hidden="1">"A35064"</definedName>
    <definedName name="FDD_91_13" hidden="1">"A35430"</definedName>
    <definedName name="FDD_91_14" hidden="1">"A35795"</definedName>
    <definedName name="FDD_91_2" hidden="1">"A31412"</definedName>
    <definedName name="FDD_91_3" hidden="1">"A31777"</definedName>
    <definedName name="FDD_91_4" hidden="1">"A32142"</definedName>
    <definedName name="FDD_91_5" hidden="1">"A32508"</definedName>
    <definedName name="FDD_91_6" hidden="1">"A32873"</definedName>
    <definedName name="FDD_91_7" hidden="1">"A33238"</definedName>
    <definedName name="FDD_91_8" hidden="1">"A33603"</definedName>
    <definedName name="FDD_91_9" hidden="1">"A33969"</definedName>
    <definedName name="FDD_92_0" hidden="1">"A30681"</definedName>
    <definedName name="FDD_92_1" hidden="1">"A31047"</definedName>
    <definedName name="FDD_92_10" hidden="1">"A34334"</definedName>
    <definedName name="FDD_92_11" hidden="1">"A34699"</definedName>
    <definedName name="FDD_92_12" hidden="1">"A35064"</definedName>
    <definedName name="FDD_92_13" hidden="1">"A35430"</definedName>
    <definedName name="FDD_92_14" hidden="1">"A35795"</definedName>
    <definedName name="FDD_92_2" hidden="1">"A31412"</definedName>
    <definedName name="FDD_92_3" hidden="1">"A31777"</definedName>
    <definedName name="FDD_92_4" hidden="1">"A32142"</definedName>
    <definedName name="FDD_92_5" hidden="1">"A32508"</definedName>
    <definedName name="FDD_92_6" hidden="1">"A32873"</definedName>
    <definedName name="FDD_92_7" hidden="1">"A33238"</definedName>
    <definedName name="FDD_92_8" hidden="1">"A33603"</definedName>
    <definedName name="FDD_92_9" hidden="1">"A33969"</definedName>
    <definedName name="FDD_93_0" hidden="1">"A30681"</definedName>
    <definedName name="FDD_93_1" hidden="1">"A31047"</definedName>
    <definedName name="FDD_93_10" hidden="1">"A34334"</definedName>
    <definedName name="FDD_93_11" hidden="1">"A34699"</definedName>
    <definedName name="FDD_93_12" hidden="1">"A35064"</definedName>
    <definedName name="FDD_93_13" hidden="1">"A35430"</definedName>
    <definedName name="FDD_93_14" hidden="1">"A35795"</definedName>
    <definedName name="FDD_93_2" hidden="1">"A31412"</definedName>
    <definedName name="FDD_93_3" hidden="1">"A31777"</definedName>
    <definedName name="FDD_93_4" hidden="1">"A32142"</definedName>
    <definedName name="FDD_93_5" hidden="1">"A32508"</definedName>
    <definedName name="FDD_93_6" hidden="1">"A32873"</definedName>
    <definedName name="FDD_93_7" hidden="1">"A33238"</definedName>
    <definedName name="FDD_93_8" hidden="1">"A33603"</definedName>
    <definedName name="FDD_93_9" hidden="1">"A33969"</definedName>
    <definedName name="FDD_94_0" hidden="1">"A30681"</definedName>
    <definedName name="FDD_94_1" hidden="1">"A31047"</definedName>
    <definedName name="FDD_94_10" hidden="1">"A34334"</definedName>
    <definedName name="FDD_94_11" hidden="1">"A34699"</definedName>
    <definedName name="FDD_94_12" hidden="1">"A35064"</definedName>
    <definedName name="FDD_94_13" hidden="1">"A35430"</definedName>
    <definedName name="FDD_94_14" hidden="1">"A35795"</definedName>
    <definedName name="FDD_94_2" hidden="1">"A31412"</definedName>
    <definedName name="FDD_94_3" hidden="1">"A31777"</definedName>
    <definedName name="FDD_94_4" hidden="1">"A32142"</definedName>
    <definedName name="FDD_94_5" hidden="1">"A32508"</definedName>
    <definedName name="FDD_94_6" hidden="1">"A32873"</definedName>
    <definedName name="FDD_94_7" hidden="1">"A33238"</definedName>
    <definedName name="FDD_94_8" hidden="1">"A33603"</definedName>
    <definedName name="FDD_94_9" hidden="1">"A33969"</definedName>
    <definedName name="FDD_95_0" hidden="1">"A30681"</definedName>
    <definedName name="FDD_95_1" hidden="1">"A31047"</definedName>
    <definedName name="FDD_95_10" hidden="1">"A34334"</definedName>
    <definedName name="FDD_95_11" hidden="1">"A34699"</definedName>
    <definedName name="FDD_95_12" hidden="1">"A35064"</definedName>
    <definedName name="FDD_95_13" hidden="1">"A35430"</definedName>
    <definedName name="FDD_95_14" hidden="1">"A35795"</definedName>
    <definedName name="FDD_95_2" hidden="1">"A31412"</definedName>
    <definedName name="FDD_95_3" hidden="1">"A31777"</definedName>
    <definedName name="FDD_95_4" hidden="1">"A32142"</definedName>
    <definedName name="FDD_95_5" hidden="1">"A32508"</definedName>
    <definedName name="FDD_95_6" hidden="1">"A32873"</definedName>
    <definedName name="FDD_95_7" hidden="1">"A33238"</definedName>
    <definedName name="FDD_95_8" hidden="1">"A33603"</definedName>
    <definedName name="FDD_95_9" hidden="1">"A33969"</definedName>
    <definedName name="FDD_96_0" hidden="1">"U30681"</definedName>
    <definedName name="FDD_96_1" hidden="1">"A31047"</definedName>
    <definedName name="FDD_96_10" hidden="1">"A34334"</definedName>
    <definedName name="FDD_96_11" hidden="1">"A34699"</definedName>
    <definedName name="FDD_96_12" hidden="1">"A35064"</definedName>
    <definedName name="FDD_96_13" hidden="1">"A35430"</definedName>
    <definedName name="FDD_96_14" hidden="1">"A35795"</definedName>
    <definedName name="FDD_96_2" hidden="1">"A31412"</definedName>
    <definedName name="FDD_96_3" hidden="1">"A31777"</definedName>
    <definedName name="FDD_96_4" hidden="1">"A32142"</definedName>
    <definedName name="FDD_96_5" hidden="1">"A32508"</definedName>
    <definedName name="FDD_96_6" hidden="1">"A32873"</definedName>
    <definedName name="FDD_96_7" hidden="1">"A33238"</definedName>
    <definedName name="FDD_96_8" hidden="1">"A33603"</definedName>
    <definedName name="FDD_96_9" hidden="1">"A33969"</definedName>
    <definedName name="FDD_97_0" hidden="1">"U30681"</definedName>
    <definedName name="FDD_97_1" hidden="1">"A31047"</definedName>
    <definedName name="FDD_97_10" hidden="1">"A34334"</definedName>
    <definedName name="FDD_97_11" hidden="1">"A34699"</definedName>
    <definedName name="FDD_97_12" hidden="1">"A35064"</definedName>
    <definedName name="FDD_97_13" hidden="1">"A35430"</definedName>
    <definedName name="FDD_97_14" hidden="1">"A35795"</definedName>
    <definedName name="FDD_97_2" hidden="1">"A31412"</definedName>
    <definedName name="FDD_97_3" hidden="1">"A31777"</definedName>
    <definedName name="FDD_97_4" hidden="1">"A32142"</definedName>
    <definedName name="FDD_97_5" hidden="1">"A32508"</definedName>
    <definedName name="FDD_97_6" hidden="1">"A32873"</definedName>
    <definedName name="FDD_97_7" hidden="1">"A33238"</definedName>
    <definedName name="FDD_97_8" hidden="1">"A33603"</definedName>
    <definedName name="FDD_97_9" hidden="1">"A33969"</definedName>
    <definedName name="FDD_98_0" hidden="1">"U30681"</definedName>
    <definedName name="FDD_98_1" hidden="1">"A31047"</definedName>
    <definedName name="FDD_98_10" hidden="1">"A34334"</definedName>
    <definedName name="FDD_98_11" hidden="1">"A34699"</definedName>
    <definedName name="FDD_98_12" hidden="1">"A35064"</definedName>
    <definedName name="FDD_98_13" hidden="1">"A35430"</definedName>
    <definedName name="FDD_98_14" hidden="1">"A35795"</definedName>
    <definedName name="FDD_98_2" hidden="1">"A31412"</definedName>
    <definedName name="FDD_98_3" hidden="1">"A31777"</definedName>
    <definedName name="FDD_98_4" hidden="1">"A32142"</definedName>
    <definedName name="FDD_98_5" hidden="1">"A32508"</definedName>
    <definedName name="FDD_98_6" hidden="1">"A32873"</definedName>
    <definedName name="FDD_98_7" hidden="1">"A33238"</definedName>
    <definedName name="FDD_98_8" hidden="1">"A33603"</definedName>
    <definedName name="FDD_98_9" hidden="1">"A33969"</definedName>
    <definedName name="FDD_99_0" hidden="1">"U30681"</definedName>
    <definedName name="FDD_99_1" hidden="1">"A31047"</definedName>
    <definedName name="FDD_99_10" hidden="1">"A34334"</definedName>
    <definedName name="FDD_99_11" hidden="1">"A34699"</definedName>
    <definedName name="FDD_99_12" hidden="1">"A35064"</definedName>
    <definedName name="FDD_99_13" hidden="1">"A35430"</definedName>
    <definedName name="FDD_99_14" hidden="1">"A35795"</definedName>
    <definedName name="FDD_99_2" hidden="1">"A31412"</definedName>
    <definedName name="FDD_99_3" hidden="1">"A31777"</definedName>
    <definedName name="FDD_99_4" hidden="1">"A32142"</definedName>
    <definedName name="FDD_99_5" hidden="1">"A32508"</definedName>
    <definedName name="FDD_99_6" hidden="1">"A32873"</definedName>
    <definedName name="FDD_99_7" hidden="1">"A33238"</definedName>
    <definedName name="FDD_99_8" hidden="1">"A33603"</definedName>
    <definedName name="FDD_99_9" hidden="1">"A33969"</definedName>
    <definedName name="FDP_0_1_aUrv" hidden="1">#REF!</definedName>
    <definedName name="FDP_1_1_aUrv" localSheetId="2" hidden="1">#REF!</definedName>
    <definedName name="FDP_1_1_aUrv" hidden="1">#REF!</definedName>
    <definedName name="FDP_10_1_aDrv" localSheetId="2" hidden="1">#REF!</definedName>
    <definedName name="FDP_10_1_aDrv" hidden="1">#REF!</definedName>
    <definedName name="FDP_10_1_aUrv" hidden="1">#REF!</definedName>
    <definedName name="FDP_100_1_aUrv" localSheetId="2" hidden="1">#REF!</definedName>
    <definedName name="FDP_100_1_aUrv" hidden="1">#REF!</definedName>
    <definedName name="FDP_101_1_aUrv" localSheetId="2" hidden="1">#REF!</definedName>
    <definedName name="FDP_101_1_aUrv" hidden="1">#REF!</definedName>
    <definedName name="FDP_102_1_aUrv" localSheetId="2" hidden="1">#REF!</definedName>
    <definedName name="FDP_102_1_aUrv" hidden="1">#REF!</definedName>
    <definedName name="FDP_103_1_aUrv" localSheetId="2" hidden="1">#REF!</definedName>
    <definedName name="FDP_103_1_aUrv" hidden="1">#REF!</definedName>
    <definedName name="FDP_104_1_aUrv" localSheetId="2" hidden="1">#REF!</definedName>
    <definedName name="FDP_104_1_aUrv" hidden="1">#REF!</definedName>
    <definedName name="FDP_105_1_aUrv" localSheetId="2" hidden="1">#REF!</definedName>
    <definedName name="FDP_105_1_aUrv" hidden="1">#REF!</definedName>
    <definedName name="FDP_106_1_aUrv" localSheetId="2" hidden="1">#REF!</definedName>
    <definedName name="FDP_106_1_aUrv" hidden="1">#REF!</definedName>
    <definedName name="FDP_107_1_aSrv" hidden="1">#REF!</definedName>
    <definedName name="FDP_107_1_aUrv" localSheetId="2" hidden="1">#REF!</definedName>
    <definedName name="FDP_107_1_aUrv" hidden="1">#REF!</definedName>
    <definedName name="FDP_108_1_aSrv" hidden="1">#REF!</definedName>
    <definedName name="FDP_108_1_aUrv" localSheetId="2" hidden="1">#REF!</definedName>
    <definedName name="FDP_108_1_aUrv" hidden="1">#REF!</definedName>
    <definedName name="FDP_109_1_aUrv" localSheetId="2" hidden="1">#REF!</definedName>
    <definedName name="FDP_109_1_aUrv" hidden="1">#REF!</definedName>
    <definedName name="FDP_11_1_aDrv" localSheetId="2" hidden="1">#REF!</definedName>
    <definedName name="FDP_11_1_aDrv" hidden="1">#REF!</definedName>
    <definedName name="FDP_11_1_aUrv" hidden="1">#REF!</definedName>
    <definedName name="FDP_110_1_aUrv" localSheetId="2" hidden="1">#REF!</definedName>
    <definedName name="FDP_110_1_aUrv" hidden="1">#REF!</definedName>
    <definedName name="FDP_111_1_aUrv" localSheetId="2" hidden="1">#REF!</definedName>
    <definedName name="FDP_111_1_aUrv" hidden="1">#REF!</definedName>
    <definedName name="FDP_112_1_aUrv" localSheetId="2" hidden="1">#REF!</definedName>
    <definedName name="FDP_112_1_aUrv" hidden="1">#REF!</definedName>
    <definedName name="FDP_113_1_aUrv" localSheetId="2" hidden="1">#REF!</definedName>
    <definedName name="FDP_113_1_aUrv" hidden="1">#REF!</definedName>
    <definedName name="FDP_114_1_aUrv" localSheetId="2" hidden="1">#REF!</definedName>
    <definedName name="FDP_114_1_aUrv" hidden="1">#REF!</definedName>
    <definedName name="FDP_115_1_aUrv" localSheetId="2" hidden="1">#REF!</definedName>
    <definedName name="FDP_115_1_aUrv" hidden="1">#REF!</definedName>
    <definedName name="FDP_116_1_aUrv" localSheetId="2" hidden="1">#REF!</definedName>
    <definedName name="FDP_116_1_aUrv" hidden="1">#REF!</definedName>
    <definedName name="FDP_117_1_aUrv" localSheetId="2" hidden="1">#REF!</definedName>
    <definedName name="FDP_117_1_aUrv" hidden="1">#REF!</definedName>
    <definedName name="FDP_118_1_aUrv" localSheetId="2" hidden="1">#REF!</definedName>
    <definedName name="FDP_118_1_aUrv" hidden="1">#REF!</definedName>
    <definedName name="FDP_119_1_aUrv" localSheetId="2" hidden="1">#REF!</definedName>
    <definedName name="FDP_119_1_aUrv" hidden="1">#REF!</definedName>
    <definedName name="FDP_12_1_aDrv" localSheetId="2" hidden="1">#REF!</definedName>
    <definedName name="FDP_12_1_aDrv" hidden="1">#REF!</definedName>
    <definedName name="FDP_12_1_aUrv" localSheetId="2" hidden="1">#REF!</definedName>
    <definedName name="FDP_12_1_aUrv" hidden="1">#REF!</definedName>
    <definedName name="FDP_120_1_aSrv" hidden="1">#REF!</definedName>
    <definedName name="FDP_120_1_aUrv" localSheetId="2" hidden="1">#REF!</definedName>
    <definedName name="FDP_120_1_aUrv" hidden="1">#REF!</definedName>
    <definedName name="FDP_121_1_aSrv" hidden="1">#REF!</definedName>
    <definedName name="FDP_121_1_aUrv" localSheetId="2" hidden="1">#REF!</definedName>
    <definedName name="FDP_121_1_aUrv" hidden="1">#REF!</definedName>
    <definedName name="FDP_122_1_aUrv" localSheetId="2" hidden="1">#REF!</definedName>
    <definedName name="FDP_122_1_aUrv" hidden="1">#REF!</definedName>
    <definedName name="FDP_123_1_aUrv" localSheetId="2" hidden="1">#REF!</definedName>
    <definedName name="FDP_123_1_aUrv" hidden="1">#REF!</definedName>
    <definedName name="FDP_124_1_aUrv" localSheetId="2" hidden="1">#REF!</definedName>
    <definedName name="FDP_124_1_aUrv" hidden="1">#REF!</definedName>
    <definedName name="FDP_125_1_aUrv" localSheetId="2" hidden="1">#REF!</definedName>
    <definedName name="FDP_125_1_aUrv" hidden="1">#REF!</definedName>
    <definedName name="FDP_126_1_aUrv" localSheetId="2" hidden="1">#REF!</definedName>
    <definedName name="FDP_126_1_aUrv" hidden="1">#REF!</definedName>
    <definedName name="FDP_127_1_aUrv" localSheetId="2" hidden="1">#REF!</definedName>
    <definedName name="FDP_127_1_aUrv" hidden="1">#REF!</definedName>
    <definedName name="FDP_128_1_aUrv" localSheetId="2" hidden="1">#REF!</definedName>
    <definedName name="FDP_128_1_aUrv" hidden="1">#REF!</definedName>
    <definedName name="FDP_129_1_aSrv" hidden="1">#REF!</definedName>
    <definedName name="FDP_129_1_aUrv" localSheetId="2" hidden="1">#REF!</definedName>
    <definedName name="FDP_129_1_aUrv" hidden="1">#REF!</definedName>
    <definedName name="FDP_13_1_aUrv" localSheetId="2" hidden="1">#REF!</definedName>
    <definedName name="FDP_13_1_aUrv" hidden="1">#REF!</definedName>
    <definedName name="FDP_130_1_aUrv" localSheetId="2" hidden="1">#REF!</definedName>
    <definedName name="FDP_130_1_aUrv" hidden="1">#REF!</definedName>
    <definedName name="FDP_131_1_aSrv" localSheetId="2" hidden="1">#REF!</definedName>
    <definedName name="FDP_131_1_aSrv" hidden="1">#REF!</definedName>
    <definedName name="FDP_131_1_aUrv" hidden="1">#REF!</definedName>
    <definedName name="FDP_132_1_aUrv" localSheetId="2" hidden="1">#REF!</definedName>
    <definedName name="FDP_132_1_aUrv" hidden="1">#REF!</definedName>
    <definedName name="FDP_133_1_aUrv" localSheetId="2" hidden="1">#REF!</definedName>
    <definedName name="FDP_133_1_aUrv" hidden="1">#REF!</definedName>
    <definedName name="FDP_134_1_aUrv" localSheetId="2" hidden="1">#REF!</definedName>
    <definedName name="FDP_134_1_aUrv" hidden="1">#REF!</definedName>
    <definedName name="FDP_135_1_aUrv" localSheetId="2" hidden="1">#REF!</definedName>
    <definedName name="FDP_135_1_aUrv" hidden="1">#REF!</definedName>
    <definedName name="FDP_136_1_aSrv" localSheetId="2" hidden="1">#REF!</definedName>
    <definedName name="FDP_136_1_aSrv" hidden="1">#REF!</definedName>
    <definedName name="FDP_136_1_aUrv" hidden="1">#REF!</definedName>
    <definedName name="FDP_137_1_aSrv" hidden="1">#REF!</definedName>
    <definedName name="FDP_137_1_aUrv" localSheetId="2" hidden="1">#REF!</definedName>
    <definedName name="FDP_137_1_aUrv" hidden="1">#REF!</definedName>
    <definedName name="FDP_138_1_aSrv" hidden="1">#REF!</definedName>
    <definedName name="FDP_138_1_aUrv" localSheetId="2" hidden="1">#REF!</definedName>
    <definedName name="FDP_138_1_aUrv" hidden="1">#REF!</definedName>
    <definedName name="FDP_139_1_aUrv" localSheetId="2" hidden="1">#REF!</definedName>
    <definedName name="FDP_139_1_aUrv" hidden="1">#REF!</definedName>
    <definedName name="FDP_14_1_aSrv" hidden="1">#REF!</definedName>
    <definedName name="FDP_14_1_aUrv" localSheetId="2" hidden="1">#REF!</definedName>
    <definedName name="FDP_14_1_aUrv" hidden="1">#REF!</definedName>
    <definedName name="FDP_140_1_aUrv" localSheetId="2" hidden="1">#REF!</definedName>
    <definedName name="FDP_140_1_aUrv" hidden="1">#REF!</definedName>
    <definedName name="FDP_141_1_aSrv" hidden="1">#REF!</definedName>
    <definedName name="FDP_141_1_aUrv" localSheetId="2" hidden="1">#REF!</definedName>
    <definedName name="FDP_141_1_aUrv" hidden="1">#REF!</definedName>
    <definedName name="FDP_142_1_aUrv" localSheetId="2" hidden="1">#REF!</definedName>
    <definedName name="FDP_142_1_aUrv" hidden="1">#REF!</definedName>
    <definedName name="FDP_143_1_aSrv" hidden="1">#REF!</definedName>
    <definedName name="FDP_143_1_aUrv" localSheetId="2" hidden="1">#REF!</definedName>
    <definedName name="FDP_143_1_aUrv" hidden="1">#REF!</definedName>
    <definedName name="FDP_144_1_aSrv" hidden="1">#REF!</definedName>
    <definedName name="FDP_144_1_aUrv" localSheetId="2" hidden="1">#REF!</definedName>
    <definedName name="FDP_144_1_aUrv" hidden="1">#REF!</definedName>
    <definedName name="FDP_145_1_aSrv" hidden="1">#REF!</definedName>
    <definedName name="FDP_145_1_aUrv" localSheetId="2" hidden="1">#REF!</definedName>
    <definedName name="FDP_145_1_aUrv" hidden="1">#REF!</definedName>
    <definedName name="FDP_146_1_aSrv" hidden="1">#REF!</definedName>
    <definedName name="FDP_146_1_aUrv" localSheetId="2" hidden="1">#REF!</definedName>
    <definedName name="FDP_146_1_aUrv" hidden="1">#REF!</definedName>
    <definedName name="FDP_147_1_aSrv" hidden="1">#REF!</definedName>
    <definedName name="FDP_147_1_aUrv" localSheetId="2" hidden="1">#REF!</definedName>
    <definedName name="FDP_147_1_aUrv" hidden="1">#REF!</definedName>
    <definedName name="FDP_148_1_aSrv" hidden="1">#REF!</definedName>
    <definedName name="FDP_148_1_aUrv" localSheetId="2" hidden="1">#REF!</definedName>
    <definedName name="FDP_148_1_aUrv" hidden="1">#REF!</definedName>
    <definedName name="FDP_149_1_aSrv" hidden="1">#REF!</definedName>
    <definedName name="FDP_149_1_aUrv" localSheetId="2" hidden="1">#REF!</definedName>
    <definedName name="FDP_149_1_aUrv" hidden="1">#REF!</definedName>
    <definedName name="FDP_15_1_aUrv" localSheetId="2" hidden="1">#REF!</definedName>
    <definedName name="FDP_15_1_aUrv" hidden="1">#REF!</definedName>
    <definedName name="FDP_150_1_aSrv" localSheetId="2" hidden="1">#REF!</definedName>
    <definedName name="FDP_150_1_aSrv" hidden="1">#REF!</definedName>
    <definedName name="FDP_150_1_aUrv" localSheetId="2" hidden="1">#REF!</definedName>
    <definedName name="FDP_150_1_aUrv" hidden="1">#REF!</definedName>
    <definedName name="FDP_151_1_aUrv" localSheetId="2" hidden="1">#REF!</definedName>
    <definedName name="FDP_151_1_aUrv" hidden="1">#REF!</definedName>
    <definedName name="FDP_152_1_aSrv" localSheetId="2" hidden="1">#REF!</definedName>
    <definedName name="FDP_152_1_aSrv" hidden="1">#REF!</definedName>
    <definedName name="FDP_152_1_aUrv" localSheetId="2" hidden="1">#REF!</definedName>
    <definedName name="FDP_152_1_aUrv" hidden="1">#REF!</definedName>
    <definedName name="FDP_153_1_aUrv" localSheetId="2" hidden="1">#REF!</definedName>
    <definedName name="FDP_153_1_aUrv" hidden="1">#REF!</definedName>
    <definedName name="FDP_154_1_aSrv" localSheetId="2" hidden="1">#REF!</definedName>
    <definedName name="FDP_154_1_aSrv" hidden="1">#REF!</definedName>
    <definedName name="FDP_154_1_aUrv" localSheetId="2" hidden="1">#REF!</definedName>
    <definedName name="FDP_154_1_aUrv" hidden="1">#REF!</definedName>
    <definedName name="FDP_155_1_aUrv" localSheetId="2" hidden="1">#REF!</definedName>
    <definedName name="FDP_155_1_aUrv" hidden="1">#REF!</definedName>
    <definedName name="FDP_156_1_aDrv" localSheetId="2" hidden="1">#REF!</definedName>
    <definedName name="FDP_156_1_aDrv" hidden="1">#REF!</definedName>
    <definedName name="FDP_156_1_aSrv" localSheetId="2" hidden="1">#REF!</definedName>
    <definedName name="FDP_156_1_aSrv" hidden="1">#REF!</definedName>
    <definedName name="FDP_156_1_aUrv" hidden="1">#REF!</definedName>
    <definedName name="FDP_157_1_aUrv" localSheetId="2" hidden="1">#REF!</definedName>
    <definedName name="FDP_157_1_aUrv" hidden="1">#REF!</definedName>
    <definedName name="FDP_158_1_aSrv" localSheetId="2" hidden="1">#REF!</definedName>
    <definedName name="FDP_158_1_aSrv" hidden="1">#REF!</definedName>
    <definedName name="FDP_158_1_aUrv" localSheetId="2" hidden="1">#REF!</definedName>
    <definedName name="FDP_158_1_aUrv" hidden="1">#REF!</definedName>
    <definedName name="FDP_159_1_aUrv" localSheetId="2" hidden="1">#REF!</definedName>
    <definedName name="FDP_159_1_aUrv" hidden="1">#REF!</definedName>
    <definedName name="FDP_16_1_aUrv" localSheetId="2" hidden="1">#REF!</definedName>
    <definedName name="FDP_16_1_aUrv" hidden="1">#REF!</definedName>
    <definedName name="FDP_160_1_aSrv" localSheetId="2" hidden="1">#REF!</definedName>
    <definedName name="FDP_160_1_aSrv" hidden="1">#REF!</definedName>
    <definedName name="FDP_160_1_aUrv" localSheetId="2" hidden="1">#REF!</definedName>
    <definedName name="FDP_160_1_aUrv" hidden="1">#REF!</definedName>
    <definedName name="FDP_161_1_aDrv" localSheetId="2" hidden="1">#REF!</definedName>
    <definedName name="FDP_161_1_aDrv" hidden="1">#REF!</definedName>
    <definedName name="FDP_161_1_aUrv" localSheetId="2" hidden="1">#REF!</definedName>
    <definedName name="FDP_161_1_aUrv" hidden="1">#REF!</definedName>
    <definedName name="FDP_162_1_aDrv" localSheetId="2" hidden="1">#REF!</definedName>
    <definedName name="FDP_162_1_aDrv" hidden="1">#REF!</definedName>
    <definedName name="FDP_162_1_aUrv" localSheetId="2" hidden="1">#REF!</definedName>
    <definedName name="FDP_162_1_aUrv" hidden="1">#REF!</definedName>
    <definedName name="FDP_163_1_aDrv" localSheetId="2" hidden="1">#REF!</definedName>
    <definedName name="FDP_163_1_aDrv" hidden="1">#REF!</definedName>
    <definedName name="FDP_163_1_aUrv" localSheetId="2" hidden="1">#REF!</definedName>
    <definedName name="FDP_163_1_aUrv" hidden="1">#REF!</definedName>
    <definedName name="FDP_164_1_aDrv" localSheetId="2" hidden="1">#REF!</definedName>
    <definedName name="FDP_164_1_aDrv" hidden="1">#REF!</definedName>
    <definedName name="FDP_164_1_aUrv" hidden="1">#REF!</definedName>
    <definedName name="FDP_165_1_aDrv" localSheetId="2" hidden="1">#REF!</definedName>
    <definedName name="FDP_165_1_aDrv" hidden="1">#REF!</definedName>
    <definedName name="FDP_165_1_aUrv" localSheetId="2" hidden="1">#REF!</definedName>
    <definedName name="FDP_165_1_aUrv" hidden="1">#REF!</definedName>
    <definedName name="FDP_166_1_aDrv" localSheetId="2" hidden="1">#REF!</definedName>
    <definedName name="FDP_166_1_aDrv" hidden="1">#REF!</definedName>
    <definedName name="FDP_166_1_aUrv" localSheetId="2" hidden="1">#REF!</definedName>
    <definedName name="FDP_166_1_aUrv" hidden="1">#REF!</definedName>
    <definedName name="FDP_167_1_aDrv" localSheetId="2" hidden="1">#REF!</definedName>
    <definedName name="FDP_167_1_aDrv" hidden="1">#REF!</definedName>
    <definedName name="FDP_167_1_aUrv" localSheetId="2" hidden="1">#REF!</definedName>
    <definedName name="FDP_167_1_aUrv" hidden="1">#REF!</definedName>
    <definedName name="FDP_168_1_aDrv" localSheetId="2" hidden="1">#REF!</definedName>
    <definedName name="FDP_168_1_aDrv" hidden="1">#REF!</definedName>
    <definedName name="FDP_168_1_aSrv" localSheetId="2" hidden="1">#REF!</definedName>
    <definedName name="FDP_168_1_aSrv" hidden="1">#REF!</definedName>
    <definedName name="FDP_169_1_aDrv" localSheetId="2" hidden="1">#REF!</definedName>
    <definedName name="FDP_169_1_aDrv" hidden="1">#REF!</definedName>
    <definedName name="FDP_169_1_aUrv" localSheetId="2" hidden="1">#REF!</definedName>
    <definedName name="FDP_169_1_aUrv" hidden="1">#REF!</definedName>
    <definedName name="FDP_17_1_aUrv" localSheetId="2" hidden="1">#REF!</definedName>
    <definedName name="FDP_17_1_aUrv" hidden="1">#REF!</definedName>
    <definedName name="FDP_170_1_aDrv" localSheetId="2" hidden="1">#REF!</definedName>
    <definedName name="FDP_170_1_aDrv" hidden="1">#REF!</definedName>
    <definedName name="FDP_170_1_aSrv" localSheetId="2" hidden="1">#REF!</definedName>
    <definedName name="FDP_170_1_aSrv" hidden="1">#REF!</definedName>
    <definedName name="FDP_171_1_aDrv" localSheetId="2" hidden="1">#REF!</definedName>
    <definedName name="FDP_171_1_aDrv" hidden="1">#REF!</definedName>
    <definedName name="FDP_171_1_aUrv" localSheetId="2" hidden="1">#REF!</definedName>
    <definedName name="FDP_171_1_aUrv" hidden="1">#REF!</definedName>
    <definedName name="FDP_172_1_aDrv" localSheetId="2" hidden="1">#REF!</definedName>
    <definedName name="FDP_172_1_aDrv" hidden="1">#REF!</definedName>
    <definedName name="FDP_172_1_aUrv" localSheetId="2" hidden="1">#REF!</definedName>
    <definedName name="FDP_172_1_aUrv" hidden="1">#REF!</definedName>
    <definedName name="FDP_173_1_aDrv" localSheetId="2" hidden="1">#REF!</definedName>
    <definedName name="FDP_173_1_aDrv" hidden="1">#REF!</definedName>
    <definedName name="FDP_173_1_aUrv" localSheetId="2" hidden="1">#REF!</definedName>
    <definedName name="FDP_173_1_aUrv" hidden="1">#REF!</definedName>
    <definedName name="FDP_174_1_aSrv" localSheetId="2" hidden="1">#REF!</definedName>
    <definedName name="FDP_174_1_aSrv" hidden="1">#REF!</definedName>
    <definedName name="FDP_174_1_aUrv" localSheetId="2" hidden="1">#REF!</definedName>
    <definedName name="FDP_174_1_aUrv" hidden="1">#REF!</definedName>
    <definedName name="FDP_175_1_aUrv" localSheetId="2" hidden="1">#REF!</definedName>
    <definedName name="FDP_175_1_aUrv" hidden="1">#REF!</definedName>
    <definedName name="FDP_176_1_aUrv" localSheetId="2" hidden="1">#REF!</definedName>
    <definedName name="FDP_176_1_aUrv" hidden="1">#REF!</definedName>
    <definedName name="FDP_177_1_aSrv" localSheetId="2" hidden="1">#REF!</definedName>
    <definedName name="FDP_177_1_aSrv" hidden="1">#REF!</definedName>
    <definedName name="FDP_177_1_aUrv" localSheetId="2" hidden="1">#REF!</definedName>
    <definedName name="FDP_177_1_aUrv" hidden="1">#REF!</definedName>
    <definedName name="FDP_178_1_aSrv" localSheetId="2" hidden="1">#REF!</definedName>
    <definedName name="FDP_178_1_aSrv" hidden="1">#REF!</definedName>
    <definedName name="FDP_178_1_aUrv" localSheetId="2" hidden="1">#REF!</definedName>
    <definedName name="FDP_178_1_aUrv" hidden="1">#REF!</definedName>
    <definedName name="FDP_179_1_aSrv" localSheetId="2" hidden="1">#REF!</definedName>
    <definedName name="FDP_179_1_aSrv" hidden="1">#REF!</definedName>
    <definedName name="FDP_179_1_aUrv" localSheetId="2" hidden="1">#REF!</definedName>
    <definedName name="FDP_179_1_aUrv" hidden="1">#REF!</definedName>
    <definedName name="FDP_18_1_aUrv" localSheetId="2" hidden="1">#REF!</definedName>
    <definedName name="FDP_18_1_aUrv" hidden="1">#REF!</definedName>
    <definedName name="FDP_180_1_aSrv" localSheetId="2" hidden="1">#REF!</definedName>
    <definedName name="FDP_180_1_aSrv" hidden="1">#REF!</definedName>
    <definedName name="FDP_180_1_aUdv" localSheetId="2" hidden="1">#REF!</definedName>
    <definedName name="FDP_180_1_aUdv" hidden="1">#REF!</definedName>
    <definedName name="FDP_181_1_aUdv" localSheetId="2" hidden="1">#REF!</definedName>
    <definedName name="FDP_181_1_aUdv" hidden="1">#REF!</definedName>
    <definedName name="FDP_181_1_aUrv" localSheetId="2" hidden="1">#REF!</definedName>
    <definedName name="FDP_181_1_aUrv" hidden="1">#REF!</definedName>
    <definedName name="FDP_182_1_aSrv" localSheetId="2" hidden="1">#REF!</definedName>
    <definedName name="FDP_182_1_aSrv" hidden="1">#REF!</definedName>
    <definedName name="FDP_182_1_aUdv" localSheetId="2" hidden="1">#REF!</definedName>
    <definedName name="FDP_182_1_aUdv" hidden="1">#REF!</definedName>
    <definedName name="FDP_182_1_aUrv" hidden="1">#REF!</definedName>
    <definedName name="FDP_183_1_aSrv" localSheetId="2" hidden="1">#REF!</definedName>
    <definedName name="FDP_183_1_aSrv" hidden="1">#REF!</definedName>
    <definedName name="FDP_183_1_aUdv" localSheetId="2" hidden="1">#REF!</definedName>
    <definedName name="FDP_183_1_aUdv" hidden="1">#REF!</definedName>
    <definedName name="FDP_184_1_aUdv" localSheetId="2" hidden="1">#REF!</definedName>
    <definedName name="FDP_184_1_aUdv" hidden="1">#REF!</definedName>
    <definedName name="FDP_184_1_aUrv" localSheetId="2" hidden="1">#REF!</definedName>
    <definedName name="FDP_184_1_aUrv" hidden="1">#REF!</definedName>
    <definedName name="FDP_185_1_aSrv" localSheetId="2" hidden="1">#REF!</definedName>
    <definedName name="FDP_185_1_aSrv" hidden="1">#REF!</definedName>
    <definedName name="FDP_185_1_aUdv" localSheetId="2" hidden="1">#REF!</definedName>
    <definedName name="FDP_185_1_aUdv" hidden="1">#REF!</definedName>
    <definedName name="FDP_185_1_aUrv" hidden="1">#REF!</definedName>
    <definedName name="FDP_186_1_aSrv" hidden="1">#REF!</definedName>
    <definedName name="FDP_186_1_aUdv" localSheetId="2" hidden="1">#REF!</definedName>
    <definedName name="FDP_186_1_aUdv" hidden="1">#REF!</definedName>
    <definedName name="FDP_186_1_aUrv" localSheetId="2" hidden="1">#REF!</definedName>
    <definedName name="FDP_186_1_aUrv" hidden="1">#REF!</definedName>
    <definedName name="FDP_187_1_aSrv" localSheetId="2" hidden="1">#REF!</definedName>
    <definedName name="FDP_187_1_aSrv" hidden="1">#REF!</definedName>
    <definedName name="FDP_187_1_aUdv" localSheetId="2" hidden="1">#REF!</definedName>
    <definedName name="FDP_187_1_aUdv" hidden="1">#REF!</definedName>
    <definedName name="FDP_187_1_aUrv" hidden="1">#REF!</definedName>
    <definedName name="FDP_188_1_aUdv" localSheetId="2" hidden="1">#REF!</definedName>
    <definedName name="FDP_188_1_aUdv" hidden="1">#REF!</definedName>
    <definedName name="FDP_188_1_aUrv" localSheetId="2" hidden="1">#REF!</definedName>
    <definedName name="FDP_188_1_aUrv" hidden="1">#REF!</definedName>
    <definedName name="FDP_189_1_aSrv" hidden="1">#REF!</definedName>
    <definedName name="FDP_189_1_aUdv" localSheetId="2" hidden="1">#REF!</definedName>
    <definedName name="FDP_189_1_aUdv" hidden="1">#REF!</definedName>
    <definedName name="FDP_189_1_aUrv" localSheetId="2" hidden="1">#REF!</definedName>
    <definedName name="FDP_189_1_aUrv" hidden="1">#REF!</definedName>
    <definedName name="FDP_19_1_aUrv" localSheetId="2" hidden="1">#REF!</definedName>
    <definedName name="FDP_19_1_aUrv" hidden="1">#REF!</definedName>
    <definedName name="FDP_190_1_aUdv" localSheetId="2" hidden="1">#REF!</definedName>
    <definedName name="FDP_190_1_aUdv" hidden="1">#REF!</definedName>
    <definedName name="FDP_190_1_aUrv" localSheetId="2" hidden="1">#REF!</definedName>
    <definedName name="FDP_190_1_aUrv" hidden="1">#REF!</definedName>
    <definedName name="FDP_191_1_aSrv" hidden="1">#REF!</definedName>
    <definedName name="FDP_191_1_aUdv" localSheetId="2" hidden="1">#REF!</definedName>
    <definedName name="FDP_191_1_aUdv" hidden="1">#REF!</definedName>
    <definedName name="FDP_191_1_aUrv" localSheetId="2" hidden="1">#REF!</definedName>
    <definedName name="FDP_191_1_aUrv" hidden="1">#REF!</definedName>
    <definedName name="FDP_192_1_aSrv" localSheetId="2" hidden="1">#REF!</definedName>
    <definedName name="FDP_192_1_aSrv" hidden="1">#REF!</definedName>
    <definedName name="FDP_192_1_aUdv" localSheetId="2" hidden="1">#REF!</definedName>
    <definedName name="FDP_192_1_aUdv" hidden="1">#REF!</definedName>
    <definedName name="FDP_192_1_aUrv" hidden="1">#REF!</definedName>
    <definedName name="FDP_193_1_aUdv" localSheetId="2" hidden="1">#REF!</definedName>
    <definedName name="FDP_193_1_aUdv" hidden="1">#REF!</definedName>
    <definedName name="FDP_193_1_aUrv" localSheetId="2" hidden="1">#REF!</definedName>
    <definedName name="FDP_193_1_aUrv" hidden="1">#REF!</definedName>
    <definedName name="FDP_194_1_aSrv" hidden="1">#REF!</definedName>
    <definedName name="FDP_194_1_aUdv" localSheetId="2" hidden="1">#REF!</definedName>
    <definedName name="FDP_194_1_aUdv" hidden="1">#REF!</definedName>
    <definedName name="FDP_194_1_aUrv" localSheetId="2" hidden="1">#REF!</definedName>
    <definedName name="FDP_194_1_aUrv" hidden="1">#REF!</definedName>
    <definedName name="FDP_195_1_aUdv" localSheetId="2" hidden="1">#REF!</definedName>
    <definedName name="FDP_195_1_aUdv" hidden="1">#REF!</definedName>
    <definedName name="FDP_195_1_aUrv" localSheetId="2" hidden="1">#REF!</definedName>
    <definedName name="FDP_195_1_aUrv" hidden="1">#REF!</definedName>
    <definedName name="FDP_196_1_aSrv" localSheetId="2" hidden="1">#REF!</definedName>
    <definedName name="FDP_196_1_aSrv" hidden="1">#REF!</definedName>
    <definedName name="FDP_196_1_aUdv" localSheetId="2" hidden="1">#REF!</definedName>
    <definedName name="FDP_196_1_aUdv" hidden="1">#REF!</definedName>
    <definedName name="FDP_196_1_aUrv" hidden="1">#REF!</definedName>
    <definedName name="FDP_196_1aUdv1" localSheetId="2" hidden="1">#REF!</definedName>
    <definedName name="FDP_196_1aUdv1" hidden="1">#REF!</definedName>
    <definedName name="FDP_197_1_aUdv" localSheetId="2" hidden="1">#REF!</definedName>
    <definedName name="FDP_197_1_aUdv" hidden="1">#REF!</definedName>
    <definedName name="FDP_197_1_aUrv" localSheetId="2" hidden="1">#REF!</definedName>
    <definedName name="FDP_197_1_aUrv" hidden="1">#REF!</definedName>
    <definedName name="FDP_198_1_aSrv" localSheetId="2" hidden="1">#REF!</definedName>
    <definedName name="FDP_198_1_aSrv" hidden="1">#REF!</definedName>
    <definedName name="FDP_198_1_aUdv" localSheetId="2" hidden="1">#REF!</definedName>
    <definedName name="FDP_198_1_aUdv" hidden="1">#REF!</definedName>
    <definedName name="FDP_198_1_aUrv" hidden="1">#REF!</definedName>
    <definedName name="FDP_199_1_aUdv" localSheetId="2" hidden="1">#REF!</definedName>
    <definedName name="FDP_199_1_aUdv" hidden="1">#REF!</definedName>
    <definedName name="FDP_199_1_aUrv" localSheetId="2" hidden="1">#REF!</definedName>
    <definedName name="FDP_199_1_aUrv" hidden="1">#REF!</definedName>
    <definedName name="FDP_2_1_aUrv" localSheetId="2" hidden="1">#REF!</definedName>
    <definedName name="FDP_2_1_aUrv" hidden="1">#REF!</definedName>
    <definedName name="FDP_20_1_aDrv" hidden="1">#REF!</definedName>
    <definedName name="FDP_20_1_aUrv" localSheetId="2" hidden="1">#REF!</definedName>
    <definedName name="FDP_20_1_aUrv" hidden="1">#REF!</definedName>
    <definedName name="FDP_200_1_aUrv" localSheetId="2" hidden="1">#REF!</definedName>
    <definedName name="FDP_200_1_aUrv" hidden="1">#REF!</definedName>
    <definedName name="FDP_201_1_aUrv" localSheetId="2" hidden="1">#REF!</definedName>
    <definedName name="FDP_201_1_aUrv" hidden="1">#REF!</definedName>
    <definedName name="FDP_202_1_aUrv" localSheetId="2" hidden="1">#REF!</definedName>
    <definedName name="FDP_202_1_aUrv" hidden="1">#REF!</definedName>
    <definedName name="FDP_203_1_aSrv" localSheetId="2" hidden="1">#REF!</definedName>
    <definedName name="FDP_203_1_aSrv" hidden="1">#REF!</definedName>
    <definedName name="FDP_203_1_aUrv" hidden="1">#REF!</definedName>
    <definedName name="FDP_204_1_aUrv" localSheetId="2" hidden="1">#REF!</definedName>
    <definedName name="FDP_204_1_aUrv" hidden="1">#REF!</definedName>
    <definedName name="FDP_205_1_aUrv" localSheetId="2" hidden="1">#REF!</definedName>
    <definedName name="FDP_205_1_aUrv" hidden="1">#REF!</definedName>
    <definedName name="FDP_206_1_aSrv" hidden="1">#REF!</definedName>
    <definedName name="FDP_206_1_aUrv" localSheetId="2" hidden="1">#REF!</definedName>
    <definedName name="FDP_206_1_aUrv" hidden="1">#REF!</definedName>
    <definedName name="FDP_207_1_aUrv" localSheetId="2" hidden="1">#REF!</definedName>
    <definedName name="FDP_207_1_aUrv" hidden="1">#REF!</definedName>
    <definedName name="FDP_208_1_aSrv" localSheetId="2" hidden="1">#REF!</definedName>
    <definedName name="FDP_208_1_aSrv" hidden="1">#REF!</definedName>
    <definedName name="FDP_208_1_aUrv" hidden="1">#REF!</definedName>
    <definedName name="FDP_209_1_aUrv" localSheetId="2" hidden="1">#REF!</definedName>
    <definedName name="FDP_209_1_aUrv" hidden="1">#REF!</definedName>
    <definedName name="FDP_21_1_aSrv" hidden="1">#REF!</definedName>
    <definedName name="FDP_21_1_aUrv" localSheetId="2" hidden="1">#REF!</definedName>
    <definedName name="FDP_21_1_aUrv" hidden="1">#REF!</definedName>
    <definedName name="FDP_210_1_aUrv" localSheetId="2" hidden="1">#REF!</definedName>
    <definedName name="FDP_210_1_aUrv" hidden="1">#REF!</definedName>
    <definedName name="FDP_211_1_aUrv" localSheetId="2" hidden="1">#REF!</definedName>
    <definedName name="FDP_211_1_aUrv" hidden="1">#REF!</definedName>
    <definedName name="FDP_212_1_aUrv" localSheetId="2" hidden="1">#REF!</definedName>
    <definedName name="FDP_212_1_aUrv" hidden="1">#REF!</definedName>
    <definedName name="FDP_213_1_aSrv" localSheetId="2" hidden="1">#REF!</definedName>
    <definedName name="FDP_213_1_aSrv" hidden="1">#REF!</definedName>
    <definedName name="FDP_213_1_aUrv" hidden="1">#REF!</definedName>
    <definedName name="FDP_214_1_aUrv" localSheetId="2" hidden="1">#REF!</definedName>
    <definedName name="FDP_214_1_aUrv" hidden="1">#REF!</definedName>
    <definedName name="FDP_215_1_aUrv" localSheetId="2" hidden="1">#REF!</definedName>
    <definedName name="FDP_215_1_aUrv" hidden="1">#REF!</definedName>
    <definedName name="FDP_216_1_aUrv" localSheetId="2" hidden="1">#REF!</definedName>
    <definedName name="FDP_216_1_aUrv" hidden="1">#REF!</definedName>
    <definedName name="FDP_217_1_aUrv" localSheetId="2" hidden="1">#REF!</definedName>
    <definedName name="FDP_217_1_aUrv" hidden="1">#REF!</definedName>
    <definedName name="FDP_218_1_aSrv" localSheetId="2" hidden="1">#REF!</definedName>
    <definedName name="FDP_218_1_aSrv" hidden="1">#REF!</definedName>
    <definedName name="FDP_218_1_aUrv" hidden="1">#REF!</definedName>
    <definedName name="FDP_219_1_aSrv" localSheetId="2" hidden="1">#REF!</definedName>
    <definedName name="FDP_219_1_aSrv" hidden="1">#REF!</definedName>
    <definedName name="FDP_219_1_aUrv" hidden="1">#REF!</definedName>
    <definedName name="FDP_22_1_aDrv" localSheetId="2" hidden="1">#REF!</definedName>
    <definedName name="FDP_22_1_aDrv" hidden="1">#REF!</definedName>
    <definedName name="FDP_22_1_aSrv" hidden="1">#REF!</definedName>
    <definedName name="FDP_22_1_aUrv" localSheetId="2" hidden="1">#REF!</definedName>
    <definedName name="FDP_22_1_aUrv" hidden="1">#REF!</definedName>
    <definedName name="FDP_220_1_aSrv" localSheetId="2" hidden="1">#REF!</definedName>
    <definedName name="FDP_220_1_aSrv" hidden="1">#REF!</definedName>
    <definedName name="FDP_220_1_aUrv" hidden="1">#REF!</definedName>
    <definedName name="FDP_221_1_aSrv" localSheetId="2" hidden="1">#REF!</definedName>
    <definedName name="FDP_221_1_aSrv" hidden="1">#REF!</definedName>
    <definedName name="FDP_221_1_aUrv" hidden="1">#REF!</definedName>
    <definedName name="FDP_222_1_aSrv" localSheetId="2" hidden="1">#REF!</definedName>
    <definedName name="FDP_222_1_aSrv" hidden="1">#REF!</definedName>
    <definedName name="FDP_222_1_aUrv" hidden="1">#REF!</definedName>
    <definedName name="FDP_223_1_aSrv" localSheetId="2" hidden="1">#REF!</definedName>
    <definedName name="FDP_223_1_aSrv" hidden="1">#REF!</definedName>
    <definedName name="FDP_223_1_aUrv" hidden="1">#REF!</definedName>
    <definedName name="FDP_224_1_aUrv" localSheetId="2" hidden="1">#REF!</definedName>
    <definedName name="FDP_224_1_aUrv" hidden="1">#REF!</definedName>
    <definedName name="FDP_225_1_aSrv" hidden="1">#REF!</definedName>
    <definedName name="FDP_225_1_aUrv" localSheetId="2" hidden="1">#REF!</definedName>
    <definedName name="FDP_225_1_aUrv" hidden="1">#REF!</definedName>
    <definedName name="FDP_226_1_aUrv" localSheetId="2" hidden="1">#REF!</definedName>
    <definedName name="FDP_226_1_aUrv" hidden="1">#REF!</definedName>
    <definedName name="FDP_227_1_aUrv" localSheetId="2" hidden="1">#REF!</definedName>
    <definedName name="FDP_227_1_aUrv" hidden="1">#REF!</definedName>
    <definedName name="FDP_228_1_aSrv" localSheetId="2" hidden="1">#REF!</definedName>
    <definedName name="FDP_228_1_aSrv" hidden="1">#REF!</definedName>
    <definedName name="FDP_228_1_aUrv" hidden="1">#REF!</definedName>
    <definedName name="FDP_229_1_aSrv" localSheetId="2" hidden="1">#REF!</definedName>
    <definedName name="FDP_229_1_aSrv" hidden="1">#REF!</definedName>
    <definedName name="FDP_229_1_aUrv" hidden="1">#REF!</definedName>
    <definedName name="FDP_23_1_aDrv" localSheetId="2" hidden="1">#REF!</definedName>
    <definedName name="FDP_23_1_aDrv" hidden="1">#REF!</definedName>
    <definedName name="FDP_23_1_aUrv" hidden="1">#REF!</definedName>
    <definedName name="FDP_230_1_aSrv" localSheetId="2" hidden="1">#REF!</definedName>
    <definedName name="FDP_230_1_aSrv" hidden="1">#REF!</definedName>
    <definedName name="FDP_230_1_aUrv" hidden="1">#REF!</definedName>
    <definedName name="FDP_231_1_aSrv" localSheetId="2" hidden="1">#REF!</definedName>
    <definedName name="FDP_231_1_aSrv" hidden="1">#REF!</definedName>
    <definedName name="FDP_231_1_aUrv" hidden="1">#REF!</definedName>
    <definedName name="FDP_232_1_aSrv" localSheetId="2" hidden="1">#REF!</definedName>
    <definedName name="FDP_232_1_aSrv" hidden="1">#REF!</definedName>
    <definedName name="FDP_232_1_aUrv" hidden="1">#REF!</definedName>
    <definedName name="FDP_233_1_aSrv" localSheetId="2" hidden="1">#REF!</definedName>
    <definedName name="FDP_233_1_aSrv" hidden="1">#REF!</definedName>
    <definedName name="FDP_233_1_aUrv" hidden="1">#REF!</definedName>
    <definedName name="FDP_234_1_aSrv" hidden="1">#REF!</definedName>
    <definedName name="FDP_234_1_aUrv" localSheetId="2" hidden="1">#REF!</definedName>
    <definedName name="FDP_234_1_aUrv" hidden="1">#REF!</definedName>
    <definedName name="FDP_235_1_aSrv" hidden="1">#REF!</definedName>
    <definedName name="FDP_235_1_aUrv" localSheetId="2" hidden="1">#REF!</definedName>
    <definedName name="FDP_235_1_aUrv" hidden="1">#REF!</definedName>
    <definedName name="FDP_236_1_aSrv" hidden="1">#REF!</definedName>
    <definedName name="FDP_236_1_aUrv" localSheetId="2" hidden="1">#REF!</definedName>
    <definedName name="FDP_236_1_aUrv" hidden="1">#REF!</definedName>
    <definedName name="FDP_237_1_aSrv" hidden="1">#REF!</definedName>
    <definedName name="FDP_237_1_aUrv" localSheetId="2" hidden="1">#REF!</definedName>
    <definedName name="FDP_237_1_aUrv" hidden="1">#REF!</definedName>
    <definedName name="FDP_238_1_aSrv" localSheetId="2" hidden="1">#REF!</definedName>
    <definedName name="FDP_238_1_aSrv" hidden="1">#REF!</definedName>
    <definedName name="FDP_239_1_aSrv" hidden="1">#REF!</definedName>
    <definedName name="FDP_24_1_aDrv" localSheetId="2" hidden="1">#REF!</definedName>
    <definedName name="FDP_24_1_aDrv" hidden="1">#REF!</definedName>
    <definedName name="FDP_24_1_aUrv" localSheetId="2" hidden="1">#REF!</definedName>
    <definedName name="FDP_24_1_aUrv" hidden="1">#REF!</definedName>
    <definedName name="FDP_240_1_aSrv" hidden="1">#REF!</definedName>
    <definedName name="FDP_241_1_aSrv" hidden="1">#REF!</definedName>
    <definedName name="FDP_242_1_aSrv" hidden="1">#REF!</definedName>
    <definedName name="FDP_243_1_aSrv" localSheetId="2" hidden="1">#REF!</definedName>
    <definedName name="FDP_243_1_aSrv" hidden="1">#REF!</definedName>
    <definedName name="FDP_244_1_aSrv" localSheetId="2" hidden="1">#REF!</definedName>
    <definedName name="FDP_244_1_aSrv" hidden="1">#REF!</definedName>
    <definedName name="FDP_245_1_aSrv" localSheetId="2" hidden="1">#REF!</definedName>
    <definedName name="FDP_245_1_aSrv" hidden="1">#REF!</definedName>
    <definedName name="FDP_246_1_aSrv" localSheetId="2" hidden="1">#REF!</definedName>
    <definedName name="FDP_246_1_aSrv" hidden="1">#REF!</definedName>
    <definedName name="FDP_247_1_aSrv" localSheetId="2" hidden="1">#REF!</definedName>
    <definedName name="FDP_247_1_aSrv" hidden="1">#REF!</definedName>
    <definedName name="FDP_248_1_aSrv" localSheetId="2" hidden="1">#REF!</definedName>
    <definedName name="FDP_248_1_aSrv" hidden="1">#REF!</definedName>
    <definedName name="FDP_249_1_aSrv" localSheetId="2" hidden="1">#REF!</definedName>
    <definedName name="FDP_249_1_aSrv" hidden="1">#REF!</definedName>
    <definedName name="FDP_25_1_aDrv" localSheetId="2" hidden="1">#REF!</definedName>
    <definedName name="FDP_25_1_aDrv" hidden="1">#REF!</definedName>
    <definedName name="FDP_25_1_aUrv" localSheetId="2" hidden="1">#REF!</definedName>
    <definedName name="FDP_25_1_aUrv" hidden="1">#REF!</definedName>
    <definedName name="FDP_250_1_aSrv" localSheetId="2" hidden="1">#REF!</definedName>
    <definedName name="FDP_250_1_aSrv" hidden="1">#REF!</definedName>
    <definedName name="FDP_251_1_aSrv" localSheetId="2" hidden="1">#REF!</definedName>
    <definedName name="FDP_251_1_aSrv" hidden="1">#REF!</definedName>
    <definedName name="FDP_252_1_aSrv" localSheetId="2" hidden="1">#REF!</definedName>
    <definedName name="FDP_252_1_aSrv" hidden="1">#REF!</definedName>
    <definedName name="FDP_253_1_aSrv" localSheetId="2" hidden="1">#REF!</definedName>
    <definedName name="FDP_253_1_aSrv" hidden="1">#REF!</definedName>
    <definedName name="FDP_254_1_aSrv" localSheetId="2" hidden="1">#REF!</definedName>
    <definedName name="FDP_254_1_aSrv" hidden="1">#REF!</definedName>
    <definedName name="FDP_255_1_aSrv" localSheetId="2" hidden="1">#REF!</definedName>
    <definedName name="FDP_255_1_aSrv" hidden="1">#REF!</definedName>
    <definedName name="FDP_256_1_aSrv" localSheetId="2" hidden="1">#REF!</definedName>
    <definedName name="FDP_256_1_aSrv" hidden="1">#REF!</definedName>
    <definedName name="FDP_257_1_aSrv" localSheetId="2" hidden="1">#REF!</definedName>
    <definedName name="FDP_257_1_aSrv" hidden="1">#REF!</definedName>
    <definedName name="FDP_258_1_aSrv" localSheetId="2" hidden="1">#REF!</definedName>
    <definedName name="FDP_258_1_aSrv" hidden="1">#REF!</definedName>
    <definedName name="FDP_259_1_aSrv" localSheetId="2" hidden="1">#REF!</definedName>
    <definedName name="FDP_259_1_aSrv" hidden="1">#REF!</definedName>
    <definedName name="FDP_26_1_aDrv" localSheetId="2" hidden="1">#REF!</definedName>
    <definedName name="FDP_26_1_aDrv" hidden="1">#REF!</definedName>
    <definedName name="FDP_26_1_aUrv" localSheetId="2" hidden="1">#REF!</definedName>
    <definedName name="FDP_26_1_aUrv" hidden="1">#REF!</definedName>
    <definedName name="FDP_260_1_aSrv" localSheetId="2" hidden="1">#REF!</definedName>
    <definedName name="FDP_260_1_aSrv" hidden="1">#REF!</definedName>
    <definedName name="FDP_261_1_aSrv" localSheetId="2" hidden="1">#REF!</definedName>
    <definedName name="FDP_261_1_aSrv" hidden="1">#REF!</definedName>
    <definedName name="FDP_262_1_aSrv" hidden="1">#REF!</definedName>
    <definedName name="FDP_263_1_aSrv" hidden="1">#REF!</definedName>
    <definedName name="FDP_264_1_aSrv" hidden="1">#REF!</definedName>
    <definedName name="FDP_264_1_aUrv" localSheetId="2" hidden="1">#REF!</definedName>
    <definedName name="FDP_264_1_aUrv" hidden="1">#REF!</definedName>
    <definedName name="FDP_265_1_aSrv" hidden="1">#REF!</definedName>
    <definedName name="FDP_265_1_aUrv" localSheetId="2" hidden="1">#REF!</definedName>
    <definedName name="FDP_265_1_aUrv" hidden="1">#REF!</definedName>
    <definedName name="FDP_266_1_aSrv" hidden="1">#REF!</definedName>
    <definedName name="FDP_266_1_aUrv" localSheetId="2" hidden="1">#REF!</definedName>
    <definedName name="FDP_266_1_aUrv" hidden="1">#REF!</definedName>
    <definedName name="FDP_267_1_aSrv" hidden="1">#REF!</definedName>
    <definedName name="FDP_267_1_aUrv" localSheetId="2" hidden="1">#REF!</definedName>
    <definedName name="FDP_267_1_aUrv" hidden="1">#REF!</definedName>
    <definedName name="FDP_268_1_aSrv" hidden="1">#REF!</definedName>
    <definedName name="FDP_268_1_aUrv" localSheetId="2" hidden="1">#REF!</definedName>
    <definedName name="FDP_268_1_aUrv" hidden="1">#REF!</definedName>
    <definedName name="FDP_269_1_aSrv" hidden="1">#REF!</definedName>
    <definedName name="FDP_269_1_aUrv" localSheetId="2" hidden="1">#REF!</definedName>
    <definedName name="FDP_269_1_aUrv" hidden="1">#REF!</definedName>
    <definedName name="FDP_27_1_aDrv" localSheetId="2" hidden="1">#REF!</definedName>
    <definedName name="FDP_27_1_aDrv" hidden="1">#REF!</definedName>
    <definedName name="FDP_27_1_aUrv" localSheetId="2" hidden="1">#REF!</definedName>
    <definedName name="FDP_27_1_aUrv" hidden="1">#REF!</definedName>
    <definedName name="FDP_270_1_aSrv" hidden="1">#REF!</definedName>
    <definedName name="FDP_270_1_aUrv" localSheetId="2" hidden="1">#REF!</definedName>
    <definedName name="FDP_270_1_aUrv" hidden="1">#REF!</definedName>
    <definedName name="FDP_271_1_aSrv" hidden="1">#REF!</definedName>
    <definedName name="FDP_271_1_aUrv" localSheetId="2" hidden="1">#REF!</definedName>
    <definedName name="FDP_271_1_aUrv" hidden="1">#REF!</definedName>
    <definedName name="FDP_272_1_aSrv" hidden="1">#REF!</definedName>
    <definedName name="FDP_272_1_aUrv" localSheetId="2" hidden="1">#REF!</definedName>
    <definedName name="FDP_272_1_aUrv" hidden="1">#REF!</definedName>
    <definedName name="FDP_273_1_aSrv" hidden="1">#REF!</definedName>
    <definedName name="FDP_273_1_aUrv" localSheetId="2" hidden="1">#REF!</definedName>
    <definedName name="FDP_273_1_aUrv" hidden="1">#REF!</definedName>
    <definedName name="FDP_274_1_aSrv" hidden="1">#REF!</definedName>
    <definedName name="FDP_274_1_aUrv" localSheetId="2" hidden="1">#REF!</definedName>
    <definedName name="FDP_274_1_aUrv" hidden="1">#REF!</definedName>
    <definedName name="FDP_275_1_aSrv" hidden="1">#REF!</definedName>
    <definedName name="FDP_275_1_aUrv" localSheetId="2" hidden="1">#REF!</definedName>
    <definedName name="FDP_275_1_aUrv" hidden="1">#REF!</definedName>
    <definedName name="FDP_276_1_aSrv" hidden="1">#REF!</definedName>
    <definedName name="FDP_276_1_aUrv" localSheetId="2" hidden="1">#REF!</definedName>
    <definedName name="FDP_276_1_aUrv" hidden="1">#REF!</definedName>
    <definedName name="FDP_277_1_aSrv" hidden="1">#REF!</definedName>
    <definedName name="FDP_277_1_aUrv" localSheetId="2" hidden="1">#REF!</definedName>
    <definedName name="FDP_277_1_aUrv" hidden="1">#REF!</definedName>
    <definedName name="FDP_278_1_aSrv" hidden="1">#REF!</definedName>
    <definedName name="FDP_278_1_aUrv" localSheetId="2" hidden="1">#REF!</definedName>
    <definedName name="FDP_278_1_aUrv" hidden="1">#REF!</definedName>
    <definedName name="FDP_279_1_aSrv" localSheetId="2" hidden="1">#REF!</definedName>
    <definedName name="FDP_279_1_aSrv" hidden="1">#REF!</definedName>
    <definedName name="FDP_28_1_aDrv" localSheetId="2" hidden="1">#REF!</definedName>
    <definedName name="FDP_28_1_aDrv" hidden="1">#REF!</definedName>
    <definedName name="FDP_28_1_aUrv" localSheetId="2" hidden="1">#REF!</definedName>
    <definedName name="FDP_28_1_aUrv" hidden="1">#REF!</definedName>
    <definedName name="FDP_280_1_aSrv" localSheetId="2" hidden="1">#REF!</definedName>
    <definedName name="FDP_280_1_aSrv" hidden="1">#REF!</definedName>
    <definedName name="FDP_281_1_aSrv" localSheetId="2" hidden="1">#REF!</definedName>
    <definedName name="FDP_281_1_aSrv" hidden="1">#REF!</definedName>
    <definedName name="FDP_282_1_aSrv" localSheetId="2" hidden="1">#REF!</definedName>
    <definedName name="FDP_282_1_aSrv" hidden="1">#REF!</definedName>
    <definedName name="FDP_283_1_aSrv" localSheetId="2" hidden="1">#REF!</definedName>
    <definedName name="FDP_283_1_aSrv" hidden="1">#REF!</definedName>
    <definedName name="FDP_284_1_aSrv" hidden="1">#REF!</definedName>
    <definedName name="FDP_285_1_aSrv" hidden="1">#REF!</definedName>
    <definedName name="FDP_286_1_aSrv" hidden="1">#REF!</definedName>
    <definedName name="FDP_287_1_aSrv" hidden="1">#REF!</definedName>
    <definedName name="FDP_288_1_aSrv" hidden="1">#REF!</definedName>
    <definedName name="FDP_289_1_aSrv" hidden="1">#REF!</definedName>
    <definedName name="FDP_29_1_aDrv" localSheetId="2" hidden="1">#REF!</definedName>
    <definedName name="FDP_29_1_aDrv" hidden="1">#REF!</definedName>
    <definedName name="FDP_29_1_aUrv" hidden="1">#REF!</definedName>
    <definedName name="FDP_290_1_aSrv" hidden="1">#REF!</definedName>
    <definedName name="FDP_291_1_aSrv" hidden="1">#REF!</definedName>
    <definedName name="FDP_292_1_aSrv" hidden="1">#REF!</definedName>
    <definedName name="FDP_293_1_aSrv" hidden="1">#REF!</definedName>
    <definedName name="FDP_294_1_aSrv" hidden="1">#REF!</definedName>
    <definedName name="FDP_295_1_aSrv" hidden="1">#REF!</definedName>
    <definedName name="FDP_296_1_aSrv" hidden="1">#REF!</definedName>
    <definedName name="FDP_297_1_aSrv" hidden="1">#REF!</definedName>
    <definedName name="FDP_298_1_aSrv" hidden="1">#REF!</definedName>
    <definedName name="FDP_299_1_aSrv" hidden="1">#REF!</definedName>
    <definedName name="FDP_3_1_aUrv" localSheetId="2" hidden="1">#REF!</definedName>
    <definedName name="FDP_3_1_aUrv" hidden="1">#REF!</definedName>
    <definedName name="FDP_30_1_aDrv" localSheetId="2" hidden="1">#REF!</definedName>
    <definedName name="FDP_30_1_aDrv" hidden="1">#REF!</definedName>
    <definedName name="FDP_30_1_aUrv" localSheetId="2" hidden="1">#REF!</definedName>
    <definedName name="FDP_30_1_aUrv" hidden="1">#REF!</definedName>
    <definedName name="FDP_300_1_aSrv" hidden="1">#REF!</definedName>
    <definedName name="FDP_301_1_aSrv" hidden="1">#REF!</definedName>
    <definedName name="FDP_302_1_aSrv" hidden="1">#REF!</definedName>
    <definedName name="FDP_303_1_aSrv" hidden="1">#REF!</definedName>
    <definedName name="FDP_304_1_aSrv" hidden="1">#REF!</definedName>
    <definedName name="FDP_305_1_aSrv" hidden="1">#REF!</definedName>
    <definedName name="FDP_306_1_aSrv" hidden="1">#REF!</definedName>
    <definedName name="FDP_307_1_aSrv" hidden="1">#REF!</definedName>
    <definedName name="FDP_308_1_aSrv" hidden="1">#REF!</definedName>
    <definedName name="FDP_309_1_aSrv" hidden="1">#REF!</definedName>
    <definedName name="FDP_31_1_aDrv" localSheetId="2" hidden="1">#REF!</definedName>
    <definedName name="FDP_31_1_aDrv" hidden="1">#REF!</definedName>
    <definedName name="FDP_31_1_aUrv" localSheetId="2" hidden="1">#REF!</definedName>
    <definedName name="FDP_31_1_aUrv" hidden="1">#REF!</definedName>
    <definedName name="FDP_310_1_aSrv" hidden="1">#REF!</definedName>
    <definedName name="FDP_311_1_aSrv" hidden="1">#REF!</definedName>
    <definedName name="FDP_312_1_aSrv" hidden="1">#REF!</definedName>
    <definedName name="FDP_313_1_aSrv" hidden="1">#REF!</definedName>
    <definedName name="FDP_314_1_aSrv" hidden="1">#REF!</definedName>
    <definedName name="FDP_315_1_aSrv" hidden="1">#REF!</definedName>
    <definedName name="FDP_316_1_aSrv" hidden="1">#REF!</definedName>
    <definedName name="FDP_317_1_aSrv" hidden="1">#REF!</definedName>
    <definedName name="FDP_318_1_aSrv" hidden="1">#REF!</definedName>
    <definedName name="FDP_319_1_aSrv" hidden="1">#REF!</definedName>
    <definedName name="FDP_32_1_aDrv" localSheetId="2" hidden="1">#REF!</definedName>
    <definedName name="FDP_32_1_aDrv" hidden="1">#REF!</definedName>
    <definedName name="FDP_32_1_aUrv" localSheetId="2" hidden="1">#REF!</definedName>
    <definedName name="FDP_32_1_aUrv" hidden="1">#REF!</definedName>
    <definedName name="FDP_320_1_aSrv" hidden="1">#REF!</definedName>
    <definedName name="FDP_321_1_aSrv" hidden="1">#REF!</definedName>
    <definedName name="FDP_322_1_aSrv" hidden="1">#REF!</definedName>
    <definedName name="FDP_323_1_aSrv" hidden="1">#REF!</definedName>
    <definedName name="FDP_324_1_aSrv" hidden="1">#REF!</definedName>
    <definedName name="FDP_325_1_aSrv" hidden="1">#REF!</definedName>
    <definedName name="FDP_326_1_aSrv" hidden="1">#REF!</definedName>
    <definedName name="FDP_327_1_aSrv" hidden="1">#REF!</definedName>
    <definedName name="FDP_328_1_aSrv" hidden="1">#REF!</definedName>
    <definedName name="FDP_329_1_aSrv" hidden="1">#REF!</definedName>
    <definedName name="FDP_33_1_aDrv" localSheetId="2" hidden="1">#REF!</definedName>
    <definedName name="FDP_33_1_aDrv" hidden="1">#REF!</definedName>
    <definedName name="FDP_33_1_aUrv" localSheetId="2" hidden="1">#REF!</definedName>
    <definedName name="FDP_33_1_aUrv" hidden="1">#REF!</definedName>
    <definedName name="FDP_330_1_aSrv" hidden="1">#REF!</definedName>
    <definedName name="FDP_331_1_aSrv" hidden="1">#REF!</definedName>
    <definedName name="FDP_332_1_aSrv" hidden="1">#REF!</definedName>
    <definedName name="FDP_333_1_aSrv" hidden="1">#REF!</definedName>
    <definedName name="FDP_334_1_aSrv" hidden="1">#REF!</definedName>
    <definedName name="FDP_335_1_aSrv" hidden="1">#REF!</definedName>
    <definedName name="FDP_336_1_aSrv" hidden="1">#REF!</definedName>
    <definedName name="FDP_337_1_aSrv" hidden="1">#REF!</definedName>
    <definedName name="FDP_338_1_aSrv" hidden="1">#REF!</definedName>
    <definedName name="FDP_339_1_aSrv" hidden="1">#REF!</definedName>
    <definedName name="FDP_34_1_aUrv" localSheetId="2" hidden="1">#REF!</definedName>
    <definedName name="FDP_34_1_aUrv" hidden="1">#REF!</definedName>
    <definedName name="FDP_340_1_aSrv" hidden="1">#REF!</definedName>
    <definedName name="FDP_341_1_aSrv" hidden="1">#REF!</definedName>
    <definedName name="FDP_342_1_aSrv" hidden="1">#REF!</definedName>
    <definedName name="FDP_343_1_aDrv" hidden="1">#REF!</definedName>
    <definedName name="FDP_344_1_aDrv" hidden="1">#REF!</definedName>
    <definedName name="FDP_345_1_aUrv" hidden="1">#REF!</definedName>
    <definedName name="FDP_346_1_aUrv" hidden="1">#REF!</definedName>
    <definedName name="FDP_347_1_aUrv" hidden="1">#REF!</definedName>
    <definedName name="FDP_348_1_aUrv" hidden="1">#REF!</definedName>
    <definedName name="FDP_349_1_aDrv" hidden="1">#REF!</definedName>
    <definedName name="FDP_35_1_aSrv" localSheetId="2" hidden="1">#REF!</definedName>
    <definedName name="FDP_35_1_aSrv" hidden="1">#REF!</definedName>
    <definedName name="FDP_35_1_aUrv" localSheetId="2" hidden="1">#REF!</definedName>
    <definedName name="FDP_35_1_aUrv" hidden="1">#REF!</definedName>
    <definedName name="FDP_350_1_aUrv" hidden="1">#REF!</definedName>
    <definedName name="FDP_351_1_aUrv" hidden="1">#REF!</definedName>
    <definedName name="FDP_352_1_aUrv" hidden="1">#REF!</definedName>
    <definedName name="FDP_353_1_aUrv" hidden="1">#REF!</definedName>
    <definedName name="FDP_354_1_aUrv" hidden="1">#REF!</definedName>
    <definedName name="FDP_355_1_aUrv" hidden="1">#REF!</definedName>
    <definedName name="FDP_356_1_aUrv" hidden="1">#REF!</definedName>
    <definedName name="FDP_357_1_aUrv" hidden="1">#REF!</definedName>
    <definedName name="FDP_358_1_aUrv" hidden="1">#REF!</definedName>
    <definedName name="FDP_359_1_aUrv" hidden="1">#REF!</definedName>
    <definedName name="FDP_36_1_aUrv" localSheetId="2" hidden="1">#REF!</definedName>
    <definedName name="FDP_36_1_aUrv" hidden="1">#REF!</definedName>
    <definedName name="FDP_360_1_aSrv" hidden="1">#REF!</definedName>
    <definedName name="FDP_361_1_aSrv" hidden="1">#REF!</definedName>
    <definedName name="FDP_362_1_aDrv" hidden="1">#REF!</definedName>
    <definedName name="FDP_363_1_aUrv" hidden="1">#REF!</definedName>
    <definedName name="FDP_364_1_aUrv" hidden="1">#REF!</definedName>
    <definedName name="FDP_365_1_aSrv" hidden="1">#REF!</definedName>
    <definedName name="FDP_366_1_aUrv" hidden="1">#REF!</definedName>
    <definedName name="FDP_367_1_aUrv" hidden="1">#REF!</definedName>
    <definedName name="FDP_368_1_aUrv" hidden="1">#REF!</definedName>
    <definedName name="FDP_369_1_aUrv" hidden="1">#REF!</definedName>
    <definedName name="FDP_37_1_aUrv" localSheetId="2" hidden="1">#REF!</definedName>
    <definedName name="FDP_37_1_aUrv" hidden="1">#REF!</definedName>
    <definedName name="FDP_370_1_aUrv" hidden="1">#REF!</definedName>
    <definedName name="FDP_371_1_aUrv" hidden="1">#REF!</definedName>
    <definedName name="FDP_372_1_aUrv" hidden="1">#REF!</definedName>
    <definedName name="FDP_373_1_aUrv" hidden="1">#REF!</definedName>
    <definedName name="FDP_374_1_aUrv" hidden="1">#REF!</definedName>
    <definedName name="FDP_375_1_aUrv" hidden="1">#REF!</definedName>
    <definedName name="FDP_376_1_aUrv" hidden="1">#REF!</definedName>
    <definedName name="FDP_377_1_aUrv" hidden="1">#REF!</definedName>
    <definedName name="FDP_378_1_aSrv" hidden="1">#REF!</definedName>
    <definedName name="FDP_379_1_aSrv" hidden="1">#REF!</definedName>
    <definedName name="FDP_38_1_aUrv" localSheetId="2" hidden="1">#REF!</definedName>
    <definedName name="FDP_38_1_aUrv" hidden="1">#REF!</definedName>
    <definedName name="FDP_380_1_aUrv" hidden="1">#REF!</definedName>
    <definedName name="FDP_381_1_aUrv" hidden="1">#REF!</definedName>
    <definedName name="FDP_382_1_aUrv" hidden="1">#REF!</definedName>
    <definedName name="FDP_383_1_aUrv" hidden="1">#REF!</definedName>
    <definedName name="FDP_384_1_aUrv" hidden="1">#REF!</definedName>
    <definedName name="FDP_385_1_aUrv" hidden="1">#REF!</definedName>
    <definedName name="FDP_386_1_aUrv" hidden="1">#REF!</definedName>
    <definedName name="FDP_387_1_aSrv" hidden="1">#REF!</definedName>
    <definedName name="FDP_388_1_aUrv" hidden="1">#REF!</definedName>
    <definedName name="FDP_389_1_aUrv" hidden="1">#REF!</definedName>
    <definedName name="FDP_39_1_aUrv" localSheetId="2" hidden="1">#REF!</definedName>
    <definedName name="FDP_39_1_aUrv" hidden="1">#REF!</definedName>
    <definedName name="FDP_390_1_aUrv" hidden="1">#REF!</definedName>
    <definedName name="FDP_391_1_aUrv" hidden="1">#REF!</definedName>
    <definedName name="FDP_392_1_aUrv" hidden="1">#REF!</definedName>
    <definedName name="FDP_393_1_aUrv" hidden="1">#REF!</definedName>
    <definedName name="FDP_394_1_aUrv" hidden="1">#REF!</definedName>
    <definedName name="FDP_395_1_aUrv" hidden="1">#REF!</definedName>
    <definedName name="FDP_396_1_aUrv" hidden="1">#REF!</definedName>
    <definedName name="FDP_397_1_aUrv" hidden="1">#REF!</definedName>
    <definedName name="FDP_398_1_aUrv" hidden="1">#REF!</definedName>
    <definedName name="FDP_399_1_aUrv" hidden="1">#REF!</definedName>
    <definedName name="FDP_4_1_aUrv" localSheetId="2" hidden="1">#REF!</definedName>
    <definedName name="FDP_4_1_aUrv" hidden="1">#REF!</definedName>
    <definedName name="FDP_40_1_aSrv" hidden="1">#REF!</definedName>
    <definedName name="FDP_40_1_aUrv" localSheetId="2" hidden="1">#REF!</definedName>
    <definedName name="FDP_40_1_aUrv" hidden="1">#REF!</definedName>
    <definedName name="FDP_400_1_aSrv" hidden="1">#REF!</definedName>
    <definedName name="FDP_401_1_aSrv" hidden="1">#REF!</definedName>
    <definedName name="FDP_402_1_aUdv" hidden="1">#REF!</definedName>
    <definedName name="FDP_403_1_aUdv" hidden="1">#REF!</definedName>
    <definedName name="FDP_404_1_aUdv" hidden="1">#REF!</definedName>
    <definedName name="FDP_405_1_aUdv" hidden="1">#REF!</definedName>
    <definedName name="FDP_406_1_aSrv" hidden="1">#REF!</definedName>
    <definedName name="FDP_407_1_aSrv" hidden="1">#REF!</definedName>
    <definedName name="FDP_408_1_aUrv" hidden="1">#REF!</definedName>
    <definedName name="FDP_409_1_aUrv" hidden="1">#REF!</definedName>
    <definedName name="FDP_41_1_aSrv" localSheetId="2" hidden="1">#REF!</definedName>
    <definedName name="FDP_41_1_aSrv" hidden="1">#REF!</definedName>
    <definedName name="FDP_41_1_aUrv" localSheetId="2" hidden="1">#REF!</definedName>
    <definedName name="FDP_41_1_aUrv" hidden="1">#REF!</definedName>
    <definedName name="FDP_410_1_aSrv" hidden="1">#REF!</definedName>
    <definedName name="FDP_411_1_aUrv" hidden="1">#REF!</definedName>
    <definedName name="FDP_412_1_aUdv" hidden="1">#REF!</definedName>
    <definedName name="FDP_413_1_aUdv" hidden="1">#REF!</definedName>
    <definedName name="FDP_414_1_aUdv" hidden="1">#REF!</definedName>
    <definedName name="FDP_415_1_aUdv" hidden="1">#REF!</definedName>
    <definedName name="FDP_416_1_aSrv" hidden="1">#REF!</definedName>
    <definedName name="FDP_417_1_aUrv" hidden="1">#REF!</definedName>
    <definedName name="FDP_418_1_aSrv" hidden="1">#REF!</definedName>
    <definedName name="FDP_419_1_aUrv" hidden="1">#REF!</definedName>
    <definedName name="FDP_42_1_aSrv" localSheetId="2" hidden="1">#REF!</definedName>
    <definedName name="FDP_42_1_aSrv" hidden="1">#REF!</definedName>
    <definedName name="FDP_42_1_aUrv" localSheetId="2" hidden="1">#REF!</definedName>
    <definedName name="FDP_42_1_aUrv" hidden="1">#REF!</definedName>
    <definedName name="FDP_420_1_aUrv" hidden="1">#REF!</definedName>
    <definedName name="FDP_421_1_aUrv" hidden="1">#REF!</definedName>
    <definedName name="FDP_422_1_aDdv" hidden="1">#REF!</definedName>
    <definedName name="FDP_423_1_aDdv" hidden="1">#REF!</definedName>
    <definedName name="FDP_424_1_aDdv" hidden="1">#REF!</definedName>
    <definedName name="FDP_425_1_aDdv" hidden="1">#REF!</definedName>
    <definedName name="FDP_426_1_aUrv" hidden="1">#REF!</definedName>
    <definedName name="FDP_427_1_aUrv" hidden="1">#REF!</definedName>
    <definedName name="FDP_428_1_aSrv" hidden="1">#REF!</definedName>
    <definedName name="FDP_429_1_aUrv" hidden="1">#REF!</definedName>
    <definedName name="FDP_43_1_aUrv" localSheetId="2" hidden="1">#REF!</definedName>
    <definedName name="FDP_43_1_aUrv" hidden="1">#REF!</definedName>
    <definedName name="FDP_430_1_aUrv" hidden="1">#REF!</definedName>
    <definedName name="FDP_431_1_aSrv" hidden="1">#REF!</definedName>
    <definedName name="FDP_432_1_aUrv" hidden="1">#REF!</definedName>
    <definedName name="FDP_433_1_aUdv" hidden="1">#REF!</definedName>
    <definedName name="FDP_434_1_aUdv" hidden="1">#REF!</definedName>
    <definedName name="FDP_435_1_aUdv" hidden="1">#REF!</definedName>
    <definedName name="FDP_436_1_aUrv" hidden="1">#REF!</definedName>
    <definedName name="FDP_437_1_aUrv" hidden="1">#REF!</definedName>
    <definedName name="FDP_438_1_aSrv" hidden="1">#REF!</definedName>
    <definedName name="FDP_439_1_aUrv" hidden="1">#REF!</definedName>
    <definedName name="FDP_44_1_aUrv" localSheetId="2" hidden="1">#REF!</definedName>
    <definedName name="FDP_44_1_aUrv" hidden="1">#REF!</definedName>
    <definedName name="FDP_440_1_aSrv" hidden="1">#REF!</definedName>
    <definedName name="FDP_441_1_aUdv" hidden="1">#REF!</definedName>
    <definedName name="FDP_442_1_aUdv" hidden="1">#REF!</definedName>
    <definedName name="FDP_443_1_aUdv" hidden="1">#REF!</definedName>
    <definedName name="FDP_444_1_aUdv" hidden="1">#REF!</definedName>
    <definedName name="FDP_445_1_aUrv" hidden="1">#REF!</definedName>
    <definedName name="FDP_446_1_aUrv" hidden="1">#REF!</definedName>
    <definedName name="FDP_447_1_aSrv" hidden="1">#REF!</definedName>
    <definedName name="FDP_448_1_aDrv" hidden="1">#REF!</definedName>
    <definedName name="FDP_449_1_aSrv" hidden="1">#REF!</definedName>
    <definedName name="FDP_45_1_aUrv" localSheetId="2" hidden="1">#REF!</definedName>
    <definedName name="FDP_45_1_aUrv" hidden="1">#REF!</definedName>
    <definedName name="FDP_450_1_aUrv" hidden="1">#REF!</definedName>
    <definedName name="FDP_451_1_aUrv" hidden="1">#REF!</definedName>
    <definedName name="FDP_452_1_aUrv" hidden="1">#REF!</definedName>
    <definedName name="FDP_453_1_aUrv" hidden="1">#REF!</definedName>
    <definedName name="FDP_454_1_aUrv" hidden="1">#REF!</definedName>
    <definedName name="FDP_455_1_aUrv" hidden="1">#REF!</definedName>
    <definedName name="FDP_456_1_aUrv" hidden="1">#REF!</definedName>
    <definedName name="FDP_457_1_aUrv" hidden="1">#REF!</definedName>
    <definedName name="FDP_458_1_aUrv" hidden="1">#REF!</definedName>
    <definedName name="FDP_459_1_aUrv" hidden="1">#REF!</definedName>
    <definedName name="FDP_46_1_aUrv" localSheetId="2" hidden="1">#REF!</definedName>
    <definedName name="FDP_46_1_aUrv" hidden="1">#REF!</definedName>
    <definedName name="FDP_460_1_aUrv" hidden="1">#REF!</definedName>
    <definedName name="FDP_461_1_aUrv" hidden="1">#REF!</definedName>
    <definedName name="FDP_462_1_aUrv" hidden="1">#REF!</definedName>
    <definedName name="FDP_463_1_aUrv" hidden="1">#REF!</definedName>
    <definedName name="FDP_464_1_aUrv" hidden="1">#REF!</definedName>
    <definedName name="FDP_465_1_aUrv" hidden="1">#REF!</definedName>
    <definedName name="FDP_466_1_aUrv" hidden="1">#REF!</definedName>
    <definedName name="FDP_467_1_aUrv" hidden="1">#REF!</definedName>
    <definedName name="FDP_468_1_aUrv" hidden="1">#REF!</definedName>
    <definedName name="FDP_469_1_aUrv" hidden="1">#REF!</definedName>
    <definedName name="FDP_47_1_aUrv" localSheetId="2" hidden="1">#REF!</definedName>
    <definedName name="FDP_47_1_aUrv" hidden="1">#REF!</definedName>
    <definedName name="FDP_470_1_aUrv" hidden="1">#REF!</definedName>
    <definedName name="FDP_471_1_aUrv" hidden="1">#REF!</definedName>
    <definedName name="FDP_472_1_aUrv" hidden="1">#REF!</definedName>
    <definedName name="FDP_473_1_aUrv" hidden="1">#REF!</definedName>
    <definedName name="FDP_474_1_aUrv" hidden="1">#REF!</definedName>
    <definedName name="FDP_475_1_aUrv" hidden="1">#REF!</definedName>
    <definedName name="FDP_476_1_aUrv" hidden="1">#REF!</definedName>
    <definedName name="FDP_477_1_aUrv" hidden="1">#REF!</definedName>
    <definedName name="FDP_478_1_aUrv" hidden="1">#REF!</definedName>
    <definedName name="FDP_479_1_aUrv" hidden="1">#REF!</definedName>
    <definedName name="FDP_48_1_aSrv" localSheetId="2" hidden="1">#REF!</definedName>
    <definedName name="FDP_48_1_aSrv" hidden="1">#REF!</definedName>
    <definedName name="FDP_48_1_aUrv" localSheetId="2" hidden="1">#REF!</definedName>
    <definedName name="FDP_48_1_aUrv" hidden="1">#REF!</definedName>
    <definedName name="FDP_480_1_aUrv" hidden="1">#REF!</definedName>
    <definedName name="FDP_481_1_aUrv" hidden="1">#REF!</definedName>
    <definedName name="FDP_482_1_aUrv" hidden="1">#REF!</definedName>
    <definedName name="FDP_483_1_aUrv" hidden="1">#REF!</definedName>
    <definedName name="FDP_484_1_aUrv" hidden="1">#REF!</definedName>
    <definedName name="FDP_485_1_aUrv" hidden="1">#REF!</definedName>
    <definedName name="FDP_486_1_aUrv" hidden="1">#REF!</definedName>
    <definedName name="FDP_487_1_aUrv" hidden="1">#REF!</definedName>
    <definedName name="FDP_488_1_aUrv" hidden="1">#REF!</definedName>
    <definedName name="FDP_489_1_aUrv" hidden="1">#REF!</definedName>
    <definedName name="FDP_49_1_aUrv" localSheetId="2" hidden="1">#REF!</definedName>
    <definedName name="FDP_49_1_aUrv" hidden="1">#REF!</definedName>
    <definedName name="FDP_490_1_aSrv" hidden="1">#REF!</definedName>
    <definedName name="FDP_491_1_aUrv" hidden="1">#REF!</definedName>
    <definedName name="FDP_492_1_aUrv" hidden="1">#REF!</definedName>
    <definedName name="FDP_493_1_aUrv" hidden="1">#REF!</definedName>
    <definedName name="FDP_494_1_aSrv" hidden="1">#REF!</definedName>
    <definedName name="FDP_495_1_aUrv" hidden="1">#REF!</definedName>
    <definedName name="FDP_496_1_aUrv" hidden="1">#REF!</definedName>
    <definedName name="FDP_497_1_aUrv" hidden="1">#REF!</definedName>
    <definedName name="FDP_498_1_aSrv" hidden="1">#REF!</definedName>
    <definedName name="FDP_499_1_aUrv" hidden="1">#REF!</definedName>
    <definedName name="FDP_5_1_aUrv" localSheetId="2" hidden="1">#REF!</definedName>
    <definedName name="FDP_5_1_aUrv" hidden="1">#REF!</definedName>
    <definedName name="FDP_50_1_aUrv" localSheetId="2" hidden="1">#REF!</definedName>
    <definedName name="FDP_50_1_aUrv" hidden="1">#REF!</definedName>
    <definedName name="FDP_500_1_aUrv" hidden="1">#REF!</definedName>
    <definedName name="FDP_501_1_aUrv" hidden="1">#REF!</definedName>
    <definedName name="FDP_502_1_aSrv" hidden="1">#REF!</definedName>
    <definedName name="FDP_503_1_aSrv" hidden="1">#REF!</definedName>
    <definedName name="FDP_504_1_aSrv" hidden="1">#REF!</definedName>
    <definedName name="FDP_505_1_aSrv" hidden="1">#REF!</definedName>
    <definedName name="FDP_506_1_aSrv" hidden="1">#REF!</definedName>
    <definedName name="FDP_507_1_aSrv" hidden="1">#REF!</definedName>
    <definedName name="FDP_508_1_aSrv" hidden="1">#REF!</definedName>
    <definedName name="FDP_509_1_aSrv" hidden="1">#REF!</definedName>
    <definedName name="FDP_51_1_aUrv" localSheetId="2" hidden="1">#REF!</definedName>
    <definedName name="FDP_51_1_aUrv" hidden="1">#REF!</definedName>
    <definedName name="FDP_510_1_aSrv" hidden="1">#REF!</definedName>
    <definedName name="FDP_511_1_aSrv" hidden="1">#REF!</definedName>
    <definedName name="FDP_512_1_aSrv" hidden="1">#REF!</definedName>
    <definedName name="FDP_513_1_aSrv" hidden="1">#REF!</definedName>
    <definedName name="FDP_514_1_aSrv" hidden="1">#REF!</definedName>
    <definedName name="FDP_515_1_aSrv" hidden="1">#REF!</definedName>
    <definedName name="FDP_516_1_aSrv" hidden="1">#REF!</definedName>
    <definedName name="FDP_517_1_aSrv" hidden="1">#REF!</definedName>
    <definedName name="FDP_518_1_aSrv" hidden="1">#REF!</definedName>
    <definedName name="FDP_519_1_aSrv" hidden="1">#REF!</definedName>
    <definedName name="FDP_52_1_aUrv" localSheetId="2" hidden="1">#REF!</definedName>
    <definedName name="FDP_52_1_aUrv" hidden="1">#REF!</definedName>
    <definedName name="FDP_520_1_aSrv" hidden="1">#REF!</definedName>
    <definedName name="FDP_521_1_aSrv" hidden="1">#REF!</definedName>
    <definedName name="FDP_522_1_aSrv" hidden="1">#REF!</definedName>
    <definedName name="FDP_523_1_aSrv" hidden="1">#REF!</definedName>
    <definedName name="FDP_524_1_aSrv" hidden="1">#REF!</definedName>
    <definedName name="FDP_525_1_aSrv" hidden="1">#REF!</definedName>
    <definedName name="FDP_526_1_aSrv" hidden="1">#REF!</definedName>
    <definedName name="FDP_527_1_aSrv" hidden="1">#REF!</definedName>
    <definedName name="FDP_528_1_aUdv" hidden="1">#REF!</definedName>
    <definedName name="FDP_529_1_aSrv" hidden="1">#REF!</definedName>
    <definedName name="FDP_53_1_aSrv" hidden="1">#REF!</definedName>
    <definedName name="FDP_53_1_aUrv" localSheetId="2" hidden="1">#REF!</definedName>
    <definedName name="FDP_53_1_aUrv" hidden="1">#REF!</definedName>
    <definedName name="FDP_530_1_aSrv" hidden="1">#REF!</definedName>
    <definedName name="FDP_531_1_aSrv" hidden="1">#REF!</definedName>
    <definedName name="FDP_532_1_aSrv" hidden="1">#REF!</definedName>
    <definedName name="FDP_533_1_aSrv" hidden="1">#REF!</definedName>
    <definedName name="FDP_534_1_aSrv" hidden="1">#REF!</definedName>
    <definedName name="FDP_535_1_aSrv" hidden="1">#REF!</definedName>
    <definedName name="FDP_536_1_aSrv" hidden="1">#REF!</definedName>
    <definedName name="FDP_537_1_aSrv" hidden="1">#REF!</definedName>
    <definedName name="FDP_538_1_aSrv" hidden="1">#REF!</definedName>
    <definedName name="FDP_539_1_aSrv" hidden="1">#REF!</definedName>
    <definedName name="FDP_54_1_aDdv" localSheetId="2" hidden="1">#REF!</definedName>
    <definedName name="FDP_54_1_aDdv" hidden="1">#REF!</definedName>
    <definedName name="FDP_54_1_aSrv" hidden="1">#REF!</definedName>
    <definedName name="FDP_54_1_aUrv" localSheetId="2" hidden="1">#REF!</definedName>
    <definedName name="FDP_54_1_aUrv" hidden="1">#REF!</definedName>
    <definedName name="FDP_540_1_aSrv" hidden="1">#REF!</definedName>
    <definedName name="FDP_541_1_aSrv" hidden="1">#REF!</definedName>
    <definedName name="FDP_542_1_aSrv" hidden="1">#REF!</definedName>
    <definedName name="FDP_543_1_aSrv" hidden="1">#REF!</definedName>
    <definedName name="FDP_544_1_aSrv" hidden="1">#REF!</definedName>
    <definedName name="FDP_545_1_aSrv" hidden="1">#REF!</definedName>
    <definedName name="FDP_546_1_aSrv" hidden="1">#REF!</definedName>
    <definedName name="FDP_547_1_aSrv" hidden="1">#REF!</definedName>
    <definedName name="FDP_548_1_aSrv" hidden="1">#REF!</definedName>
    <definedName name="FDP_549_1_aSrv" hidden="1">#REF!</definedName>
    <definedName name="FDP_55_1_aUrv" localSheetId="2" hidden="1">#REF!</definedName>
    <definedName name="FDP_55_1_aUrv" hidden="1">#REF!</definedName>
    <definedName name="FDP_550_1_aSrv" hidden="1">#REF!</definedName>
    <definedName name="FDP_551_1_aSrv" hidden="1">#REF!</definedName>
    <definedName name="FDP_552_1_aSrv" hidden="1">#REF!</definedName>
    <definedName name="FDP_553_1_aSrv" hidden="1">#REF!</definedName>
    <definedName name="FDP_554_1_aSrv" hidden="1">#REF!</definedName>
    <definedName name="FDP_555_1_aSrv" hidden="1">#REF!</definedName>
    <definedName name="FDP_556_1_aSrv" hidden="1">#REF!</definedName>
    <definedName name="FDP_557_1_aSrv" hidden="1">#REF!</definedName>
    <definedName name="FDP_558_1_aSrv" hidden="1">#REF!</definedName>
    <definedName name="FDP_559_1_aSrv" hidden="1">#REF!</definedName>
    <definedName name="FDP_56_1_aUrv" localSheetId="2" hidden="1">#REF!</definedName>
    <definedName name="FDP_56_1_aUrv" hidden="1">#REF!</definedName>
    <definedName name="FDP_560_1_aSrv" hidden="1">#REF!</definedName>
    <definedName name="FDP_561_1_aSrv" hidden="1">#REF!</definedName>
    <definedName name="FDP_562_1_aSrv" hidden="1">#REF!</definedName>
    <definedName name="FDP_563_1_aSrv" hidden="1">#REF!</definedName>
    <definedName name="FDP_564_1_aSrv" hidden="1">#REF!</definedName>
    <definedName name="FDP_565_1_aSrv" hidden="1">#REF!</definedName>
    <definedName name="FDP_566_1_aSrv" hidden="1">#REF!</definedName>
    <definedName name="FDP_567_1_aSrv" hidden="1">#REF!</definedName>
    <definedName name="FDP_568_1_aSrv" hidden="1">#REF!</definedName>
    <definedName name="FDP_569_1_aSrv" hidden="1">#REF!</definedName>
    <definedName name="FDP_57_1_aUrv" localSheetId="2" hidden="1">#REF!</definedName>
    <definedName name="FDP_57_1_aUrv" hidden="1">#REF!</definedName>
    <definedName name="FDP_570_1_aSrv" hidden="1">#REF!</definedName>
    <definedName name="FDP_571_1_aSrv" hidden="1">#REF!</definedName>
    <definedName name="FDP_572_1_aSrv" hidden="1">#REF!</definedName>
    <definedName name="FDP_573_1_aSrv" hidden="1">#REF!</definedName>
    <definedName name="FDP_574_1_aSrv" hidden="1">#REF!</definedName>
    <definedName name="FDP_575_1_aSrv" hidden="1">#REF!</definedName>
    <definedName name="FDP_576_1_aSrv" hidden="1">#REF!</definedName>
    <definedName name="FDP_577_1_aSrv" hidden="1">#REF!</definedName>
    <definedName name="FDP_578_1_aSrv" hidden="1">#REF!</definedName>
    <definedName name="FDP_579_1_aSrv" hidden="1">#REF!</definedName>
    <definedName name="FDP_58_1_aUrv" localSheetId="2" hidden="1">#REF!</definedName>
    <definedName name="FDP_58_1_aUrv" hidden="1">#REF!</definedName>
    <definedName name="FDP_580_1_aSrv" hidden="1">#REF!</definedName>
    <definedName name="FDP_581_1_aSrv" hidden="1">#REF!</definedName>
    <definedName name="FDP_582_1_aSrv" hidden="1">#REF!</definedName>
    <definedName name="FDP_583_1_aSrv" hidden="1">#REF!</definedName>
    <definedName name="FDP_584_1_aSrv" hidden="1">#REF!</definedName>
    <definedName name="FDP_585_1_aSrv" hidden="1">#REF!</definedName>
    <definedName name="FDP_586_1_aSrv" hidden="1">#REF!</definedName>
    <definedName name="FDP_587_1_aSrv" hidden="1">#REF!</definedName>
    <definedName name="FDP_588_1_aSrv" hidden="1">#REF!</definedName>
    <definedName name="FDP_589_1_aSrv" hidden="1">#REF!</definedName>
    <definedName name="FDP_59_1_aUrv" localSheetId="2" hidden="1">#REF!</definedName>
    <definedName name="FDP_59_1_aUrv" hidden="1">#REF!</definedName>
    <definedName name="FDP_590_1_aSrv" hidden="1">#REF!</definedName>
    <definedName name="FDP_591_1_aSrv" hidden="1">#REF!</definedName>
    <definedName name="FDP_592_1_aSrv" hidden="1">#REF!</definedName>
    <definedName name="FDP_593_1_aSrv" hidden="1">#REF!</definedName>
    <definedName name="FDP_594_1_aSrv" hidden="1">#REF!</definedName>
    <definedName name="FDP_595_1_aSrv" hidden="1">#REF!</definedName>
    <definedName name="FDP_596_1_aSrv" hidden="1">#REF!</definedName>
    <definedName name="FDP_597_1_aSrv" hidden="1">#REF!</definedName>
    <definedName name="FDP_598_1_aSrv" hidden="1">#REF!</definedName>
    <definedName name="FDP_599_1_aSrv" hidden="1">#REF!</definedName>
    <definedName name="FDP_6_1_aUrv" localSheetId="2" hidden="1">#REF!</definedName>
    <definedName name="FDP_6_1_aUrv" hidden="1">#REF!</definedName>
    <definedName name="FDP_60_1_aSrv" hidden="1">#REF!</definedName>
    <definedName name="FDP_60_1_aUrv" localSheetId="2" hidden="1">#REF!</definedName>
    <definedName name="FDP_60_1_aUrv" hidden="1">#REF!</definedName>
    <definedName name="FDP_600_1_aSrv" hidden="1">#REF!</definedName>
    <definedName name="FDP_601_1_aSrv" hidden="1">#REF!</definedName>
    <definedName name="FDP_602_1_aSrv" hidden="1">#REF!</definedName>
    <definedName name="FDP_603_1_aSrv" hidden="1">#REF!</definedName>
    <definedName name="FDP_604_1_aSrv" hidden="1">#REF!</definedName>
    <definedName name="FDP_605_1_aSrv" hidden="1">#REF!</definedName>
    <definedName name="FDP_606_1_aSrv" hidden="1">#REF!</definedName>
    <definedName name="FDP_607_1_aSrv" hidden="1">#REF!</definedName>
    <definedName name="FDP_608_1_aSrv" hidden="1">#REF!</definedName>
    <definedName name="FDP_609_1_aSrv" hidden="1">#REF!</definedName>
    <definedName name="FDP_61_1_aSrv" localSheetId="2" hidden="1">#REF!</definedName>
    <definedName name="FDP_61_1_aSrv" hidden="1">#REF!</definedName>
    <definedName name="FDP_61_1_aUrv" localSheetId="2" hidden="1">#REF!</definedName>
    <definedName name="FDP_61_1_aUrv" hidden="1">#REF!</definedName>
    <definedName name="FDP_610_1_aSrv" hidden="1">#REF!</definedName>
    <definedName name="FDP_611_1_aSrv" hidden="1">#REF!</definedName>
    <definedName name="FDP_612_1_aSrv" hidden="1">#REF!</definedName>
    <definedName name="FDP_613_1_aSrv" hidden="1">#REF!</definedName>
    <definedName name="FDP_614_1_aSrv" hidden="1">#REF!</definedName>
    <definedName name="FDP_615_1_aSrv" hidden="1">#REF!</definedName>
    <definedName name="FDP_616_1_aSrv" hidden="1">#REF!</definedName>
    <definedName name="FDP_617_1_aSrv" hidden="1">#REF!</definedName>
    <definedName name="FDP_618_1_aSrv" hidden="1">#REF!</definedName>
    <definedName name="FDP_619_1_aSrv" hidden="1">#REF!</definedName>
    <definedName name="FDP_62_1_aSrv" localSheetId="2" hidden="1">#REF!</definedName>
    <definedName name="FDP_62_1_aSrv" hidden="1">#REF!</definedName>
    <definedName name="FDP_62_1_aUrv" localSheetId="2" hidden="1">#REF!</definedName>
    <definedName name="FDP_62_1_aUrv" hidden="1">#REF!</definedName>
    <definedName name="FDP_620_1_aSrv" hidden="1">#REF!</definedName>
    <definedName name="FDP_621_1_aSrv" hidden="1">#REF!</definedName>
    <definedName name="FDP_622_1_aSrv" hidden="1">#REF!</definedName>
    <definedName name="FDP_623_1_aSrv" hidden="1">#REF!</definedName>
    <definedName name="FDP_624_1_aSrv" hidden="1">#REF!</definedName>
    <definedName name="FDP_625_1_aSrv" hidden="1">#REF!</definedName>
    <definedName name="FDP_626_1_aSrv" hidden="1">#REF!</definedName>
    <definedName name="FDP_627_1_aSrv" hidden="1">#REF!</definedName>
    <definedName name="FDP_63_1_aUrv" localSheetId="2" hidden="1">#REF!</definedName>
    <definedName name="FDP_63_1_aUrv" hidden="1">#REF!</definedName>
    <definedName name="FDP_64_1_aSrv" localSheetId="2" hidden="1">#REF!</definedName>
    <definedName name="FDP_64_1_aSrv" hidden="1">#REF!</definedName>
    <definedName name="FDP_64_1_aUrv" localSheetId="2" hidden="1">#REF!</definedName>
    <definedName name="FDP_64_1_aUrv" hidden="1">#REF!</definedName>
    <definedName name="FDP_65_1_aSrv" localSheetId="2" hidden="1">#REF!</definedName>
    <definedName name="FDP_65_1_aSrv" hidden="1">#REF!</definedName>
    <definedName name="FDP_65_1_aUrv" localSheetId="2" hidden="1">#REF!</definedName>
    <definedName name="FDP_65_1_aUrv" hidden="1">#REF!</definedName>
    <definedName name="FDP_66_1_aUrv" localSheetId="2" hidden="1">#REF!</definedName>
    <definedName name="FDP_66_1_aUrv" hidden="1">#REF!</definedName>
    <definedName name="FDP_67_1_aUrv" localSheetId="2" hidden="1">#REF!</definedName>
    <definedName name="FDP_67_1_aUrv" hidden="1">#REF!</definedName>
    <definedName name="FDP_67_1_rUrv" localSheetId="2" hidden="1">#REF!</definedName>
    <definedName name="FDP_67_1_rUrv" hidden="1">#REF!</definedName>
    <definedName name="FDP_68_1_aSrv" hidden="1">#REF!</definedName>
    <definedName name="FDP_68_1_aUrv" localSheetId="2" hidden="1">#REF!</definedName>
    <definedName name="FDP_68_1_aUrv" hidden="1">#REF!</definedName>
    <definedName name="FDP_69_1_aUrv" localSheetId="2" hidden="1">#REF!</definedName>
    <definedName name="FDP_69_1_aUrv" hidden="1">#REF!</definedName>
    <definedName name="FDP_7_1_aUrv" localSheetId="2" hidden="1">#REF!</definedName>
    <definedName name="FDP_7_1_aUrv" hidden="1">#REF!</definedName>
    <definedName name="FDP_7_1_rUrv" hidden="1">#REF!</definedName>
    <definedName name="FDP_70_1_aDrv" localSheetId="2" hidden="1">#REF!</definedName>
    <definedName name="FDP_70_1_aDrv" hidden="1">#REF!</definedName>
    <definedName name="FDP_70_1_aSrv" hidden="1">#REF!</definedName>
    <definedName name="FDP_71_1_aUrv" localSheetId="2" hidden="1">#REF!</definedName>
    <definedName name="FDP_71_1_aUrv" hidden="1">#REF!</definedName>
    <definedName name="FDP_72_1_aDrv" localSheetId="2" hidden="1">#REF!</definedName>
    <definedName name="FDP_72_1_aDrv" hidden="1">#REF!</definedName>
    <definedName name="FDP_72_1_aSrv" hidden="1">#REF!</definedName>
    <definedName name="FDP_73_1_aSrv" hidden="1">#REF!</definedName>
    <definedName name="FDP_73_1_aUrv" localSheetId="2" hidden="1">#REF!</definedName>
    <definedName name="FDP_73_1_aUrv" hidden="1">#REF!</definedName>
    <definedName name="FDP_74_1_aUrv" localSheetId="2" hidden="1">#REF!</definedName>
    <definedName name="FDP_74_1_aUrv" hidden="1">#REF!</definedName>
    <definedName name="FDP_75_1_aSrv" localSheetId="2" hidden="1">#REF!</definedName>
    <definedName name="FDP_75_1_aSrv" hidden="1">#REF!</definedName>
    <definedName name="FDP_75_1_aUrv" hidden="1">#REF!</definedName>
    <definedName name="FDP_76_1_aSrv" hidden="1">#REF!</definedName>
    <definedName name="FDP_76_1_aUrv" localSheetId="2" hidden="1">#REF!</definedName>
    <definedName name="FDP_76_1_aUrv" hidden="1">#REF!</definedName>
    <definedName name="FDP_77_1_aUrv" localSheetId="2" hidden="1">#REF!</definedName>
    <definedName name="FDP_77_1_aUrv" hidden="1">#REF!</definedName>
    <definedName name="FDP_78_1_aSrv" hidden="1">#REF!</definedName>
    <definedName name="FDP_78_1_aUrv" localSheetId="2" hidden="1">#REF!</definedName>
    <definedName name="FDP_78_1_aUrv" hidden="1">#REF!</definedName>
    <definedName name="FDP_79_1_aUrv" localSheetId="2" hidden="1">#REF!</definedName>
    <definedName name="FDP_79_1_aUrv" hidden="1">#REF!</definedName>
    <definedName name="FDP_8_1_aDrv" localSheetId="2" hidden="1">#REF!</definedName>
    <definedName name="FDP_8_1_aDrv" hidden="1">#REF!</definedName>
    <definedName name="FDP_8_1_aUrv" localSheetId="2" hidden="1">#REF!</definedName>
    <definedName name="FDP_8_1_aUrv" hidden="1">#REF!</definedName>
    <definedName name="FDP_80_1_aSrv" hidden="1">#REF!</definedName>
    <definedName name="FDP_80_1_aUrv" localSheetId="2" hidden="1">#REF!</definedName>
    <definedName name="FDP_80_1_aUrv" hidden="1">#REF!</definedName>
    <definedName name="FDP_81_1_aSrv" localSheetId="2" hidden="1">#REF!</definedName>
    <definedName name="FDP_81_1_aSrv" hidden="1">#REF!</definedName>
    <definedName name="FDP_82_1_aDrv" hidden="1">#REF!</definedName>
    <definedName name="FDP_82_1_aUrv" localSheetId="2" hidden="1">#REF!</definedName>
    <definedName name="FDP_82_1_aUrv" hidden="1">#REF!</definedName>
    <definedName name="FDP_83_1_aSrv" localSheetId="2" hidden="1">#REF!</definedName>
    <definedName name="FDP_83_1_aSrv" hidden="1">#REF!</definedName>
    <definedName name="FDP_83_1_aUrv" hidden="1">#REF!</definedName>
    <definedName name="FDP_84_1_aUrv" localSheetId="2" hidden="1">#REF!</definedName>
    <definedName name="FDP_84_1_aUrv" hidden="1">#REF!</definedName>
    <definedName name="FDP_85_1_aUrv" localSheetId="2" hidden="1">#REF!</definedName>
    <definedName name="FDP_85_1_aUrv" hidden="1">#REF!</definedName>
    <definedName name="FDP_86_1_aUrv" localSheetId="2" hidden="1">#REF!</definedName>
    <definedName name="FDP_86_1_aUrv" hidden="1">#REF!</definedName>
    <definedName name="FDP_87_1_aSrv" localSheetId="2" hidden="1">#REF!</definedName>
    <definedName name="FDP_87_1_aSrv" hidden="1">#REF!</definedName>
    <definedName name="FDP_87_1_aUrv" hidden="1">#REF!</definedName>
    <definedName name="FDP_88_1_aUrv" localSheetId="2" hidden="1">#REF!</definedName>
    <definedName name="FDP_88_1_aUrv" hidden="1">#REF!</definedName>
    <definedName name="FDP_89_1_aSrv" localSheetId="2" hidden="1">#REF!</definedName>
    <definedName name="FDP_89_1_aSrv" hidden="1">#REF!</definedName>
    <definedName name="FDP_89_1_aUrv" hidden="1">#REF!</definedName>
    <definedName name="FDP_9_1_aDrv" localSheetId="2" hidden="1">#REF!</definedName>
    <definedName name="FDP_9_1_aDrv" hidden="1">#REF!</definedName>
    <definedName name="FDP_9_1_aUrv" localSheetId="2" hidden="1">#REF!</definedName>
    <definedName name="FDP_9_1_aUrv" hidden="1">#REF!</definedName>
    <definedName name="FDP_90_1_aUrv" localSheetId="2" hidden="1">#REF!</definedName>
    <definedName name="FDP_90_1_aUrv" hidden="1">#REF!</definedName>
    <definedName name="FDP_91_1_aUrv" localSheetId="2" hidden="1">#REF!</definedName>
    <definedName name="FDP_91_1_aUrv" hidden="1">#REF!</definedName>
    <definedName name="FDP_92_1_aSrv" localSheetId="2" hidden="1">#REF!</definedName>
    <definedName name="FDP_92_1_aSrv" hidden="1">#REF!</definedName>
    <definedName name="FDP_92_1_aUrv" hidden="1">#REF!</definedName>
    <definedName name="FDP_93_1_aDrv" localSheetId="2" hidden="1">#REF!</definedName>
    <definedName name="FDP_93_1_aDrv" hidden="1">#REF!</definedName>
    <definedName name="FDP_93_1_aUrv" hidden="1">#REF!</definedName>
    <definedName name="FDP_94_1_aUrv" localSheetId="2" hidden="1">#REF!</definedName>
    <definedName name="FDP_94_1_aUrv" hidden="1">#REF!</definedName>
    <definedName name="FDP_95_1_aUrv" localSheetId="2" hidden="1">#REF!</definedName>
    <definedName name="FDP_95_1_aUrv" hidden="1">#REF!</definedName>
    <definedName name="FDP_96_1_aUrv" localSheetId="2" hidden="1">#REF!</definedName>
    <definedName name="FDP_96_1_aUrv" hidden="1">#REF!</definedName>
    <definedName name="FDP_97_1_aUrv" localSheetId="2" hidden="1">#REF!</definedName>
    <definedName name="FDP_97_1_aUrv" hidden="1">#REF!</definedName>
    <definedName name="FDP_98_1_aUrv" localSheetId="2" hidden="1">#REF!</definedName>
    <definedName name="FDP_98_1_aUrv" hidden="1">#REF!</definedName>
    <definedName name="FDP_99_1_aDrv" hidden="1">#REF!</definedName>
    <definedName name="FDP_99_1_aUrv" localSheetId="2" hidden="1">#REF!</definedName>
    <definedName name="FDP_99_1_aUrv" hidden="1">#REF!</definedName>
    <definedName name="fff" localSheetId="2" hidden="1">{"IS",#N/A,FALSE,"IS";"RPTIS",#N/A,FALSE,"RPTIS";"STATS",#N/A,FALSE,"STATS";"CELL",#N/A,FALSE,"CELL";"BS",#N/A,FALSE,"BS"}</definedName>
    <definedName name="fff" localSheetId="12" hidden="1">{"IS",#N/A,FALSE,"IS";"RPTIS",#N/A,FALSE,"RPTIS";"STATS",#N/A,FALSE,"STATS";"CELL",#N/A,FALSE,"CELL";"BS",#N/A,FALSE,"BS"}</definedName>
    <definedName name="fff" localSheetId="7" hidden="1">{"IS",#N/A,FALSE,"IS";"RPTIS",#N/A,FALSE,"RPTIS";"STATS",#N/A,FALSE,"STATS";"CELL",#N/A,FALSE,"CELL";"BS",#N/A,FALSE,"BS"}</definedName>
    <definedName name="fff" hidden="1">{"IS",#N/A,FALSE,"IS";"RPTIS",#N/A,FALSE,"RPTIS";"STATS",#N/A,FALSE,"STATS";"CELL",#N/A,FALSE,"CELL";"BS",#N/A,FALSE,"BS"}</definedName>
    <definedName name="FIGGE" localSheetId="2">#REF!</definedName>
    <definedName name="Final_dividend">MODEL!$49:$49</definedName>
    <definedName name="FirstCall" localSheetId="2">#REF!</definedName>
    <definedName name="FirstYear" localSheetId="2">#REF!</definedName>
    <definedName name="FITB" localSheetId="2">#REF!</definedName>
    <definedName name="FITB">MODEL!$170:$170</definedName>
    <definedName name="FIXASS" localSheetId="2">#REF!</definedName>
    <definedName name="Fixed_asset_turns" localSheetId="2">#REF!</definedName>
    <definedName name="footnote" localSheetId="2">#REF!</definedName>
    <definedName name="ForecastVersion" localSheetId="2">#REF!</definedName>
    <definedName name="Forex_differences" localSheetId="2">#REF!</definedName>
    <definedName name="FR_CLEAR_AREA1" localSheetId="2">#REF!,#REF!</definedName>
    <definedName name="FR_COU_NAME_LINK" localSheetId="2">#REF!</definedName>
    <definedName name="France" localSheetId="2">#REF!</definedName>
    <definedName name="France_w" localSheetId="2">#REF!</definedName>
    <definedName name="Franking" localSheetId="2">#REF!</definedName>
    <definedName name="Franking">MODEL!$293:$293</definedName>
    <definedName name="fraSTRIPESCapE" localSheetId="2">#REF!</definedName>
    <definedName name="fratios" localSheetId="2">#REF!</definedName>
    <definedName name="Free_Cash_Flow" localSheetId="2">#REF!</definedName>
    <definedName name="frmDevelopersCapE" localSheetId="2">#REF!</definedName>
    <definedName name="frmSettingsCapE" localSheetId="2">#REF!</definedName>
    <definedName name="FS" localSheetId="2">#REF!</definedName>
    <definedName name="FTSE_All_Share" localSheetId="2">#REF!</definedName>
    <definedName name="Full_Year_Figures" localSheetId="2">#REF!</definedName>
    <definedName name="fx" localSheetId="2">#REF!</definedName>
    <definedName name="fy_00" localSheetId="2">#REF!</definedName>
    <definedName name="FY_79" localSheetId="2">#REF!</definedName>
    <definedName name="FY_80" localSheetId="2">#REF!</definedName>
    <definedName name="FY_81" localSheetId="2">#REF!</definedName>
    <definedName name="FY_82" localSheetId="2">#REF!</definedName>
    <definedName name="FY_83" localSheetId="2">#REF!</definedName>
    <definedName name="FY_84" localSheetId="2">#REF!</definedName>
    <definedName name="fy_99" localSheetId="2">#REF!</definedName>
    <definedName name="fy00_rev" localSheetId="2">#REF!</definedName>
    <definedName name="fy96_shares" localSheetId="2">#REF!</definedName>
    <definedName name="fy97_ni" localSheetId="2">#REF!</definedName>
    <definedName name="fy97_shares" localSheetId="2">#REF!</definedName>
    <definedName name="fy98_ni" localSheetId="2">#REF!</definedName>
    <definedName name="fy98_shares" localSheetId="2">#REF!</definedName>
    <definedName name="fy99_ni" localSheetId="2">#REF!</definedName>
    <definedName name="fy99_rev" localSheetId="2">#REF!</definedName>
    <definedName name="fy99_shares" localSheetId="2">#REF!</definedName>
    <definedName name="g" localSheetId="2" hidden="1">{"IS",#N/A,FALSE,"IS";"RPTIS",#N/A,FALSE,"RPTIS";"STATS",#N/A,FALSE,"STATS";"BS",#N/A,FALSE,"BS"}</definedName>
    <definedName name="g_2" localSheetId="2">#REF!</definedName>
    <definedName name="GBP_per_EUR" localSheetId="2">#REF!</definedName>
    <definedName name="GBP_per_USD" localSheetId="2">#REF!</definedName>
    <definedName name="GD" localSheetId="2">#REF!</definedName>
    <definedName name="GDRM_Ctry_1" localSheetId="2">#REF!</definedName>
    <definedName name="GDRM_Ctry_10" localSheetId="2">#REF!</definedName>
    <definedName name="GDRM_Ctry_11" localSheetId="2">#REF!</definedName>
    <definedName name="GDRM_Ctry_12" localSheetId="2">#REF!</definedName>
    <definedName name="GDRM_Ctry_13" localSheetId="2">#REF!</definedName>
    <definedName name="GDRM_Ctry_14" localSheetId="2">#REF!</definedName>
    <definedName name="GDRM_Ctry_15" localSheetId="2">#REF!</definedName>
    <definedName name="GDRM_Ctry_16" localSheetId="2">#REF!</definedName>
    <definedName name="GDRM_Ctry_17" localSheetId="2">#REF!</definedName>
    <definedName name="GDRM_Ctry_2" localSheetId="2">#REF!</definedName>
    <definedName name="GDRM_Ctry_3" localSheetId="2">#REF!</definedName>
    <definedName name="GDRM_Ctry_4" localSheetId="2">#REF!</definedName>
    <definedName name="GDRM_Ctry_5" localSheetId="2">#REF!</definedName>
    <definedName name="GDRM_Ctry_6" localSheetId="2">#REF!</definedName>
    <definedName name="GDRM_Ctry_7" localSheetId="2">#REF!</definedName>
    <definedName name="GDRM_Ctry_8" localSheetId="2">#REF!</definedName>
    <definedName name="GDRM_Ctry_9" localSheetId="2">#REF!</definedName>
    <definedName name="GDRV_Ctry_1" localSheetId="2">#REF!</definedName>
    <definedName name="GDRV_Ctry_10" localSheetId="2">#REF!</definedName>
    <definedName name="GDRV_Ctry_11" localSheetId="2">#REF!</definedName>
    <definedName name="GDRV_Ctry_12" localSheetId="2">#REF!</definedName>
    <definedName name="GDRV_Ctry_13" localSheetId="2">#REF!</definedName>
    <definedName name="GDRV_Ctry_14" localSheetId="2">#REF!</definedName>
    <definedName name="GDRV_Ctry_15" localSheetId="2">#REF!</definedName>
    <definedName name="GDRV_Ctry_16" localSheetId="2">#REF!</definedName>
    <definedName name="GDRV_Ctry_17" localSheetId="2">#REF!</definedName>
    <definedName name="GDRV_Ctry_2" localSheetId="2">#REF!</definedName>
    <definedName name="GDRV_Ctry_3" localSheetId="2">#REF!</definedName>
    <definedName name="GDRV_Ctry_4" localSheetId="2">#REF!</definedName>
    <definedName name="GDRV_Ctry_5" localSheetId="2">#REF!</definedName>
    <definedName name="GDRV_Ctry_6" localSheetId="2">#REF!</definedName>
    <definedName name="GDRV_Ctry_7" localSheetId="2">#REF!</definedName>
    <definedName name="GDRV_Ctry_8" localSheetId="2">#REF!</definedName>
    <definedName name="GDRV_Ctry_9" localSheetId="2">#REF!</definedName>
    <definedName name="gearing_00" localSheetId="2">#REF!</definedName>
    <definedName name="gearing_01" localSheetId="2">#REF!</definedName>
    <definedName name="gearing_02" localSheetId="2">#REF!</definedName>
    <definedName name="gearing_99" localSheetId="2">#REF!</definedName>
    <definedName name="Germany" localSheetId="2">#REF!</definedName>
    <definedName name="Germany_Sales" localSheetId="2">#REF!</definedName>
    <definedName name="Germany_w" localSheetId="2">#REF!</definedName>
    <definedName name="GetFromOra_Click" localSheetId="2">#N/A</definedName>
    <definedName name="GetFromOra_Click">DCF!GetFromOra_Click</definedName>
    <definedName name="GetPrice_Click" localSheetId="2" xlm="1">DCF!GetPrice_Click</definedName>
    <definedName name="GetPrice_Click" xlm="1">DCF!GetPrice_Click</definedName>
    <definedName name="GKN" localSheetId="2">#REF!</definedName>
    <definedName name="Global_Sector" localSheetId="2">#REF!</definedName>
    <definedName name="Glynwed" localSheetId="2">#REF!</definedName>
    <definedName name="Goodwill" localSheetId="2">#REF!</definedName>
    <definedName name="Goodwill">MODEL!$159:$159</definedName>
    <definedName name="GOOGEPS1" localSheetId="2">#REF!</definedName>
    <definedName name="GOOGEPS2" localSheetId="2">#REF!</definedName>
    <definedName name="GOOGRating" localSheetId="2">#REF!</definedName>
    <definedName name="GOOGTargetPrice" localSheetId="2">#REF!</definedName>
    <definedName name="Gross_income" localSheetId="2">#REF!</definedName>
    <definedName name="Gross_income_fore" localSheetId="2">#REF!</definedName>
    <definedName name="Gross_Margin" localSheetId="2">#REF!</definedName>
    <definedName name="Gross_ppe" localSheetId="2">#REF!</definedName>
    <definedName name="Gross_ppe">MODEL!$155:$155</definedName>
    <definedName name="Gross_Profit" localSheetId="2">#REF!</definedName>
    <definedName name="GROSSM00" localSheetId="2">#REF!</definedName>
    <definedName name="GROSSM97" localSheetId="2">#REF!</definedName>
    <definedName name="GROSSM98" localSheetId="2">#REF!</definedName>
    <definedName name="GROSSM99" localSheetId="2">#REF!</definedName>
    <definedName name="Growth_Rate" localSheetId="2">#REF!</definedName>
    <definedName name="HArd" localSheetId="2">#REF!</definedName>
    <definedName name="head1" localSheetId="2">#REF!</definedName>
    <definedName name="Headcount" localSheetId="2">#REF!</definedName>
    <definedName name="HeadlineCell" localSheetId="2">#REF!</definedName>
    <definedName name="Hide" localSheetId="2">#REF!,#REF!,#REF!</definedName>
    <definedName name="hidebs" localSheetId="2">#REF!</definedName>
    <definedName name="HighightDebt" localSheetId="2">#REF!</definedName>
    <definedName name="HIghlightCFlow" localSheetId="2">#REF!</definedName>
    <definedName name="HighlightEmploy" localSheetId="2">#REF!</definedName>
    <definedName name="HighlightEV" localSheetId="2">#REF!</definedName>
    <definedName name="HighlightFixedCharg" localSheetId="2">#REF!</definedName>
    <definedName name="HighlightLever" localSheetId="2">#REF!</definedName>
    <definedName name="HighlightLiquid" localSheetId="2">#REF!</definedName>
    <definedName name="HighlightROE" localSheetId="2">#REF!</definedName>
    <definedName name="HighlightShare" localSheetId="2">#REF!</definedName>
    <definedName name="HighlightSourceCapit" localSheetId="2">#REF!</definedName>
    <definedName name="HighlightTurn" localSheetId="2">#REF!</definedName>
    <definedName name="Höganas" localSheetId="2">#REF!</definedName>
    <definedName name="Holt_Report_Spec_CompaniesOutputSheetHeader" localSheetId="2">#REF!</definedName>
    <definedName name="Holt_Report_Spec_DataOutputSheetHeader" localSheetId="2">#REF!</definedName>
    <definedName name="Holt_Report_Spec_FirstHeaderCell" localSheetId="2">#REF!</definedName>
    <definedName name="Holt_Report_Spec_LastHeaderCell" localSheetId="2">#REF!</definedName>
    <definedName name="HoltReportSpecCell" localSheetId="2">#REF!</definedName>
    <definedName name="HoltReportVersionCell" localSheetId="2">#REF!</definedName>
    <definedName name="Home" localSheetId="2">#REF!</definedName>
    <definedName name="HSBCTbl_Table1" localSheetId="2">#REF!</definedName>
    <definedName name="HTML_CodePage" hidden="1">1252</definedName>
    <definedName name="HTML_Control" localSheetId="12" hidden="1">{"'Industry'!$A$1:$M$85","'Industry'!$I$20:$M$45"}</definedName>
    <definedName name="HTML_Control" hidden="1">{"'Industry'!$A$1:$M$85","'Industry'!$I$20:$M$45"}</definedName>
    <definedName name="HTML_Description" hidden="1">""</definedName>
    <definedName name="HTML_Email" hidden="1">""</definedName>
    <definedName name="HTML_Header" hidden="1">"Industry"</definedName>
    <definedName name="HTML_LastUpdate" hidden="1">"12/31/96"</definedName>
    <definedName name="HTML_LineAfter" hidden="1">FALSE</definedName>
    <definedName name="HTML_LineBefore" hidden="1">FALSE</definedName>
    <definedName name="HTML_Name" hidden="1">"Portable 3"</definedName>
    <definedName name="HTML_OBDlg2" hidden="1">TRUE</definedName>
    <definedName name="HTML_OBDlg4" hidden="1">TRUE</definedName>
    <definedName name="HTML_OS" hidden="1">0</definedName>
    <definedName name="HTML_PathFile" hidden="1">"p:\input\1996"</definedName>
    <definedName name="HTML_Title" hidden="1">"NEW_X"</definedName>
    <definedName name="HTURN" localSheetId="2">#REF!</definedName>
    <definedName name="IBAssets" localSheetId="2">#REF!</definedName>
    <definedName name="IC_1" localSheetId="2">#REF!</definedName>
    <definedName name="IC_2" localSheetId="2">#REF!</definedName>
    <definedName name="IC_P" localSheetId="2">#REF!</definedName>
    <definedName name="IC_P1" localSheetId="2">#REF!</definedName>
    <definedName name="IC_P2" localSheetId="2">#REF!</definedName>
    <definedName name="IC_P3" localSheetId="2">#REF!</definedName>
    <definedName name="icover_00" localSheetId="2">#REF!</definedName>
    <definedName name="icover_01" localSheetId="2">#REF!</definedName>
    <definedName name="icover_02" localSheetId="2">#REF!</definedName>
    <definedName name="icover_96" localSheetId="2">#REF!</definedName>
    <definedName name="icover_97" localSheetId="2">#REF!</definedName>
    <definedName name="icover_98" localSheetId="2">#REF!</definedName>
    <definedName name="icover_99" localSheetId="2">#REF!</definedName>
    <definedName name="IDName" localSheetId="2">#REF!</definedName>
    <definedName name="IDNumber" localSheetId="2">#REF!</definedName>
    <definedName name="Imp_Credit" localSheetId="2">DCF!$D$33</definedName>
    <definedName name="inc_tax" localSheetId="2">#REF!</definedName>
    <definedName name="Income" localSheetId="2">#REF!</definedName>
    <definedName name="Income_equivalents" localSheetId="2">#REF!</definedName>
    <definedName name="Income_equivalents_fore" localSheetId="2">#REF!</definedName>
    <definedName name="Income_form_uncons_subs_fore" localSheetId="2">#REF!</definedName>
    <definedName name="Income_from_Unconsolidated_Subs" localSheetId="2">#REF!</definedName>
    <definedName name="Income_tax" localSheetId="2">#REF!</definedName>
    <definedName name="Income_tax_fore" localSheetId="2">#REF!</definedName>
    <definedName name="IncomeStatement" localSheetId="2">#REF!</definedName>
    <definedName name="Incr_customer_advance" localSheetId="2">#REF!</definedName>
    <definedName name="Incr_inventories" localSheetId="2">#REF!</definedName>
    <definedName name="Incr_payables_creditors" localSheetId="2">#REF!</definedName>
    <definedName name="Incr_receivables_debtors" localSheetId="2">#REF!</definedName>
    <definedName name="Increase_cap_RnD_fore" localSheetId="2">#REF!</definedName>
    <definedName name="Increase_Capitalized_R_D_net" localSheetId="2">#REF!</definedName>
    <definedName name="Increase_net_other_assets" localSheetId="2">#REF!</definedName>
    <definedName name="Inflation" localSheetId="2">#REF!</definedName>
    <definedName name="InputR1" localSheetId="2">#REF!</definedName>
    <definedName name="InputR2" localSheetId="2">#REF!</definedName>
    <definedName name="int_copy">MODEL!$123:$123</definedName>
    <definedName name="Int_exp">8%</definedName>
    <definedName name="int_paste">MODEL!$129:$129</definedName>
    <definedName name="Intangible_Assets" localSheetId="2">#REF!</definedName>
    <definedName name="Interest_exp_inc_fore" localSheetId="2">#REF!</definedName>
    <definedName name="Interest_Expense" localSheetId="2">#REF!</definedName>
    <definedName name="Interest_Expense">MODEL!$115:$115</definedName>
    <definedName name="Interest_expense_income" localSheetId="2">#REF!</definedName>
    <definedName name="Interest_Income" localSheetId="2">#REF!</definedName>
    <definedName name="Interest_Income">MODEL!$121:$121</definedName>
    <definedName name="Interest_Income__Expense" localSheetId="2">#REF!</definedName>
    <definedName name="Interest_on_convertibles___options" localSheetId="2">#REF!</definedName>
    <definedName name="InterestInc" localSheetId="2">#REF!</definedName>
    <definedName name="interim" localSheetId="2">#REF!</definedName>
    <definedName name="interim_data" localSheetId="2">#REF!</definedName>
    <definedName name="Interim_dividend">MODEL!$48:$48</definedName>
    <definedName name="interimlabel" localSheetId="2">#REF!</definedName>
    <definedName name="Interims" localSheetId="2">#REF!</definedName>
    <definedName name="interl" localSheetId="2">#REF!</definedName>
    <definedName name="internl" localSheetId="2">#REF!</definedName>
    <definedName name="intexp" localSheetId="2">#REF!</definedName>
    <definedName name="INV" localSheetId="2">#REF!</definedName>
    <definedName name="INV.COGS00" localSheetId="2">#REF!</definedName>
    <definedName name="INV.COGS97" localSheetId="2">#REF!</definedName>
    <definedName name="INV.COGS98" localSheetId="2">#REF!</definedName>
    <definedName name="INV.COGS99" localSheetId="2">#REF!</definedName>
    <definedName name="inv_00" localSheetId="2">#REF!</definedName>
    <definedName name="inv_01" localSheetId="2">#REF!</definedName>
    <definedName name="inv_02" localSheetId="2">#REF!</definedName>
    <definedName name="inv_99" localSheetId="2">#REF!</definedName>
    <definedName name="inv_s00" localSheetId="2">#REF!</definedName>
    <definedName name="inv_s01" localSheetId="2">#REF!</definedName>
    <definedName name="inv_s02" localSheetId="2">#REF!</definedName>
    <definedName name="inv_s99" localSheetId="2">#REF!</definedName>
    <definedName name="Inventories" localSheetId="2">#REF!</definedName>
    <definedName name="Inventories">MODEL!$147:$147</definedName>
    <definedName name="InvestDepr" localSheetId="2">#REF!</definedName>
    <definedName name="Invested_capital" localSheetId="2">#REF!</definedName>
    <definedName name="Invested_capital_DCF" localSheetId="2">#REF!</definedName>
    <definedName name="Invested_capital_turns" localSheetId="2">#REF!</definedName>
    <definedName name="Invested_capital_turns_DCF" localSheetId="2">#REF!</definedName>
    <definedName name="Investment_in_fixed_assets" localSheetId="2">#REF!</definedName>
    <definedName name="Investment_tax_credits" localSheetId="2">#REF!</definedName>
    <definedName name="Investments" localSheetId="2">#REF!</definedName>
    <definedName name="Investments">MODEL!$169:$169</definedName>
    <definedName name="Investments_associates" localSheetId="2">#REF!</definedName>
    <definedName name="Investments_associates">MODEL!$167:$167</definedName>
    <definedName name="Investments_Other" localSheetId="2">#REF!</definedName>
    <definedName name="Investments_Other">MODEL!$168:$168</definedName>
    <definedName name="INVTURN00" localSheetId="2">#REF!</definedName>
    <definedName name="INVTURN97" localSheetId="2">#REF!</definedName>
    <definedName name="INVTURN98" localSheetId="2">#REF!</definedName>
    <definedName name="INVTURN99" localSheetId="2">#REF!</definedName>
    <definedName name="IP" localSheetId="2">#REF!</definedName>
    <definedName name="IQ_0_PCT_RISK_WEIGHT_TOTAL_THRIFT" hidden="1">"c25055"</definedName>
    <definedName name="IQ_1_4_CONSTRUCTION_GROSS_LOANS_FFIEC" hidden="1">"c13402"</definedName>
    <definedName name="IQ_1_4_CONSTRUCTION_LL_REC_DOM_FFIEC" hidden="1">"c12899"</definedName>
    <definedName name="IQ_1_4_CONSTRUCTION_LOAN_COMMITMENTS_UNUSED_FFIEC" hidden="1">"c13244"</definedName>
    <definedName name="IQ_1_4_CONSTRUCTION_LOANS_DUE_30_89_FFIEC" hidden="1">"c13257"</definedName>
    <definedName name="IQ_1_4_CONSTRUCTION_LOANS_DUE_90_FFIEC" hidden="1">"c13285"</definedName>
    <definedName name="IQ_1_4_CONSTRUCTION_LOANS_NON_ACCRUAL_FFIEC" hidden="1">"c13311"</definedName>
    <definedName name="IQ_1_4_CONSTRUCTION_RISK_BASED_FFIEC" hidden="1">"c13423"</definedName>
    <definedName name="IQ_1_4_DWELLING_UNITS_CONSTRUCTION_MORTGAGE_LOANS_ADJUSTED_NCOS_TOTAL_THRIFT" hidden="1">"c25200"</definedName>
    <definedName name="IQ_1_4_DWELLING_UNITS_CONSTRUCTION_MORTGAGE_LOANS_GVA_CHARGE_OFFS_THRIFT" hidden="1">"c25115"</definedName>
    <definedName name="IQ_1_4_DWELLING_UNITS_CONSTRUCTION_MORTGAGE_LOANS_GVA_RECOVERIES_THRIFT" hidden="1">"c25146"</definedName>
    <definedName name="IQ_1_4_DWELLING_UNITS_CONSTRUCTION_MORTGAGE_LOANS_SVA_PROVISIONS_TRANSFERS_FROM_GVA_TOTAL_THRIFT" hidden="1">"c25169"</definedName>
    <definedName name="IQ_1_4_DWELLING_UNITS_REVOLVING_OPEN_END_PML_ADJUSTED_NCOS_TOTAL_THRIFT" hidden="1">"c25203"</definedName>
    <definedName name="IQ_1_4_DWELLING_UNITS_REVOLVING_OPEN_END_PML_GVA_CHARGE_OFFS_THRIFT" hidden="1">"c25118"</definedName>
    <definedName name="IQ_1_4_DWELLING_UNITS_REVOLVING_OPEN_END_PML_GVA_RECOVERIES_THRIFT" hidden="1">"c25149"</definedName>
    <definedName name="IQ_1_4_DWELLING_UNITS_REVOLVING_OPEN_END_PML_SVA_PROVISIONS_TRANSFERS_FROM_GVA_TOTAL_THRIFT" hidden="1">"c25172"</definedName>
    <definedName name="IQ_1_4_DWELLING_UNITS_SECURED_FIRST_LIENS_IN_PROCESS_FORECLOSURE_THRIFT" hidden="1">"c25305"</definedName>
    <definedName name="IQ_1_4_DWELLING_UNITS_SECURED_FIRST_LIENS_PML_ADJUSTED_NCOS_TOTAL_THRIFT" hidden="1">"c25204"</definedName>
    <definedName name="IQ_1_4_DWELLING_UNITS_SECURED_FIRST_LIENS_PML_GVA_CHARGE_OFFS_THRIFT" hidden="1">"c25119"</definedName>
    <definedName name="IQ_1_4_DWELLING_UNITS_SECURED_FIRST_LIENS_PML_GVA_RECOVERIES_THRIFT" hidden="1">"c25150"</definedName>
    <definedName name="IQ_1_4_DWELLING_UNITS_SECURED_FIRST_LIENS_PML_SVA_PROVISIONS_TRANSFERS_FROM_GVA_TOTAL_THRIFT" hidden="1">"c25173"</definedName>
    <definedName name="IQ_1_4_DWELLING_UNITS_SECURED_JUNIOR_LIENS_IN_PROCESS_FORECLOSURE_THRIFT" hidden="1">"c25306"</definedName>
    <definedName name="IQ_1_4_DWELLING_UNITS_SECURED_JUNIOR_LIENS_PML_ADJUSTED_NCOS_TOTAL_THRIFT" hidden="1">"c25205"</definedName>
    <definedName name="IQ_1_4_DWELLING_UNITS_SECURED_JUNIOR_LIENS_PML_GVA_CHARGE_OFFS_THRIFT" hidden="1">"c25120"</definedName>
    <definedName name="IQ_1_4_DWELLING_UNITS_SECURED_JUNIOR_LIENS_PML_GVA_RECOVERIES_THRIFT" hidden="1">"c25151"</definedName>
    <definedName name="IQ_1_4_DWELLING_UNITS_SECURED_JUNIOR_LIENS_PML_SVA_PROVISIONS_TRANSFERS_FROM_GVA_TOTAL_THRIFT" hidden="1">"c25174"</definedName>
    <definedName name="IQ_1_4_DWELLING_UNITS_SECURED_REVOLVING_OPEN_END_LOANS_IN_PROCESS_FORECLOSURE_THRIFT" hidden="1">"c25304"</definedName>
    <definedName name="IQ_1_4_FAMILY_CONSTRUCTION_LOANS_GROSS_LOANS_THRIFT" hidden="1">"c25727"</definedName>
    <definedName name="IQ_1_4_FAMILY_CONSTRUCTION_LOANS_RISK_BASED_CAPITAL_THRIFT" hidden="1">"c25712"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RES_DOM_FFIEC" hidden="1">"c15269"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100_PCT_RISK_WEIGHT_TOTAL_THRIFT" hidden="1">"c25073"</definedName>
    <definedName name="IQ_20_PCT_RISK_WEIGHT_TOTAL_THRIFT" hidden="1">"c25062"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50_PCT_RISK_WEIGHT_TOTAL_THRIFT" hidden="1">"c25069"</definedName>
    <definedName name="IQ_ABS_AFS_AMORT_COST_FFIEC" hidden="1">"c20499"</definedName>
    <definedName name="IQ_ABS_AFS_FAIR_VAL_FFIEC" hidden="1">"c20464"</definedName>
    <definedName name="IQ_ABS_AVAIL_SALE_FFIEC" hidden="1">"c12802"</definedName>
    <definedName name="IQ_ABS_FFIEC" hidden="1">"c12788"</definedName>
    <definedName name="IQ_ABS_HTM_AMORT_COST_FFIEC" hidden="1">"c20447"</definedName>
    <definedName name="IQ_ABS_HTM_FAIR_VAL_FFIEC" hidden="1">"c20482"</definedName>
    <definedName name="IQ_ABS_INVEST_SECURITIES_FFIEC" hidden="1">"c13461"</definedName>
    <definedName name="IQ_ABS_PERIOD" hidden="1">"c13823"</definedName>
    <definedName name="IQ_ABS_PERIOD_EST" hidden="1">"c16122"</definedName>
    <definedName name="IQ_ACCEPTANCES_OTHER_FOREIGN_BANKS_LL_REC_FFIEC" hidden="1">"c15293"</definedName>
    <definedName name="IQ_ACCEPTANCES_OTHER_US_BANKS_LL_REC_FFIEC" hidden="1">"c15292"</definedName>
    <definedName name="IQ_ACCOUNT_CHANGE" localSheetId="12" hidden="1">"c1449"</definedName>
    <definedName name="IQ_ACCOUNT_CHANGE" localSheetId="7" hidden="1">"c1449"</definedName>
    <definedName name="IQ_ACCOUNT_CHANGE" hidden="1">"c36"</definedName>
    <definedName name="IQ_ACCOUNT_CODE_INTEREST_PENALTIES" hidden="1">"c15741"</definedName>
    <definedName name="IQ_ACCOUNTING_FFIEC" hidden="1">"c13054"</definedName>
    <definedName name="IQ_ACCOUNTING_STANDARD" hidden="1">"c4539"</definedName>
    <definedName name="IQ_ACCOUNTING_STANDARD_CIQ" hidden="1">"c5092"</definedName>
    <definedName name="IQ_ACCOUNTS_PAY" localSheetId="12" hidden="1">"c1343"</definedName>
    <definedName name="IQ_ACCOUNTS_PAY" localSheetId="7" hidden="1">"c1343"</definedName>
    <definedName name="IQ_ACCOUNTS_PAY" hidden="1">"c91"</definedName>
    <definedName name="IQ_ACCOUNTS_PAYABLE_THRIFT" hidden="1">"c24910"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localSheetId="12" hidden="1">"c1341"</definedName>
    <definedName name="IQ_ACCRUED_EXP" localSheetId="7" hidden="1">"c1341"</definedName>
    <definedName name="IQ_ACCRUED_EXP" hidden="1">"c93"</definedName>
    <definedName name="IQ_ACCRUED_INT_PAYABLE_DEPOSITS_THRIFT" hidden="1">"c24907"</definedName>
    <definedName name="IQ_ACCRUED_INT_PAYABLE_THRIFT" hidden="1">"c24906"</definedName>
    <definedName name="IQ_ACCRUED_INT_RECEIVABLE_MBS_THRIFT" hidden="1">"c24836"</definedName>
    <definedName name="IQ_ACCRUED_INT_RECEIVABLE_THRIFT" hidden="1">"c24827"</definedName>
    <definedName name="IQ_ACCRUED_INTEREST_RECEIVABLE_FFIEC" hidden="1">"c12842"</definedName>
    <definedName name="IQ_ACCRUED_MORTGAGE_INT_RECEIVABLE_THRIFT" hidden="1">"c24849"</definedName>
    <definedName name="IQ_ACCRUED_NON_MORTGAGE_INT_RECEIVABLE_THRIFT" hidden="1">"c24866"</definedName>
    <definedName name="IQ_ACCRUED_TAXES_THRIFT" hidden="1">"c24909"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AMORT_GW" hidden="1">"c17749"</definedName>
    <definedName name="IQ_ACCUM_AMORT_INTAN_ASSETS" hidden="1">"c17747"</definedName>
    <definedName name="IQ_ACCUM_DEP" localSheetId="12" hidden="1">"c1340"</definedName>
    <definedName name="IQ_ACCUM_DEP" localSheetId="7" hidden="1">"c1340"</definedName>
    <definedName name="IQ_ACCUM_DEP" hidden="1">"c282"</definedName>
    <definedName name="IQ_ACCUMULATED_GAINS_LOSSES_CASH_FLOW_HEDGES_THRIFT" hidden="1">"c24922"</definedName>
    <definedName name="IQ_ACCUMULATED_GAINS_LOSSES_CERTAIN_SEC_THRIFT" hidden="1">"c24921"</definedName>
    <definedName name="IQ_ACCUMULATED_LOSSES_GAINS_CASH_FLOW_HEDGES_ADJUSTED_ASSETS_THRIFT" hidden="1">"c25035"</definedName>
    <definedName name="IQ_ACCUMULATED_LOSSES_GAINS_CASH_FLOW_HEDGES_T1_THRIFT" hidden="1">"c25026"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_WIRELESS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COST_SUB" hidden="1">"c15807"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CTUAL_THRIFT_INV_PERCENTAGE_MONTH_END_FIRST_MONTH_QUARTER_THRIFT" hidden="1">"c25584"</definedName>
    <definedName name="IQ_ACTUAL_THRIFT_INV_PERCENTAGE_MONTH_END_SECOND_MONTH_QUARTER_THRIFT" hidden="1">"c25585"</definedName>
    <definedName name="IQ_ACTUAL_THRIFT_INV_PERCENTAGE_MONTH_END_THIRD_MONTH_QUARTER_THRIFT" hidden="1">"c25586"</definedName>
    <definedName name="IQ_AD" hidden="1">"c7"</definedName>
    <definedName name="IQ_ADD_PAID_IN" localSheetId="12" hidden="1">"c1344"</definedName>
    <definedName name="IQ_ADD_PAID_IN" localSheetId="7" hidden="1">"c1344"</definedName>
    <definedName name="IQ_ADD_PAID_IN" hidden="1">"c109"</definedName>
    <definedName name="IQ_ADD_TAX_POSITIONS_CURRENT_YR" hidden="1">"c15733"</definedName>
    <definedName name="IQ_ADD_TAX_POSITIONS_PRIOR_YRS" hidden="1">"c15735"</definedName>
    <definedName name="IQ_ADDIN" hidden="1">"AUTO"</definedName>
    <definedName name="IQ_ADDITIONAL_NON_INT_INC_FDIC" hidden="1">"c6574"</definedName>
    <definedName name="IQ_ADDITIONS_NON_ACCRUAL_ASSET_DURING_QTR_FFIEC" hidden="1">"c15349"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JUSTED_OPERATING_INCOME_AVG_ASSETS_THRIFT" hidden="1">"c25651"</definedName>
    <definedName name="IQ_ADJUSTED_TOTAL_ASSETS_ADJUSTED_ASSETS_THRIFT" hidden="1">"c25038"</definedName>
    <definedName name="IQ_ADJUSTMENTS_GVA_THRIFT" hidden="1">"c25095"</definedName>
    <definedName name="IQ_ADJUSTMENTS_SVA_THRIFT" hidden="1">"c25102"</definedName>
    <definedName name="IQ_ADJUSTMENTS_TVA_THRIFT" hidden="1">"c25109"</definedName>
    <definedName name="IQ_ADMIN_RATIO" hidden="1">"c2784"</definedName>
    <definedName name="IQ_ADVANCES_FROM_FHLB_THRIFT" hidden="1">"c24900"</definedName>
    <definedName name="IQ_ADVANCES_TAXES_INSURANCE_THRIFT" hidden="1">"c24850"</definedName>
    <definedName name="IQ_ADVERTISING" hidden="1">"c2246"</definedName>
    <definedName name="IQ_ADVERTISING_MARKETING" hidden="1">"c1566"</definedName>
    <definedName name="IQ_ADVERTISING_MARKETING_EXPENSES_FFIEC" hidden="1">"c13048"</definedName>
    <definedName name="IQ_AE" hidden="1">"c8"</definedName>
    <definedName name="IQ_AE_BNK" hidden="1">"c9"</definedName>
    <definedName name="IQ_AE_BR" hidden="1">"c10"</definedName>
    <definedName name="IQ_AE_CM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DILUTED" hidden="1">"c16188"</definedName>
    <definedName name="IQ_AFFO_PER_SHARE_ACT_OR_EST" hidden="1">"c18265"</definedName>
    <definedName name="IQ_AFFO_PER_SHARE_ACT_OR_EST_CIQ" hidden="1">"c18271"</definedName>
    <definedName name="IQ_AFFO_PER_SHARE_BASIC" hidden="1">"c8869"</definedName>
    <definedName name="IQ_AFFO_PER_SHARE_DET_EST" hidden="1">"c18173"</definedName>
    <definedName name="IQ_AFFO_PER_SHARE_DET_EST_CIQ" hidden="1">"c18222"</definedName>
    <definedName name="IQ_AFFO_PER_SHARE_DET_EST_CURRENCY" hidden="1">"c18306"</definedName>
    <definedName name="IQ_AFFO_PER_SHARE_DET_EST_CURRENCY_CIQ" hidden="1">"c18345"</definedName>
    <definedName name="IQ_AFFO_PER_SHARE_DET_EST_DATE" hidden="1">"c18280"</definedName>
    <definedName name="IQ_AFFO_PER_SHARE_DET_EST_DATE_CIQ" hidden="1">"c18324"</definedName>
    <definedName name="IQ_AFFO_PER_SHARE_DET_EST_INCL" hidden="1">"c18362"</definedName>
    <definedName name="IQ_AFFO_PER_SHARE_DET_EST_INCL_CIQ" hidden="1">"c18331"</definedName>
    <definedName name="IQ_AFFO_PER_SHARE_DET_EST_NOTE" hidden="1">"c18295"</definedName>
    <definedName name="IQ_AFFO_PER_SHARE_DET_EST_NOTE_CIQ" hidden="1">"c18338"</definedName>
    <definedName name="IQ_AFFO_PER_SHARE_DET_EST_ORIGIN" hidden="1">"c18317"</definedName>
    <definedName name="IQ_AFFO_PER_SHARE_DET_EST_ORIGIN_CIQ" hidden="1">"c18352"</definedName>
    <definedName name="IQ_AFFO_PER_SHARE_DILUTED" hidden="1">"c8870"</definedName>
    <definedName name="IQ_AFFO_PER_SHARE_EST" hidden="1">"c18112"</definedName>
    <definedName name="IQ_AFFO_PER_SHARE_EST_CIQ" hidden="1">"c18180"</definedName>
    <definedName name="IQ_AFFO_PER_SHARE_EST_NOTE" hidden="1">"c18233"</definedName>
    <definedName name="IQ_AFFO_PER_SHARE_EST_NOTE_CIQ" hidden="1">"c18240"</definedName>
    <definedName name="IQ_AFFO_PER_SHARE_GUIDANCE" hidden="1">"c18400"</definedName>
    <definedName name="IQ_AFFO_PER_SHARE_HIGH_EST" hidden="1">"c18132"</definedName>
    <definedName name="IQ_AFFO_PER_SHARE_HIGH_EST_CIQ" hidden="1">"c18194"</definedName>
    <definedName name="IQ_AFFO_PER_SHARE_HIGH_GUIDANCE" hidden="1">"c18401"</definedName>
    <definedName name="IQ_AFFO_PER_SHARE_LOW_EST" hidden="1">"c18142"</definedName>
    <definedName name="IQ_AFFO_PER_SHARE_LOW_EST_CIQ" hidden="1">"c18201"</definedName>
    <definedName name="IQ_AFFO_PER_SHARE_LOW_GUIDANCE" hidden="1">"c18402"</definedName>
    <definedName name="IQ_AFFO_PER_SHARE_MEDIAN_EST" hidden="1">"c18122"</definedName>
    <definedName name="IQ_AFFO_PER_SHARE_MEDIAN_EST_CIQ" hidden="1">"c18187"</definedName>
    <definedName name="IQ_AFFO_PER_SHARE_NUM_EST" hidden="1">"c18162"</definedName>
    <definedName name="IQ_AFFO_PER_SHARE_NUM_EST_CIQ" hidden="1">"c18215"</definedName>
    <definedName name="IQ_AFFO_PER_SHARE_STDDEV_EST" hidden="1">"c18152"</definedName>
    <definedName name="IQ_AFFO_PER_SHARE_STDDEV_EST_CIQ" hidden="1">"c18208"</definedName>
    <definedName name="IQ_AFS_INVEST_SECURITIES_FFIEC" hidden="1">"c13456"</definedName>
    <definedName name="IQ_AFS_SEC_AMOUNTS_NETTED_THRIFT" hidden="1">"c25492"</definedName>
    <definedName name="IQ_AFS_SEC_INV_SEC_THRIFT" hidden="1">"c25670"</definedName>
    <definedName name="IQ_AFS_SEC_LEVEL_1_THRIFT" hidden="1">"c25488"</definedName>
    <definedName name="IQ_AFS_SEC_LEVEL_2_THRIFT" hidden="1">"c25489"</definedName>
    <definedName name="IQ_AFS_SEC_LEVEL_3_THRIFT" hidden="1">"c25490"</definedName>
    <definedName name="IQ_AFS_SEC_THRIFT" hidden="1">"c24933"</definedName>
    <definedName name="IQ_AFS_SEC_TIER_1_CAPITAL_THRIFT" hidden="1">"c25630"</definedName>
    <definedName name="IQ_AFS_SEC_TOTAL_AFTER_NETTING_THRIFT" hidden="1">"c25493"</definedName>
    <definedName name="IQ_AFS_SEC_TOTAL_BEFORE_NETTING_THRIFT" hidden="1">"c25491"</definedName>
    <definedName name="IQ_AFS_SECURITIES_TIER_1_FFIEC" hidden="1">"c13343"</definedName>
    <definedName name="IQ_AFTER_TAX_INCOME_FDIC" hidden="1">"c6583"</definedName>
    <definedName name="IQ_AG_PROD_FARM_LOANS_DOM_QUARTERLY_AVG_FFIEC" hidden="1">"c15477"</definedName>
    <definedName name="IQ_AGENCY" hidden="1">"c8960"</definedName>
    <definedName name="IQ_AGENCY_INVEST_SECURITIES_FFIEC" hidden="1">"c13458"</definedName>
    <definedName name="IQ_AGG_BANK_OVER_TOTAL" hidden="1">"c24684"</definedName>
    <definedName name="IQ_AGG_BANK_SHARES" hidden="1">"c24686"</definedName>
    <definedName name="IQ_AGG_BANK_VALUE" hidden="1">"c24685"</definedName>
    <definedName name="IQ_AGG_COMPANY_FOUNDATION_OVER_TOTAL" hidden="1">"c13769"</definedName>
    <definedName name="IQ_AGG_COMPANY_FOUNDATION_SHARES" hidden="1">"c13783"</definedName>
    <definedName name="IQ_AGG_COMPANY_FOUNDATION_VALUE" hidden="1">"c13776"</definedName>
    <definedName name="IQ_AGG_CORPORATE_OVER_TOTAL" hidden="1">"c13767"</definedName>
    <definedName name="IQ_AGG_CORPORATE_SHARES" hidden="1">"c13781"</definedName>
    <definedName name="IQ_AGG_CORPORATE_VALUE" hidden="1">"c13774"</definedName>
    <definedName name="IQ_AGG_ENDOWMENT_OVER_TOTAL" hidden="1">"c24678"</definedName>
    <definedName name="IQ_AGG_ENDOWMENT_SHARES" hidden="1">"c24680"</definedName>
    <definedName name="IQ_AGG_ENDOWMENT_VALUE" hidden="1">"c24679"</definedName>
    <definedName name="IQ_AGG_ESOP_OVER_TOTAL" hidden="1">"c13768"</definedName>
    <definedName name="IQ_AGG_ESOP_SHARES" hidden="1">"c13782"</definedName>
    <definedName name="IQ_AGG_ESOP_VALUE" hidden="1">"c13775"</definedName>
    <definedName name="IQ_AGG_FAMILY_OVER_TOTAL" hidden="1">"c24687"</definedName>
    <definedName name="IQ_AGG_FAMILY_SHARES" hidden="1">"c24689"</definedName>
    <definedName name="IQ_AGG_FAMILY_VALUE" hidden="1">"c24688"</definedName>
    <definedName name="IQ_AGG_FOUNDATION_SHARES" hidden="1">"c24731"</definedName>
    <definedName name="IQ_AGG_FOUNDATION_VALUE" hidden="1">"c24732"</definedName>
    <definedName name="IQ_AGG_HEDGEFUND_OVER_TOTAL" hidden="1">"c13771"</definedName>
    <definedName name="IQ_AGG_HEDGEFUND_SHARES" hidden="1">"c13785"</definedName>
    <definedName name="IQ_AGG_HEDGEFUND_VALUE" hidden="1">"c13778"</definedName>
    <definedName name="IQ_AGG_INSIDER_OVER_TOTAL" hidden="1">"c1581"</definedName>
    <definedName name="IQ_AGG_INSIDER_SHARES" hidden="1">"c13780"</definedName>
    <definedName name="IQ_AGG_INSIDER_VALUE" hidden="1">"c13773"</definedName>
    <definedName name="IQ_AGG_INSTITUTION_HEDGEFUND_OVER_TOTAL" hidden="1">"c24711"</definedName>
    <definedName name="IQ_AGG_INSTITUTION_HEDGEFUND_SHARES" hidden="1">"c24713"</definedName>
    <definedName name="IQ_AGG_INSTITUTION_HEDGEFUND_VALUE" hidden="1">"c24712"</definedName>
    <definedName name="IQ_AGG_INSTITUTION_SOVEREIGN_OVER_TOTAL" hidden="1">"c24717"</definedName>
    <definedName name="IQ_AGG_INSTITUTION_SOVEREIGN_SHARES" hidden="1">"c24719"</definedName>
    <definedName name="IQ_AGG_INSTITUTION_SOVEREIGN_VALUE" hidden="1">"c24718"</definedName>
    <definedName name="IQ_AGG_INSTITUTION_UNCLASSIFIED_OVER_TOTAL" hidden="1">"c24696"</definedName>
    <definedName name="IQ_AGG_INSTITUTION_UNCLASSIFIED_SHARES" hidden="1">"c24698"</definedName>
    <definedName name="IQ_AGG_INSTITUTION_UNCLASSIFIED_VALUE" hidden="1">"c24697"</definedName>
    <definedName name="IQ_AGG_INSTITUTION_VC_PE_OVER_TOTAL" hidden="1">"c24714"</definedName>
    <definedName name="IQ_AGG_INSTITUTION_VC_PE_SHARES" hidden="1">"c24716"</definedName>
    <definedName name="IQ_AGG_INSTITUTION_VC_PE_VALUE" hidden="1">"c24715"</definedName>
    <definedName name="IQ_AGG_INSTITUTIONAL_OVER_TOTAL" hidden="1">"c1580"</definedName>
    <definedName name="IQ_AGG_INSTITUTIONAL_SHARES" hidden="1">"c13779"</definedName>
    <definedName name="IQ_AGG_INSTITUTIONAL_VALUE" hidden="1">"c13772"</definedName>
    <definedName name="IQ_AGG_INSURANCE_OVER_TOTAL" hidden="1">"c24681"</definedName>
    <definedName name="IQ_AGG_INSURANCE_SHARES" hidden="1">"c24683"</definedName>
    <definedName name="IQ_AGG_INSURANCE_VALUE" hidden="1">"c24682"</definedName>
    <definedName name="IQ_AGG_MONEY_MANAGERS_OVER_TOTAL" hidden="1">"c24669"</definedName>
    <definedName name="IQ_AGG_MONEY_MANAGERS_SHARES" hidden="1">"c24671"</definedName>
    <definedName name="IQ_AGG_MONEY_MANAGERS_VALUE" hidden="1">"c24670"</definedName>
    <definedName name="IQ_AGG_OTHER_OVER_TOTAL" hidden="1">"c13770"</definedName>
    <definedName name="IQ_AGG_OTHER_SHARES" hidden="1">"c13784"</definedName>
    <definedName name="IQ_AGG_OTHER_VALUE" hidden="1">"c13777"</definedName>
    <definedName name="IQ_AGG_PENSION_OVER_TOTAL" hidden="1">"c24675"</definedName>
    <definedName name="IQ_AGG_PENSION_SHARES" hidden="1">"c24677"</definedName>
    <definedName name="IQ_AGG_PENSION_VALUE" hidden="1">"c24676"</definedName>
    <definedName name="IQ_AGG_REIT_OVER_TOTAL" hidden="1">"c24693"</definedName>
    <definedName name="IQ_AGG_REIT_SHARES" hidden="1">"c24695"</definedName>
    <definedName name="IQ_AGG_REIT_VALUE" hidden="1">"c24694"</definedName>
    <definedName name="IQ_AGG_SOVEREIGN_OVER_TOTAL" hidden="1">"c24690"</definedName>
    <definedName name="IQ_AGG_SOVEREIGN_SHARES" hidden="1">"c24692"</definedName>
    <definedName name="IQ_AGG_SOVEREIGN_VALUE" hidden="1">"c24691"</definedName>
    <definedName name="IQ_AGG_STATE_OVER_TOTAL" hidden="1">"c24705"</definedName>
    <definedName name="IQ_AGG_STATE_SHARES" hidden="1">"c24707"</definedName>
    <definedName name="IQ_AGG_STATE_VALUE" hidden="1">"c24706"</definedName>
    <definedName name="IQ_AGG_STRATEGIC_CORP_PRIVATE_OVER_TOTAL" hidden="1">"c24702"</definedName>
    <definedName name="IQ_AGG_STRATEGIC_CORP_PRIVATE_SHARES" hidden="1">"c24704"</definedName>
    <definedName name="IQ_AGG_STRATEGIC_CORP_PRIVATE_VALUE" hidden="1">"c24703"</definedName>
    <definedName name="IQ_AGG_STRATEGIC_CORP_PUBLIC_OVER_TOTAL" hidden="1">"c24699"</definedName>
    <definedName name="IQ_AGG_STRATEGIC_CORP_PUBLIC_SHARES" hidden="1">"c24701"</definedName>
    <definedName name="IQ_AGG_STRATEGIC_CORP_PUBLIC_VALUE" hidden="1">"c24700"</definedName>
    <definedName name="IQ_AGG_STRATEGIC_HEDGEFUND_OVER_TOTAL" hidden="1">"c24726"</definedName>
    <definedName name="IQ_AGG_STRATEGIC_HEDGEFUND_SHARES" hidden="1">"c24728"</definedName>
    <definedName name="IQ_AGG_STRATEGIC_HEDGEFUND_VALUE" hidden="1">"c24727"</definedName>
    <definedName name="IQ_AGG_STRATEGIC_OVER_TOTAL" hidden="1">"c24708"</definedName>
    <definedName name="IQ_AGG_STRATEGIC_SHARES" hidden="1">"c24710"</definedName>
    <definedName name="IQ_AGG_STRATEGIC_SWF_OVER_TOTAL" hidden="1">"c24723"</definedName>
    <definedName name="IQ_AGG_STRATEGIC_SWF_SHARES" hidden="1">"c24725"</definedName>
    <definedName name="IQ_AGG_STRATEGIC_SWF_VALUE" hidden="1">"c24724"</definedName>
    <definedName name="IQ_AGG_STRATEGIC_VALUE" hidden="1">"c24709"</definedName>
    <definedName name="IQ_AGG_STRATEGIC_VC_PE_OVER_TOTAL" hidden="1">"c24720"</definedName>
    <definedName name="IQ_AGG_STRATEGIC_VC_PE_SHARES" hidden="1">"c24722"</definedName>
    <definedName name="IQ_AGG_STRATEGIC_VC_PE_VALUE" hidden="1">"c24721"</definedName>
    <definedName name="IQ_AGG_VC_PE_OVER_TOTAL" hidden="1">"c24672"</definedName>
    <definedName name="IQ_AGG_VC_PE_SHARES" hidden="1">"c24674"</definedName>
    <definedName name="IQ_AGG_VC_PE_VALUE" hidden="1">"c24673"</definedName>
    <definedName name="IQ_AGGREGATE_AMT_ALL_EXTENSIONS_CREDIT_THRIFT" hidden="1">"c25589"</definedName>
    <definedName name="IQ_AGGREGATE_INV_IN_SERVICE_CORPORATIONS_THRIFT" hidden="1">"c25588"</definedName>
    <definedName name="IQ_AGRICULTURAL_GROSS_LOANS_FFIEC" hidden="1">"c13413"</definedName>
    <definedName name="IQ_AGRICULTURAL_LOANS_FOREIGN_FFIEC" hidden="1">"c13481"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GRICULTURAL_RISK_BASED_FFIEC" hidden="1">"c13434"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IRCRAFT_RENT" hidden="1">"c17872"</definedName>
    <definedName name="IQ_ALL_OTHER_ASSETS_ELIGIBLE_100_PCT_RISK_WEIGHT_THRIFT" hidden="1">"c25072"</definedName>
    <definedName name="IQ_ALL_OTHER_DEPOSITS_FOREIGN_DEP_FFIEC" hidden="1">"c15347"</definedName>
    <definedName name="IQ_ALL_OTHER_FINANCIAL_ASSETS_AMOUNTS_NETTED_THRIFT" hidden="1">"c25516"</definedName>
    <definedName name="IQ_ALL_OTHER_FINANCIAL_ASSETS_LEVEL_1_THRIFT" hidden="1">"c25512"</definedName>
    <definedName name="IQ_ALL_OTHER_FINANCIAL_ASSETS_LEVEL_2_THRIFT" hidden="1">"c25513"</definedName>
    <definedName name="IQ_ALL_OTHER_FINANCIAL_ASSETS_LEVEL_3_THRIFT" hidden="1">"c25514"</definedName>
    <definedName name="IQ_ALL_OTHER_FINANCIAL_ASSETS_TOTAL_AFTER_NETTING_THRIFT" hidden="1">"c25517"</definedName>
    <definedName name="IQ_ALL_OTHER_FINANCIAL_ASSETS_TOTAL_BEFORE_NETTING_THRIFT" hidden="1">"c25515"</definedName>
    <definedName name="IQ_ALL_OTHER_FINANCIAL_LIABILITIES_AMOUNTS_NETTED_THRIFT" hidden="1">"c25558"</definedName>
    <definedName name="IQ_ALL_OTHER_FINANCIAL_LIABILITIES_LEVEL_1_THRIFT" hidden="1">"c25554"</definedName>
    <definedName name="IQ_ALL_OTHER_FINANCIAL_LIABILITIES_LEVEL_2_THRIFT" hidden="1">"c25555"</definedName>
    <definedName name="IQ_ALL_OTHER_FINANCIAL_LIABILITIES_LEVEL_3_THRIFT" hidden="1">"c25556"</definedName>
    <definedName name="IQ_ALL_OTHER_FINANCIAL_LIABILITIES_TOTAL_AFTER_NETTING_THRIFT" hidden="1">"c25559"</definedName>
    <definedName name="IQ_ALL_OTHER_FINANCIAL_LIABILITIES_TOTAL_BEFORE_NETTING_THRIFT" hidden="1">"c25557"</definedName>
    <definedName name="IQ_ALL_OTHER_INVEST_UNCONSOL_SUBS_FFIEC" hidden="1">"c15275"</definedName>
    <definedName name="IQ_ALL_OTHER_LEASES_CHARGE_OFFS_FFIEC" hidden="1">"c13185"</definedName>
    <definedName name="IQ_ALL_OTHER_LEASES_RECOV_FFIEC" hidden="1">"c13207"</definedName>
    <definedName name="IQ_ALL_OTHER_LOANS_CHARGE_OFFS_FFIEC" hidden="1">"c13183"</definedName>
    <definedName name="IQ_ALL_OTHER_LOANS_EXCL_CONSUMER_LL_REC_DOM_FFIEC" hidden="1">"c25857"</definedName>
    <definedName name="IQ_ALL_OTHER_LOANS_EXCL_CONSUMER_LL_REC_FFIEC" hidden="1">"c25853"</definedName>
    <definedName name="IQ_ALL_OTHER_LOANS_RECOV_FFIEC" hidden="1">"c13205"</definedName>
    <definedName name="IQ_ALL_OTHER_SEC_1_4_DOM_CHARGE_OFFS_FFIEC" hidden="1">"c25842"</definedName>
    <definedName name="IQ_ALL_OTHER_SEC_1_4_DOM_RECOV_FFIEC" hidden="1">"c25843"</definedName>
    <definedName name="IQ_ALL_OTHER_SEC_1_4_DUE_30_89_FFIEC" hidden="1">"c25835"</definedName>
    <definedName name="IQ_ALL_OTHER_SEC_1_4_DUE_90_FFIEC" hidden="1">"c25836"</definedName>
    <definedName name="IQ_ALL_OTHER_SEC_1_4_NON_ACCRUAL_FFIEC" hidden="1">"c25837"</definedName>
    <definedName name="IQ_ALL_OTHER_TRADING_LIABILITIES_DOM_FFIEC" hidden="1">"c12942"</definedName>
    <definedName name="IQ_ALL_OTHER_UNUSED_FFIEC" hidden="1">"c25861"</definedName>
    <definedName name="IQ_ALL_STATEMENTS_AP" hidden="1">"c25895"</definedName>
    <definedName name="IQ_ALL_STATEMENTS_AP_CO" hidden="1">"c25896"</definedName>
    <definedName name="IQ_ALL_STATEMENTS_INDUSTRY" hidden="1">"c25891"</definedName>
    <definedName name="IQ_ALL_STATEMENTS_INDUSTRY_CO" hidden="1">"c25892"</definedName>
    <definedName name="IQ_ALL_STATEMENTS_STANDARD" hidden="1">"c25893"</definedName>
    <definedName name="IQ_ALL_STATEMENTS_STANDARD_CO" hidden="1">"c25894"</definedName>
    <definedName name="IQ_ALLOW_BORROW_CONST" hidden="1">"c15"</definedName>
    <definedName name="IQ_ALLOW_CONST" localSheetId="12" hidden="1">"c1342"</definedName>
    <definedName name="IQ_ALLOW_CONST" localSheetId="7" hidden="1">"c1342"</definedName>
    <definedName name="IQ_ALLOW_CONST" hidden="1">"c292"</definedName>
    <definedName name="IQ_ALLOW_DOUBT_ACCT" hidden="1">"c2092"</definedName>
    <definedName name="IQ_ALLOW_EQUITY_CONST" hidden="1">"c16"</definedName>
    <definedName name="IQ_ALLOW_LL" hidden="1">"c17"</definedName>
    <definedName name="IQ_ALLOW_LL_LOSSES_FFIEC" hidden="1">"c12810"</definedName>
    <definedName name="IQ_ALLOW_MORTGAGE_LL_LOSSES_THRIFT" hidden="1">"c24851"</definedName>
    <definedName name="IQ_ALLOW_NON_MORTGAGE_LOAN_LL_THRIFT" hidden="1">"c24867"</definedName>
    <definedName name="IQ_ALLOWABLE_T2_CAPITAL_FFIEC" hidden="1">"c13150"</definedName>
    <definedName name="IQ_ALLOWABLE_TIER_2_CAPITAL_T2_THRIFT" hidden="1">"c25046"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AMT_INCLUDED_IN_ALLOWANCE_LOAN_LEASE_LOSSES_PURCHASED_CREDIT_IMPAIRED_LOANS_THRIFT" hidden="1">"c25239"</definedName>
    <definedName name="IQ_ALLOWANCE_CHARGE_OFFS" hidden="1">"c24"</definedName>
    <definedName name="IQ_ALLOWANCE_CREDIT_LOSSES_OFF_BS_FFIEC" hidden="1">"c12871"</definedName>
    <definedName name="IQ_ALLOWANCE_LL_LOSSES_T2_FFIEC" hidden="1">"c13146"</definedName>
    <definedName name="IQ_ALLOWANCE_NON_PERF_LOANS" hidden="1">"c25"</definedName>
    <definedName name="IQ_ALLOWANCE_TOTAL_LOANS" hidden="1">"c26"</definedName>
    <definedName name="IQ_ALLOWANCES_LL_LOSSES_T2_THRIFT" hidden="1">"c25043"</definedName>
    <definedName name="IQ_AMENDED_BALANCE_PREVIOUS_YR_FDIC" hidden="1">"c6499"</definedName>
    <definedName name="IQ_AMORT_EXP_IMPAIRMENT_OTHER_INTANGIBLE_ASSETS_FFIEC" hidden="1">"c13026"</definedName>
    <definedName name="IQ_AMORT_EXPENSE_FDIC" hidden="1">"c6677"</definedName>
    <definedName name="IQ_AMORT_LOAN_SERVICING_ASSETS_LIABILITIES_THRIFT" hidden="1">"c24767"</definedName>
    <definedName name="IQ_AMORTIZATION" localSheetId="12" hidden="1">"c1591"</definedName>
    <definedName name="IQ_AMORTIZATION" localSheetId="7" hidden="1">"c1591"</definedName>
    <definedName name="IQ_AMORTIZATION" hidden="1">"c121"</definedName>
    <definedName name="IQ_AMORTIZED_COST_FDIC" hidden="1">"c6426"</definedName>
    <definedName name="IQ_AMOUNT_FINANCIAL_LOC_CONVEYED_FFIEC" hidden="1">"c13250"</definedName>
    <definedName name="IQ_AMOUNT_PERFORMANCE_LOC_CONVEYED_FFIEC" hidden="1">"c13252"</definedName>
    <definedName name="IQ_AMT_DIRECT_CREDIT_SUBSTITUTES_ASSETS_THRIFT" hidden="1">"c25616"</definedName>
    <definedName name="IQ_AMT_LOW_LEVEL_RECOURSE_RESIDUAL_INTERESTS_BEFORE_RISK_WEIGHTING_THRIFT" hidden="1">"c25074"</definedName>
    <definedName name="IQ_AMT_NONINTEREST_BEARING_TRANSACTION_ACCOUNTS_MORE_THAN_250000_THRIFT" hidden="1">"c25582"</definedName>
    <definedName name="IQ_AMT_OUT" hidden="1">"c2145"</definedName>
    <definedName name="IQ_AMT_RECOURSE_OBLIGATIONS_ASSETS_THRIFT" hidden="1">"c25617"</definedName>
    <definedName name="IQ_AMT_RECOURSE_OBLIGATIONS_LOANS_THRIFT" hidden="1">"c25618"</definedName>
    <definedName name="IQ_AMT_RECOURSE_OBLIGATIONS_LOANS_WHERE_RECOURSE_IS_120_DAYS_LESS_THRIFT" hidden="1">"c25619"</definedName>
    <definedName name="IQ_AMT_RECOURSE_OBLIGATIONS_LOANS_WHERE_RECOURSE_IS_GREATER_THAN_120_DAYS_THRIFT" hidden="1">"c25620"</definedName>
    <definedName name="IQ_AMT_THIS_QUARTER_TROUBLED_DEBT_RESTRUCTURED_THRIFT" hidden="1">"c25229"</definedName>
    <definedName name="IQ_ANALYST_DET_EST" hidden="1">"c12043"</definedName>
    <definedName name="IQ_ANALYST_DET_EST_CIQ" hidden="1">"c12103"</definedName>
    <definedName name="IQ_ANALYST_EMAIL" hidden="1">"c13738"</definedName>
    <definedName name="IQ_ANALYST_NAME" hidden="1">"c13736"</definedName>
    <definedName name="IQ_ANALYST_NON_PER_DET_EST" hidden="1">"c12755"</definedName>
    <definedName name="IQ_ANALYST_NON_PER_DET_EST_CIQ" hidden="1">"c12756"</definedName>
    <definedName name="IQ_ANALYST_PHONE" hidden="1">"c13737"</definedName>
    <definedName name="IQ_ANALYST_START_DATE" hidden="1">"c13740"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NNUITY_SALES_FEES_COMMISSIONS_FFIEC" hidden="1">"c13007"</definedName>
    <definedName name="IQ_AOCI_THRIFT" hidden="1">"c24920"</definedName>
    <definedName name="IQ_AP" hidden="1">"c32"</definedName>
    <definedName name="IQ_AP_BNK" hidden="1">"c33"</definedName>
    <definedName name="IQ_AP_BR" hidden="1">"c34"</definedName>
    <definedName name="IQ_AP_CM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PIC_THRIFT" hidden="1">"c24918"</definedName>
    <definedName name="IQ_APPLICABLE_INCOME_TAXES_AVG_ASSETS_THRIFT" hidden="1">"c25657"</definedName>
    <definedName name="IQ_APPLICABLE_INCOME_TAXES_FTE_FFIEC" hidden="1">"c13853"</definedName>
    <definedName name="IQ_AR" hidden="1">"c40"</definedName>
    <definedName name="IQ_AR_BR" hidden="1">"c41"</definedName>
    <definedName name="IQ_AR_CM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RPU_ANALOG_CABLE" hidden="1">"c2864"</definedName>
    <definedName name="IQ_ARPU_BASIC_CABLE" hidden="1">"c2866"</definedName>
    <definedName name="IQ_ARPU_BBAND" hidden="1">"c2867"</definedName>
    <definedName name="IQ_ARPU_DIG_CABLE" hidden="1">"c2865"</definedName>
    <definedName name="IQ_ARPU_PHONE" hidden="1">"c2868"</definedName>
    <definedName name="IQ_ARPU_POSTPAID_WIRELESS" hidden="1">"c15758"</definedName>
    <definedName name="IQ_ARPU_PREPAID_WIRELESS" hidden="1">"c15759"</definedName>
    <definedName name="IQ_ARPU_RETAIL_WIRELESS" hidden="1">"c15760"</definedName>
    <definedName name="IQ_ARPU_SATELLITE" hidden="1">"c15790"</definedName>
    <definedName name="IQ_ARPU_TOTAL" hidden="1">"c2869"</definedName>
    <definedName name="IQ_ARPU_WHOLESALE_WIRELESS" hidden="1">"c15761"</definedName>
    <definedName name="IQ_ARPU_WIRELESS" hidden="1">"c2126"</definedName>
    <definedName name="IQ_ASK_DATE_RT" hidden="1">"ASKDATE"</definedName>
    <definedName name="IQ_ASK_NUM_ORDERS_RT" hidden="1">"ASKNUMBERORDERS"</definedName>
    <definedName name="IQ_ASK_PRICE_RT" hidden="1">"ASK"</definedName>
    <definedName name="IQ_ASK_TIME_RT" hidden="1">"ASKTIME"</definedName>
    <definedName name="IQ_ASK_VOLUME_RT" hidden="1">"ASKVOLUME"</definedName>
    <definedName name="IQ_ASKPRICE" hidden="1">"c13927"</definedName>
    <definedName name="IQ_ASSET_BACKED_FDIC" hidden="1">"c6301"</definedName>
    <definedName name="IQ_ASSET_BACKED_SEC_INV_SEC_THRIFT" hidden="1">"c25674"</definedName>
    <definedName name="IQ_ASSET_MANAGED_GROWTH_RATE" hidden="1">"c20434"</definedName>
    <definedName name="IQ_ASSET_MGMT_FEE" hidden="1">"c46"</definedName>
    <definedName name="IQ_ASSET_TURNS" localSheetId="12" hidden="1">"c47"</definedName>
    <definedName name="IQ_ASSET_TURNS" localSheetId="7" hidden="1">"c47"</definedName>
    <definedName name="IQ_ASSET_TURNS" hidden="1">"c148"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CM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CM" hidden="1">"c50"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SUPPLE" hidden="1">"c13812"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EXCLUDED_PURPOSES_OTS_ASSESSMENT_COMPLEXITY_COMPONENT_MANAGED_ASSETS_THRIFT" hidden="1">"c25356"</definedName>
    <definedName name="IQ_ASSETS_EXCLUDED_PURPOSES_OTS_ASSESSMENT_COMPLEXITY_COMPONENT_NONMANAGED_ASSETS_THRIFT" hidden="1">"c25378"</definedName>
    <definedName name="IQ_ASSETS_FAIR_VALUE" hidden="1">"c13843"</definedName>
    <definedName name="IQ_ASSETS_HELD_FDIC" hidden="1">"c6305"</definedName>
    <definedName name="IQ_ASSETS_HFS_THRIFT" hidden="1">"c24934"</definedName>
    <definedName name="IQ_ASSETS_LEVEL_1" hidden="1">"c13839"</definedName>
    <definedName name="IQ_ASSETS_LEVEL_2" hidden="1">"c13840"</definedName>
    <definedName name="IQ_ASSETS_LEVEL_3" hidden="1">"c13841"</definedName>
    <definedName name="IQ_ASSETS_LOSS_SHARING_DEBT_SEC_FFIEC" hidden="1">"c25867"</definedName>
    <definedName name="IQ_ASSETS_LOSS_SHARING_FFIEC" hidden="1">"c25864"</definedName>
    <definedName name="IQ_ASSETS_LOSS_SHARING_LL_FFIEC" hidden="1">"c25865"</definedName>
    <definedName name="IQ_ASSETS_LOSS_SHARING_OREO_FFIEC" hidden="1">"c25866"</definedName>
    <definedName name="IQ_ASSETS_LOSS_SHARING_OTHER_FFIEC" hidden="1">"c25868"</definedName>
    <definedName name="IQ_ASSETS_NAME_AP" hidden="1">"c8921"</definedName>
    <definedName name="IQ_ASSETS_NAME_AP_ABS" hidden="1">"c8940"</definedName>
    <definedName name="IQ_ASSETS_NETTING_OTHER_ADJUSTMENTS" hidden="1">"c13842"</definedName>
    <definedName name="IQ_ASSETS_NON_INCLUDABLE_SUBS_ADJUSTED_ASSETS_THRIFT" hidden="1">"c25031"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PER_EMPLOYEE_THRIFT" hidden="1">"c25783"</definedName>
    <definedName name="IQ_ASSETS_REPRICE_ASSETS_TOT_FFIEC" hidden="1">"c13454"</definedName>
    <definedName name="IQ_ASSETS_RISK_WEIGHT_THRIFT" hidden="1">"c25076"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ETS_UNDER_ADMINISTRATION" hidden="1">"c20432"</definedName>
    <definedName name="IQ_ASSIGNED_RESERVES_COAL" hidden="1">"c15912"</definedName>
    <definedName name="IQ_ASSIGNED_RESERVES_TO_TOTAL_RESERVES_COAL" hidden="1">"c15955"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LOSSES" hidden="1">"c15870"</definedName>
    <definedName name="IQ_ASSUMED_PC_EARNED" hidden="1">"c2746"</definedName>
    <definedName name="IQ_ASSUMED_PREMIUMS_EARNED_GROSS_PREMIUMS_EARNED" hidden="1">"c15886"</definedName>
    <definedName name="IQ_ASSUMED_PREMIUMS_WRITTEN_GROSS_PREMIUMS_WRITTEN" hidden="1">"c15884"</definedName>
    <definedName name="IQ_ASSUMED_WRITTEN" hidden="1">"c2725"</definedName>
    <definedName name="IQ_ATM_FEES_FFIEC" hidden="1">"c13042"</definedName>
    <definedName name="IQ_ATM_INTERCHANGE_EXPENSES_FFIEC" hidden="1">"c13056"</definedName>
    <definedName name="IQ_AUDITOR_NAME" hidden="1">"c1539"</definedName>
    <definedName name="IQ_AUDITOR_OPINION" hidden="1">"c1540"</definedName>
    <definedName name="IQ_AUM" hidden="1">"c10043"</definedName>
    <definedName name="IQ_AUM_ACQUISITIONS_TRANSFERS" hidden="1">"c20415"</definedName>
    <definedName name="IQ_AUM_AVERAGE" hidden="1">"c20418"</definedName>
    <definedName name="IQ_AUM_BOP" hidden="1">"c20409"</definedName>
    <definedName name="IQ_AUM_CASH_FLOWS_DIVIDENDS" hidden="1">"c20413"</definedName>
    <definedName name="IQ_AUM_DOMESTIC" hidden="1">"c20400"</definedName>
    <definedName name="IQ_AUM_EOP" hidden="1">"c20417"</definedName>
    <definedName name="IQ_AUM_EQUITY_FUNDS" hidden="1">"c10039"</definedName>
    <definedName name="IQ_AUM_FEE_EARNING" hidden="1">"c20402"</definedName>
    <definedName name="IQ_AUM_FIXED_INCOME_FUNDS" hidden="1">"c10040"</definedName>
    <definedName name="IQ_AUM_FOREIGN" hidden="1">"c20401"</definedName>
    <definedName name="IQ_AUM_HIGH_NET_WORTH" hidden="1">"c20398"</definedName>
    <definedName name="IQ_AUM_INFLOWS" hidden="1">"c20410"</definedName>
    <definedName name="IQ_AUM_INSTITUTIONAL" hidden="1">"c20396"</definedName>
    <definedName name="IQ_AUM_INSTITUTIONAL_CUSTOMERS" hidden="1">"c20405"</definedName>
    <definedName name="IQ_AUM_MARKET_APPRECIATION_DEPRECIATION" hidden="1">"c20414"</definedName>
    <definedName name="IQ_AUM_MONEY_MARKET_FUNDS" hidden="1">"c10041"</definedName>
    <definedName name="IQ_AUM_NET_CHANGE" hidden="1">"c20419"</definedName>
    <definedName name="IQ_AUM_NET_INFLOWS_OUTFLOWS" hidden="1">"c20412"</definedName>
    <definedName name="IQ_AUM_NON_FEE_EARNING" hidden="1">"c20403"</definedName>
    <definedName name="IQ_AUM_OTHER" hidden="1">"c10042"</definedName>
    <definedName name="IQ_AUM_OTHER_ADJUSTMENTS" hidden="1">"c20416"</definedName>
    <definedName name="IQ_AUM_OTHER_CLIENTS" hidden="1">"c20399"</definedName>
    <definedName name="IQ_AUM_OTHER_CUSTOMERS" hidden="1">"c20407"</definedName>
    <definedName name="IQ_AUM_OUTFLOWS" hidden="1">"c20411"</definedName>
    <definedName name="IQ_AUM_PRIVATE_EQUITY" hidden="1">"c20394"</definedName>
    <definedName name="IQ_AUM_REAL_ESTATE" hidden="1">"c20395"</definedName>
    <definedName name="IQ_AUM_RETAIL" hidden="1">"c20397"</definedName>
    <definedName name="IQ_AUM_RETAIL_CUSTOMERS" hidden="1">"c20404"</definedName>
    <definedName name="IQ_AUM_SME_CUSTOMERS" hidden="1">"c20406"</definedName>
    <definedName name="IQ_AUM_TOTAL_CUSTOMERS" hidden="1">"c20408"</definedName>
    <definedName name="IQ_AUTO_LOANS_THRIFT" hidden="1">"c24862"</definedName>
    <definedName name="IQ_AUTO_LOANS_TOTAL_LOANS" hidden="1">"c15713"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_FOR_SALE_FAIR_VALUE_TOT_FFIEC" hidden="1">"c15399"</definedName>
    <definedName name="IQ_AVAIL_FOR_SALE_LEVEL_1_FFIEC" hidden="1">"c15421"</definedName>
    <definedName name="IQ_AVAIL_FOR_SALE_LEVEL_2_FFIEC" hidden="1">"c15434"</definedName>
    <definedName name="IQ_AVAIL_FOR_SALE_LEVEL_3_FFIEC" hidden="1">"c15447"</definedName>
    <definedName name="IQ_AVAILABLE_FOR_SALE_FDIC" hidden="1">"c6409"</definedName>
    <definedName name="IQ_AVAILABLE_SALE_SEC_FFIEC" hidden="1">"c12791"</definedName>
    <definedName name="IQ_AVERAGE_ASSETS_FDIC" hidden="1">"c6362"</definedName>
    <definedName name="IQ_AVERAGE_ASSETS_QUART_FDIC" hidden="1">"c6363"</definedName>
    <definedName name="IQ_AVERAGE_DEPOSITS" hidden="1">"c15256"</definedName>
    <definedName name="IQ_AVERAGE_EARNING_ASSETS_FDIC" hidden="1">"c6748"</definedName>
    <definedName name="IQ_AVERAGE_EQUITY_FDIC" hidden="1">"c6749"</definedName>
    <definedName name="IQ_AVERAGE_INTEREST_BEARING_DEPOSITS" hidden="1">"c15254"</definedName>
    <definedName name="IQ_AVERAGE_LOANS_FDIC" hidden="1">"c6750"</definedName>
    <definedName name="IQ_AVERAGE_LOANS_HFI" hidden="1">"c15251"</definedName>
    <definedName name="IQ_AVERAGE_LOANS_HFS" hidden="1">"c15252"</definedName>
    <definedName name="IQ_AVERAGE_NON_INTEREST_BEARING_DEPOSITS" hidden="1">"c15255"</definedName>
    <definedName name="IQ_AVG_BANK_ASSETS" hidden="1">"c2072"</definedName>
    <definedName name="IQ_AVG_BANK_LOANS" hidden="1">"c2073"</definedName>
    <definedName name="IQ_AVG_BROKER_REC" localSheetId="12" hidden="1">"c63"</definedName>
    <definedName name="IQ_AVG_BROKER_REC" localSheetId="7" hidden="1">"c63"</definedName>
    <definedName name="IQ_AVG_BROKER_REC" hidden="1">"c278"</definedName>
    <definedName name="IQ_AVG_BROKER_REC_CIQ" hidden="1">"c3612"</definedName>
    <definedName name="IQ_AVG_BROKER_REC_NO" localSheetId="12" hidden="1">"c64"</definedName>
    <definedName name="IQ_AVG_BROKER_REC_NO" localSheetId="7" hidden="1">"c64"</definedName>
    <definedName name="IQ_AVG_BROKER_REC_NO" hidden="1">"c279"</definedName>
    <definedName name="IQ_AVG_BROKER_REC_NO_CIQ" hidden="1">"c4657"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DEPOSITS_ESCROWS_THRIFT" hidden="1">"c24950"</definedName>
    <definedName name="IQ_AVG_DEPOSITS_INV_EXCLUDING_NON_INT_EARNING_ITEMS_THRIFT" hidden="1">"c24947"</definedName>
    <definedName name="IQ_AVG_EARNING_ASSETS_AVG_ASSETS_THRIFT" hidden="1">"c25645"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" hidden="1">"c4455"</definedName>
    <definedName name="IQ_AVG_INDUSTRY_REC_CIQ" hidden="1">"c4984"</definedName>
    <definedName name="IQ_AVG_INDUSTRY_REC_NO" hidden="1">"c4454"</definedName>
    <definedName name="IQ_AVG_INDUSTRY_REC_NO_CIQ" hidden="1">"c4983"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BEARING_FUNDS_AVG_ASSETS_THRIFT" hidden="1">"c25646"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INV_HOMEBUILDING" hidden="1">"c15812"</definedName>
    <definedName name="IQ_AVG_INV_HOMES" hidden="1">"c15810"</definedName>
    <definedName name="IQ_AVG_INV_LAND_LOTS" hidden="1">"c15811"</definedName>
    <definedName name="IQ_AVG_MKTCAP" hidden="1">"c80"</definedName>
    <definedName name="IQ_AVG_MORTGAGE_LOANS_MBS_THRIFT" hidden="1">"c24948"</definedName>
    <definedName name="IQ_AVG_NON_MORTGAGE_LOANS_THRIFT" hidden="1">"c24949"</definedName>
    <definedName name="IQ_AVG_PORTFOLIO_DURATION" hidden="1">"c17693"</definedName>
    <definedName name="IQ_AVG_PRICE" localSheetId="12" hidden="1">"c81"</definedName>
    <definedName name="IQ_AVG_PRICE" localSheetId="7" hidden="1">"c81"</definedName>
    <definedName name="IQ_AVG_PRICE" hidden="1">"c253"</definedName>
    <definedName name="IQ_AVG_PRICE_TARGET" hidden="1">"c280"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REV_PER_TRADE" hidden="1">"c20431"</definedName>
    <definedName name="IQ_AVG_SHAREOUTSTANDING" hidden="1">"c83"</definedName>
    <definedName name="IQ_AVG_TEMP_EMPLOYEES" hidden="1">"c6020"</definedName>
    <definedName name="IQ_AVG_TEV" hidden="1">"c84"</definedName>
    <definedName name="IQ_AVG_TOTAL_ASSETS_LEVERAGE_CAPITAL_FFIEC" hidden="1">"c13159"</definedName>
    <definedName name="IQ_AVG_TOTAL_ASSETS_LEVERAGE_RATIO_FFIEC" hidden="1">"c13154"</definedName>
    <definedName name="IQ_AVG_TOTAL_ASSETS_THRIFT" hidden="1">"c24946"</definedName>
    <definedName name="IQ_AVG_TOTAL_BORROWINGS_THRIFT" hidden="1">"c24951"</definedName>
    <definedName name="IQ_AVG_VOLUME" localSheetId="12" hidden="1">"c1346"</definedName>
    <definedName name="IQ_AVG_VOLUME" localSheetId="7" hidden="1">"c1346"</definedName>
    <definedName name="IQ_AVG_VOLUME" hidden="1">"c254"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" hidden="1">"c8353"</definedName>
    <definedName name="IQ_BALANCE_GOODS_APR_FC_UNUSED_UNUSED_UNUSED" hidden="1">"c8353"</definedName>
    <definedName name="IQ_BALANCE_GOODS_APR_UNUSED" hidden="1">"c7473"</definedName>
    <definedName name="IQ_BALANCE_GOODS_APR_UNUSED_UNUSED_UNUSED" hidden="1">"c7473"</definedName>
    <definedName name="IQ_BALANCE_GOODS_FC_UNUSED" hidden="1">"c7693"</definedName>
    <definedName name="IQ_BALANCE_GOODS_FC_UNUSED_UNUSED_UNUSED" hidden="1">"c7693"</definedName>
    <definedName name="IQ_BALANCE_GOODS_POP_FC_UNUSED" hidden="1">"c7913"</definedName>
    <definedName name="IQ_BALANCE_GOODS_POP_FC_UNUSED_UNUSED_UNUSED" hidden="1">"c7913"</definedName>
    <definedName name="IQ_BALANCE_GOODS_POP_UNUSED" hidden="1">"c7033"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" hidden="1">"c6813"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" hidden="1">"c8133"</definedName>
    <definedName name="IQ_BALANCE_GOODS_YOY_FC_UNUSED_UNUSED_UNUSED" hidden="1">"c8133"</definedName>
    <definedName name="IQ_BALANCE_GOODS_YOY_UNUSED" hidden="1">"c7253"</definedName>
    <definedName name="IQ_BALANCE_GOODS_YOY_UNUSED_UNUSED_UNUSED" hidden="1">"c7253"</definedName>
    <definedName name="IQ_BALANCE_SERV_APR_FC_UNUSED" hidden="1">"c8355"</definedName>
    <definedName name="IQ_BALANCE_SERV_APR_FC_UNUSED_UNUSED_UNUSED" hidden="1">"c8355"</definedName>
    <definedName name="IQ_BALANCE_SERV_APR_UNUSED" hidden="1">"c7475"</definedName>
    <definedName name="IQ_BALANCE_SERV_APR_UNUSED_UNUSED_UNUSED" hidden="1">"c7475"</definedName>
    <definedName name="IQ_BALANCE_SERV_FC_UNUSED" hidden="1">"c7695"</definedName>
    <definedName name="IQ_BALANCE_SERV_FC_UNUSED_UNUSED_UNUSED" hidden="1">"c7695"</definedName>
    <definedName name="IQ_BALANCE_SERV_POP_FC_UNUSED" hidden="1">"c7915"</definedName>
    <definedName name="IQ_BALANCE_SERV_POP_FC_UNUSED_UNUSED_UNUSED" hidden="1">"c7915"</definedName>
    <definedName name="IQ_BALANCE_SERV_POP_UNUSED" hidden="1">"c7035"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" hidden="1">"c6815"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" hidden="1">"c8135"</definedName>
    <definedName name="IQ_BALANCE_SERV_YOY_FC_UNUSED_UNUSED_UNUSED" hidden="1">"c8135"</definedName>
    <definedName name="IQ_BALANCE_SERV_YOY_UNUSED" hidden="1">"c7255"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SHEET_AP" hidden="1">"c25883"</definedName>
    <definedName name="IQ_BALANCE_SHEET_AP_CO" hidden="1">"c25884"</definedName>
    <definedName name="IQ_BALANCE_SHEET_INDUSTRY" hidden="1">"c25879"</definedName>
    <definedName name="IQ_BALANCE_SHEET_INDUSTRY_CO" hidden="1">"c25880"</definedName>
    <definedName name="IQ_BALANCE_SHEET_STANDARD" hidden="1">"c25881"</definedName>
    <definedName name="IQ_BALANCE_SHEET_STANDARD_CO" hidden="1">"c25882"</definedName>
    <definedName name="IQ_BALANCE_TRADE_APR_FC_UNUSED" hidden="1">"c8357"</definedName>
    <definedName name="IQ_BALANCE_TRADE_APR_FC_UNUSED_UNUSED_UNUSED" hidden="1">"c8357"</definedName>
    <definedName name="IQ_BALANCE_TRADE_APR_UNUSED" hidden="1">"c7477"</definedName>
    <definedName name="IQ_BALANCE_TRADE_APR_UNUSED_UNUSED_UNUSED" hidden="1">"c7477"</definedName>
    <definedName name="IQ_BALANCE_TRADE_FC_UNUSED" hidden="1">"c7697"</definedName>
    <definedName name="IQ_BALANCE_TRADE_FC_UNUSED_UNUSED_UNUSED" hidden="1">"c7697"</definedName>
    <definedName name="IQ_BALANCE_TRADE_POP_FC_UNUSED" hidden="1">"c7917"</definedName>
    <definedName name="IQ_BALANCE_TRADE_POP_FC_UNUSED_UNUSED_UNUSED" hidden="1">"c7917"</definedName>
    <definedName name="IQ_BALANCE_TRADE_POP_UNUSED" hidden="1">"c7037"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" hidden="1">"c6817"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" hidden="1">"c8137"</definedName>
    <definedName name="IQ_BALANCE_TRADE_YOY_FC_UNUSED_UNUSED_UNUSED" hidden="1">"c8137"</definedName>
    <definedName name="IQ_BALANCE_TRADE_YOY_UNUSED" hidden="1">"c7257"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LOAN_LIST" hidden="1">"c13507"</definedName>
    <definedName name="IQ_BANK_OWNED_LIFE_INSURANCE_THRIFT" hidden="1">"c24884"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ING_FEES_OPERATING_INC_FFIEC" hidden="1">"c13386"</definedName>
    <definedName name="IQ_BANKS_FOREIGN_COUNTRIES_NON_TRANS_ACCTS_FFIEC" hidden="1">"c15326"</definedName>
    <definedName name="IQ_BANKS_FOREIGN_COUNTRIES_TOTAL_DEPOSITS_FDIC" hidden="1">"c6475"</definedName>
    <definedName name="IQ_BANKS_FOREIGN_COUNTRIES_TRANS_ACCTS_FFIEC" hidden="1">"c15318"</definedName>
    <definedName name="IQ_BASE_RENT" hidden="1">"c16017"</definedName>
    <definedName name="IQ_BASE_RENT_OPERATING_LEASE_EXPIRING_AFTER_FIVE" hidden="1">"c16107"</definedName>
    <definedName name="IQ_BASE_RENT_OPERATING_LEASE_EXPIRING_CY" hidden="1">"c16101"</definedName>
    <definedName name="IQ_BASE_RENT_OPERATING_LEASE_EXPIRING_CY1" hidden="1">"c16102"</definedName>
    <definedName name="IQ_BASE_RENT_OPERATING_LEASE_EXPIRING_CY2" hidden="1">"c16103"</definedName>
    <definedName name="IQ_BASE_RENT_OPERATING_LEASE_EXPIRING_CY3" hidden="1">"c16104"</definedName>
    <definedName name="IQ_BASE_RENT_OPERATING_LEASE_EXPIRING_CY4" hidden="1">"c16105"</definedName>
    <definedName name="IQ_BASE_RENT_OPERATING_LEASE_EXPIRING_NEXT_FIVE" hidden="1">"c16106"</definedName>
    <definedName name="IQ_BASE_RENT_OPERATING_LEASE_EXPIRING_TOTAL" hidden="1">"c16108"</definedName>
    <definedName name="IQ_BASE_RENT_RENTAL_REVENUE" hidden="1">"c16062"</definedName>
    <definedName name="IQ_BASIC_EPS_EXCL" localSheetId="12" hidden="1">"c85"</definedName>
    <definedName name="IQ_BASIC_EPS_EXCL" localSheetId="7" hidden="1">"c85"</definedName>
    <definedName name="IQ_BASIC_EPS_EXCL" hidden="1">"c45"</definedName>
    <definedName name="IQ_BASIC_EPS_INCL" localSheetId="12" hidden="1">"c86"</definedName>
    <definedName name="IQ_BASIC_EPS_INCL" localSheetId="7" hidden="1">"c86"</definedName>
    <definedName name="IQ_BASIC_EPS_INCL" hidden="1">"c46"</definedName>
    <definedName name="IQ_BASIC_NAV_SHARES" hidden="1">"c16012"</definedName>
    <definedName name="IQ_BASIC_NORMAL_EPS" localSheetId="12" hidden="1">"c1592"</definedName>
    <definedName name="IQ_BASIC_NORMAL_EPS" localSheetId="7" hidden="1">"c1592"</definedName>
    <definedName name="IQ_BASIC_NORMAL_EPS" hidden="1">"c65"</definedName>
    <definedName name="IQ_BASIC_OUTSTANDING_CURRENT_EST" hidden="1">"c4128"</definedName>
    <definedName name="IQ_BASIC_OUTSTANDING_CURRENT_EST_CIQ" hidden="1">"c4541"</definedName>
    <definedName name="IQ_BASIC_OUTSTANDING_CURRENT_HIGH_EST" hidden="1">"c4129"</definedName>
    <definedName name="IQ_BASIC_OUTSTANDING_CURRENT_HIGH_EST_CIQ" hidden="1">"c4542"</definedName>
    <definedName name="IQ_BASIC_OUTSTANDING_CURRENT_LOW_EST" hidden="1">"c4130"</definedName>
    <definedName name="IQ_BASIC_OUTSTANDING_CURRENT_LOW_EST_CIQ" hidden="1">"c4543"</definedName>
    <definedName name="IQ_BASIC_OUTSTANDING_CURRENT_MEDIAN_EST" hidden="1">"c4131"</definedName>
    <definedName name="IQ_BASIC_OUTSTANDING_CURRENT_MEDIAN_EST_CIQ" hidden="1">"c4544"</definedName>
    <definedName name="IQ_BASIC_OUTSTANDING_CURRENT_NUM_EST" hidden="1">"c4132"</definedName>
    <definedName name="IQ_BASIC_OUTSTANDING_CURRENT_NUM_EST_CIQ" hidden="1">"c4545"</definedName>
    <definedName name="IQ_BASIC_OUTSTANDING_CURRENT_STDDEV_EST" hidden="1">"c4133"</definedName>
    <definedName name="IQ_BASIC_OUTSTANDING_CURRENT_STDDEV_EST_CIQ" hidden="1">"c4546"</definedName>
    <definedName name="IQ_BASIC_OUTSTANDING_EST" hidden="1">"c4134"</definedName>
    <definedName name="IQ_BASIC_OUTSTANDING_EST_CIQ" hidden="1">"c4547"</definedName>
    <definedName name="IQ_BASIC_OUTSTANDING_HIGH_EST" hidden="1">"c4135"</definedName>
    <definedName name="IQ_BASIC_OUTSTANDING_HIGH_EST_CIQ" hidden="1">"c4548"</definedName>
    <definedName name="IQ_BASIC_OUTSTANDING_LOW_EST" hidden="1">"c4136"</definedName>
    <definedName name="IQ_BASIC_OUTSTANDING_LOW_EST_CIQ" hidden="1">"c4549"</definedName>
    <definedName name="IQ_BASIC_OUTSTANDING_MEDIAN_EST" hidden="1">"c4137"</definedName>
    <definedName name="IQ_BASIC_OUTSTANDING_MEDIAN_EST_CIQ" hidden="1">"c4550"</definedName>
    <definedName name="IQ_BASIC_OUTSTANDING_NUM_EST" hidden="1">"c4138"</definedName>
    <definedName name="IQ_BASIC_OUTSTANDING_NUM_EST_CIQ" hidden="1">"c4551"</definedName>
    <definedName name="IQ_BASIC_OUTSTANDING_STDDEV_EST" hidden="1">"c4139"</definedName>
    <definedName name="IQ_BASIC_OUTSTANDING_STDDEV_EST_CIQ" hidden="1">"c4552"</definedName>
    <definedName name="IQ_BASIC_WEIGHT" localSheetId="12" hidden="1">"c87"</definedName>
    <definedName name="IQ_BASIC_WEIGHT" localSheetId="7" hidden="1">"c87"</definedName>
    <definedName name="IQ_BASIC_WEIGHT" hidden="1">"c44"</definedName>
    <definedName name="IQ_BASIC_WEIGHT_EST" hidden="1">"c4140"</definedName>
    <definedName name="IQ_BASIC_WEIGHT_EST_CIQ" hidden="1">"c4553"</definedName>
    <definedName name="IQ_BASIC_WEIGHT_HIGH_EST" hidden="1">"c4142"</definedName>
    <definedName name="IQ_BASIC_WEIGHT_HIGH_EST_CIQ" hidden="1">"c4554"</definedName>
    <definedName name="IQ_BASIC_WEIGHT_LOW_EST" hidden="1">"c4143"</definedName>
    <definedName name="IQ_BASIC_WEIGHT_LOW_EST_CIQ" hidden="1">"c4555"</definedName>
    <definedName name="IQ_BASIC_WEIGHT_MEDIAN_EST" hidden="1">"c4144"</definedName>
    <definedName name="IQ_BASIC_WEIGHT_MEDIAN_EST_CIQ" hidden="1">"c4556"</definedName>
    <definedName name="IQ_BASIC_WEIGHT_NUM_EST" hidden="1">"c4145"</definedName>
    <definedName name="IQ_BASIC_WEIGHT_NUM_EST_CIQ" hidden="1">"c4557"</definedName>
    <definedName name="IQ_BASIC_WEIGHT_STDDEV_EST" hidden="1">"c4146"</definedName>
    <definedName name="IQ_BASIC_WEIGHT_STDDEV_EST_CIQ" hidden="1">"c4558"</definedName>
    <definedName name="IQ_BEGINNING_BALANCE_GVA_THRIFT" hidden="1">"c25091"</definedName>
    <definedName name="IQ_BEGINNING_BALANCE_REPORTED_QUARTERLY_BALANCE_GVA_THRIFT" hidden="1">"c25090"</definedName>
    <definedName name="IQ_BEGINNING_BALANCE_REPORTED_QUARTERLY_BALANCE_SVA_THRIFT" hidden="1">"c25098"</definedName>
    <definedName name="IQ_BEGINNING_BALANCE_REPORTED_QUARTERLY_BALANCE_TVA_THRIFT" hidden="1">"c25105"</definedName>
    <definedName name="IQ_BEGINNING_BALANCE_SVA_THRIFT" hidden="1">"c25099"</definedName>
    <definedName name="IQ_BEGINNING_BALANCE_TVA_THRIFT" hidden="1">"c25106"</definedName>
    <definedName name="IQ_BENCHMARK_SECURITY" hidden="1">"c2154"</definedName>
    <definedName name="IQ_BENCHMARK_SPRD" hidden="1">"c2153"</definedName>
    <definedName name="IQ_BENCHMARK_YIELD" hidden="1">"c8955"</definedName>
    <definedName name="IQ_BETA" localSheetId="12" hidden="1">"c2133"</definedName>
    <definedName name="IQ_BETA" localSheetId="7" hidden="1">"c2133"</definedName>
    <definedName name="IQ_BETA" hidden="1">"c226"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D_DATE_RT" hidden="1">"BIDDATE"</definedName>
    <definedName name="IQ_BID_NUM_ORDERS_RT" hidden="1">"BIDNUMBERORDERS"</definedName>
    <definedName name="IQ_BID_PRICE_RT" hidden="1">"BID"</definedName>
    <definedName name="IQ_BID_TIME_RT" hidden="1">"BIDTIME"</definedName>
    <definedName name="IQ_BID_VOLUME_RT" hidden="1">"BIDVOLUME"</definedName>
    <definedName name="IQ_BIDPRICE" hidden="1">"c13926"</definedName>
    <definedName name="IQ_BIG_INT_BEAR_CD" hidden="1">"c89"</definedName>
    <definedName name="IQ_BOARD_MEMBER" localSheetId="12" hidden="1">"c96"</definedName>
    <definedName name="IQ_BOARD_MEMBER" localSheetId="7" hidden="1">"c96"</definedName>
    <definedName name="IQ_BOARD_MEMBER" hidden="1">"c233"</definedName>
    <definedName name="IQ_BOARD_MEMBER_ALL_OTHER_COMP" hidden="1">"c18992"</definedName>
    <definedName name="IQ_BOARD_MEMBER_ANNUAL_CASH_COMP" hidden="1">"c18993"</definedName>
    <definedName name="IQ_BOARD_MEMBER_AS_REPORTED_COMP" hidden="1">"c18997"</definedName>
    <definedName name="IQ_BOARD_MEMBER_AS_REPORTED_DIRECTOR_COMP" hidden="1">"c19009"</definedName>
    <definedName name="IQ_BOARD_MEMBER_ASSISTANT_EMAIL" hidden="1">"c15179"</definedName>
    <definedName name="IQ_BOARD_MEMBER_ASSISTANT_FAX" hidden="1">"c15181"</definedName>
    <definedName name="IQ_BOARD_MEMBER_ASSISTANT_NAME" hidden="1">"c15178"</definedName>
    <definedName name="IQ_BOARD_MEMBER_ASSISTANT_PHONE" hidden="1">"c15180"</definedName>
    <definedName name="IQ_BOARD_MEMBER_BACKGROUND" hidden="1">"c2101"</definedName>
    <definedName name="IQ_BOARD_MEMBER_BONUS" hidden="1">"c18988"</definedName>
    <definedName name="IQ_BOARD_MEMBER_CALCULATED_COMP" hidden="1">"c18995"</definedName>
    <definedName name="IQ_BOARD_MEMBER_CHANGE_PENSION" hidden="1">"c19010"</definedName>
    <definedName name="IQ_BOARD_MEMBER_DIRECT_FAX" hidden="1">"c15176"</definedName>
    <definedName name="IQ_BOARD_MEMBER_DIRECT_PHONE" hidden="1">"c15175"</definedName>
    <definedName name="IQ_BOARD_MEMBER_DIRECTOR_BONUS" hidden="1">"c19004"</definedName>
    <definedName name="IQ_BOARD_MEMBER_DIRECTOR_CHANGE_PENSION" hidden="1">"c19005"</definedName>
    <definedName name="IQ_BOARD_MEMBER_DIRECTOR_FEE" hidden="1">"c19001"</definedName>
    <definedName name="IQ_BOARD_MEMBER_DIRECTOR_NON_EQUITY_COMP" hidden="1">"c19006"</definedName>
    <definedName name="IQ_BOARD_MEMBER_DIRECTOR_OPTION_AWARDS" hidden="1">"c19002"</definedName>
    <definedName name="IQ_BOARD_MEMBER_DIRECTOR_OTHER" hidden="1">"c19003"</definedName>
    <definedName name="IQ_BOARD_MEMBER_DIRECTOR_STOCK_AWARDS" hidden="1">"c19007"</definedName>
    <definedName name="IQ_BOARD_MEMBER_DIRECTOR_STOCK_GRANTS" hidden="1">"c19034"</definedName>
    <definedName name="IQ_BOARD_MEMBER_DIRECTOR_STOCK_OPTIONS" hidden="1">"c19008"</definedName>
    <definedName name="IQ_BOARD_MEMBER_EMAIL" hidden="1">"c15177"</definedName>
    <definedName name="IQ_BOARD_MEMBER_EQUITY_INCENTIVE" hidden="1">"c19030"</definedName>
    <definedName name="IQ_BOARD_MEMBER_EST_PAYMENTS_CHANGE_CONTROL" hidden="1">"c18999"</definedName>
    <definedName name="IQ_BOARD_MEMBER_EST_PAYMENTS_TERMINATION" hidden="1">"c19011"</definedName>
    <definedName name="IQ_BOARD_MEMBER_EXERCISABLE_OPTIONS" hidden="1">"c19014"</definedName>
    <definedName name="IQ_BOARD_MEMBER_EXERCISABLE_VALUES" hidden="1">"c19015"</definedName>
    <definedName name="IQ_BOARD_MEMBER_EXERCISED_OPTIONS" hidden="1">"c19012"</definedName>
    <definedName name="IQ_BOARD_MEMBER_EXERCISED_VALUES" hidden="1">"c19013"</definedName>
    <definedName name="IQ_BOARD_MEMBER_ID" hidden="1">"c13756"</definedName>
    <definedName name="IQ_BOARD_MEMBER_LT_INCENTIVE" hidden="1">"c18991"</definedName>
    <definedName name="IQ_BOARD_MEMBER_MAIN_FAX" hidden="1">"c15174"</definedName>
    <definedName name="IQ_BOARD_MEMBER_MAIN_PHONE" hidden="1">"c15173"</definedName>
    <definedName name="IQ_BOARD_MEMBER_MARKET_VALUE_SHARES_NOT_VESTED" hidden="1">"c19029"</definedName>
    <definedName name="IQ_BOARD_MEMBER_NON_EQUITY_INCENTIVE" hidden="1">"c19000"</definedName>
    <definedName name="IQ_BOARD_MEMBER_NUM_SHARED_NOT_VESTED" hidden="1">"c19028"</definedName>
    <definedName name="IQ_BOARD_MEMBER_NUM_SHARES_ACQUIRED" hidden="1">"c19026"</definedName>
    <definedName name="IQ_BOARD_MEMBER_OFFICE_ADDRESS" hidden="1">"c15172"</definedName>
    <definedName name="IQ_BOARD_MEMBER_OPTION_AWARDS" hidden="1">"c18996"</definedName>
    <definedName name="IQ_BOARD_MEMBER_OPTION_MARKET_PRICE" hidden="1">"c19025"</definedName>
    <definedName name="IQ_BOARD_MEMBER_OPTION_PRICE" hidden="1">"c19024"</definedName>
    <definedName name="IQ_BOARD_MEMBER_OTHER_ANNUAL_COMP" hidden="1">"c18989"</definedName>
    <definedName name="IQ_BOARD_MEMBER_OTHER_COMP" hidden="1">"c18998"</definedName>
    <definedName name="IQ_BOARD_MEMBER_RESTRICTED_STOCK_COMP" hidden="1">"c18990"</definedName>
    <definedName name="IQ_BOARD_MEMBER_SALARY" hidden="1">"c18987"</definedName>
    <definedName name="IQ_BOARD_MEMBER_ST_COMP" hidden="1">"c18994"</definedName>
    <definedName name="IQ_BOARD_MEMBER_TITLE" localSheetId="12" hidden="1">"c97"</definedName>
    <definedName name="IQ_BOARD_MEMBER_TITLE" localSheetId="7" hidden="1">"c97"</definedName>
    <definedName name="IQ_BOARD_MEMBER_TITLE" hidden="1">"c234"</definedName>
    <definedName name="IQ_BOARD_MEMBER_TOTAL_NUM_STOCK_AWARDS" hidden="1">"c19033"</definedName>
    <definedName name="IQ_BOARD_MEMBER_TOTAL_OPTIONS" hidden="1">"c19022"</definedName>
    <definedName name="IQ_BOARD_MEMBER_TOTAL_STOCK_VALUE" hidden="1">"c19032"</definedName>
    <definedName name="IQ_BOARD_MEMBER_TOTAL_VALUE_OPTIONS" hidden="1">"c19023"</definedName>
    <definedName name="IQ_BOARD_MEMBER_UNCLASSIFIED_OPTIONS" hidden="1">"c19018"</definedName>
    <definedName name="IQ_BOARD_MEMBER_UNCLASSIFIED_OPTIONS_VALUE" hidden="1">"c19019"</definedName>
    <definedName name="IQ_BOARD_MEMBER_UNEARNED_STOCK_VALUE" hidden="1">"c19031"</definedName>
    <definedName name="IQ_BOARD_MEMBER_UNEXERCISABLE_OPTIONS" hidden="1">"c19016"</definedName>
    <definedName name="IQ_BOARD_MEMBER_UNEXERCISABLE_VALUES" hidden="1">"c19017"</definedName>
    <definedName name="IQ_BOARD_MEMBER_UNEXERCISED_UNEARNED_OPTIONS" hidden="1">"c19020"</definedName>
    <definedName name="IQ_BOARD_MEMBER_UNEXERCISED_UNEARNED_OPTIONS_VALUE" hidden="1">"c19021"</definedName>
    <definedName name="IQ_BOARD_MEMBER_VALUE_VESTING" hidden="1">"c19027"</definedName>
    <definedName name="IQ_BOND_COUPON" hidden="1">"c2183"</definedName>
    <definedName name="IQ_BOND_COUPON_TYPE" hidden="1">"c2184"</definedName>
    <definedName name="IQ_BOND_LIST" hidden="1">"c13505"</definedName>
    <definedName name="IQ_BOND_PRICE" hidden="1">"c2162"</definedName>
    <definedName name="IQ_BOP" hidden="1">"c20560"</definedName>
    <definedName name="IQ_BOP_BALANCE_ON_CURRENT_ACCOUNT" hidden="1">"c20561"</definedName>
    <definedName name="IQ_BOP_BALANCE_ON_GOODS" hidden="1">"c20562"</definedName>
    <definedName name="IQ_BOP_BALANCE_ON_GOODS_SERVICES" hidden="1">"c20563"</definedName>
    <definedName name="IQ_BOP_BALANCE_ON_INCOME" hidden="1">"c20564"</definedName>
    <definedName name="IQ_BOP_BALANCE_ON_SERVICES" hidden="1">"c20565"</definedName>
    <definedName name="IQ_BOP_CAPITAL_TRANSACTION_NET" hidden="1">"c20566"</definedName>
    <definedName name="IQ_BOP_CURRENT_TRANSFER_GOVERNMENT_GRANTS" hidden="1">"c20567"</definedName>
    <definedName name="IQ_BOP_CURRENT_TRANSFER_GOVERNMENT_PENSIONS" hidden="1">"c20568"</definedName>
    <definedName name="IQ_BOP_CURRENT_TRANSFER_NET" hidden="1">"c20569"</definedName>
    <definedName name="IQ_BOP_CURRENT_TRANSFER_PRIVATE_TRANSFER" hidden="1">"c20570"</definedName>
    <definedName name="IQ_BOP_EXPORTS_AND_RECEIPTS" hidden="1">"c20571"</definedName>
    <definedName name="IQ_BOP_EXPORTS_GOODS" hidden="1">"c20572"</definedName>
    <definedName name="IQ_BOP_EXPORTS_GOODS_SERVICES" hidden="1">"c20573"</definedName>
    <definedName name="IQ_BOP_EXPORTS_SERVICES" hidden="1">"c20574"</definedName>
    <definedName name="IQ_BOP_EXPORTS_SERVICES_FARES" hidden="1">"c20575"</definedName>
    <definedName name="IQ_BOP_EXPORTS_SERVICES_GOVERNMENT_MISC" hidden="1">"c20576"</definedName>
    <definedName name="IQ_BOP_EXPORTS_SERVICES_MILITARY_SALES_CONTRACTS" hidden="1">"c20577"</definedName>
    <definedName name="IQ_BOP_EXPORTS_SERVICES_OTHER" hidden="1">"c20578"</definedName>
    <definedName name="IQ_BOP_EXPORTS_SERVICES_ROYALTIES" hidden="1">"c20579"</definedName>
    <definedName name="IQ_BOP_EXPORTS_SERVICES_TRANSPORTATION" hidden="1">"c20580"</definedName>
    <definedName name="IQ_BOP_EXPORTS_SERVICES_TRAVEL" hidden="1">"c20581"</definedName>
    <definedName name="IQ_BOP_FOREIGN_ASSETS" hidden="1">"c20582"</definedName>
    <definedName name="IQ_BOP_FOREIGN_ASSETS_OFFICIAL" hidden="1">"c20583"</definedName>
    <definedName name="IQ_BOP_FOREIGN_ASSETS_OFFICIAL_BANK_LIABILITIES" hidden="1">"c20584"</definedName>
    <definedName name="IQ_BOP_FOREIGN_ASSETS_OFFICIAL_GOVT_LIABILITIES" hidden="1">"c20585"</definedName>
    <definedName name="IQ_BOP_FOREIGN_ASSETS_OFFICIAL_GOVT_SECURITIES" hidden="1">"c20586"</definedName>
    <definedName name="IQ_BOP_FOREIGN_ASSETS_OFFICIAL_GOVT_SECURITIES_OTHER" hidden="1">"c20587"</definedName>
    <definedName name="IQ_BOP_FOREIGN_ASSETS_OFFICIAL_OTHER" hidden="1">"c20588"</definedName>
    <definedName name="IQ_BOP_FOREIGN_ASSETS_OFFICIAL_TREASURIES" hidden="1">"c20589"</definedName>
    <definedName name="IQ_BOP_FOREIGN_ASSETS_OTHER" hidden="1">"c20590"</definedName>
    <definedName name="IQ_BOP_FOREIGN_ASSETS_OTHER_BANK_LIABILITIES" hidden="1">"c20591"</definedName>
    <definedName name="IQ_BOP_FOREIGN_ASSETS_OTHER_CURRENCY" hidden="1">"c20592"</definedName>
    <definedName name="IQ_BOP_FOREIGN_ASSETS_OTHER_DIRECT_INVEST" hidden="1">"c20593"</definedName>
    <definedName name="IQ_BOP_FOREIGN_ASSETS_OTHER_LIABILITIES_TO_FOREIGNERS" hidden="1">"c20594"</definedName>
    <definedName name="IQ_BOP_FOREIGN_ASSETS_OTHER_SECURITIES" hidden="1">"c20595"</definedName>
    <definedName name="IQ_BOP_FOREIGN_ASSETS_OTHER_TREASURIES" hidden="1">"c20596"</definedName>
    <definedName name="IQ_BOP_IMPORTS_AND_PAYMENTS" hidden="1">"c20597"</definedName>
    <definedName name="IQ_BOP_IMPORTS_GOODS" hidden="1">"c20598"</definedName>
    <definedName name="IQ_BOP_IMPORTS_GOODS_SERVICES" hidden="1">"c20599"</definedName>
    <definedName name="IQ_BOP_IMPORTS_SERVICES" hidden="1">"c20600"</definedName>
    <definedName name="IQ_BOP_IMPORTS_SERVICES_DEF_EXPENDITURES" hidden="1">"c20601"</definedName>
    <definedName name="IQ_BOP_IMPORTS_SERVICES_FARES" hidden="1">"c20602"</definedName>
    <definedName name="IQ_BOP_IMPORTS_SERVICES_GOVERNMENT_MISC" hidden="1">"c20603"</definedName>
    <definedName name="IQ_BOP_IMPORTS_SERVICES_OTHER" hidden="1">"c20604"</definedName>
    <definedName name="IQ_BOP_IMPORTS_SERVICES_ROYALTIES" hidden="1">"c20605"</definedName>
    <definedName name="IQ_BOP_IMPORTS_SERVICES_TRANSPORTATION" hidden="1">"c20606"</definedName>
    <definedName name="IQ_BOP_IMPORTS_SERVICES_TRAVEL" hidden="1">"c20607"</definedName>
    <definedName name="IQ_BOP_PAYMENTS" hidden="1">"c20608"</definedName>
    <definedName name="IQ_BOP_PAYMENTS_DIRECT_INVEST" hidden="1">"c20609"</definedName>
    <definedName name="IQ_BOP_PAYMENTS_EMPLOYEE_COMPENSATION" hidden="1">"c20610"</definedName>
    <definedName name="IQ_BOP_PAYMENTS_FOREGN_OWNED_ASSETS" hidden="1">"c20611"</definedName>
    <definedName name="IQ_BOP_PAYMENTS_GOVT" hidden="1">"c20612"</definedName>
    <definedName name="IQ_BOP_PAYMENTS_OTHER" hidden="1">"c20613"</definedName>
    <definedName name="IQ_BOP_RECEIPTS" hidden="1">"c20614"</definedName>
    <definedName name="IQ_BOP_RECEIPTS_DIRECT_INVEST" hidden="1">"c20615"</definedName>
    <definedName name="IQ_BOP_RECEIPTS_EMPLOYEE_COMPENSATION" hidden="1">"c20616"</definedName>
    <definedName name="IQ_BOP_RECEIPTS_GOVT" hidden="1">"c20617"</definedName>
    <definedName name="IQ_BOP_RECEIPTS_OTHER" hidden="1">"c20618"</definedName>
    <definedName name="IQ_BOP_RECEIPTS_US_ASSETS_ABROAD" hidden="1">"c20619"</definedName>
    <definedName name="IQ_BOP_STATISTICAL_DISCREPANCY" hidden="1">"c20620"</definedName>
    <definedName name="IQ_BOP_US_ASSETS_ABROAD" hidden="1">"c20621"</definedName>
    <definedName name="IQ_BOP_US_GOVT_ASSETS" hidden="1">"c20622"</definedName>
    <definedName name="IQ_BOP_US_GOVT_ASSETS_FX" hidden="1">"c20623"</definedName>
    <definedName name="IQ_BOP_US_GOVT_ASSETS_US_CREDITS" hidden="1">"c20624"</definedName>
    <definedName name="IQ_BOP_US_GOVT_ASSETS_US_CREDITS_REPAYMENTS" hidden="1">"c20625"</definedName>
    <definedName name="IQ_BOP_US_PRIVATE_ASSETS" hidden="1">"c20626"</definedName>
    <definedName name="IQ_BOP_US_PRIVATE_ASSETS_CLAIMS_BANKS_BROKERS" hidden="1">"c20627"</definedName>
    <definedName name="IQ_BOP_US_PRIVATE_ASSETS_CLAIMS_ON_FOREIGNERS" hidden="1">"c20628"</definedName>
    <definedName name="IQ_BOP_US_PRIVATE_ASSETS_DIRECT_INVEST" hidden="1">"c20629"</definedName>
    <definedName name="IQ_BOP_US_PRIVATE_ASSETS_FOREIGN_SECURITIES" hidden="1">"c20630"</definedName>
    <definedName name="IQ_BOP_US_RESERVE_ASSETS" hidden="1">"c20631"</definedName>
    <definedName name="IQ_BOP_US_RESERVE_ASSETS_DRAWING_RIGHTS" hidden="1">"c20632"</definedName>
    <definedName name="IQ_BOP_US_RESERVE_ASSETS_FX" hidden="1">"c20633"</definedName>
    <definedName name="IQ_BOP_US_RESERVE_ASSETS_GOLD" hidden="1">"c20634"</definedName>
    <definedName name="IQ_BOP_US_RESERVE_ASSETS_IMF_RESERVES" hidden="1">"c20635"</definedName>
    <definedName name="IQ_BORROWED_MONEY_QUARTERLY_AVG_FFIEC" hidden="1">"c13091"</definedName>
    <definedName name="IQ_BORROWINGS_LESS_1YR_ASSETS_TOT_FFIEC" hidden="1">"c13450"</definedName>
    <definedName name="IQ_BR_FILING_DATE" hidden="1">"c16223"</definedName>
    <definedName name="IQ_BR_FILING_TYPE" hidden="1">"c16224"</definedName>
    <definedName name="IQ_BR_PLAN_APPROVE_DATE" hidden="1">"c16226"</definedName>
    <definedName name="IQ_BR_PLAN_CONFIRM" hidden="1">"c16225"</definedName>
    <definedName name="IQ_BROK_COMISSION" hidden="1">"c98"</definedName>
    <definedName name="IQ_BROK_COMMISSION" hidden="1">"c3514"</definedName>
    <definedName name="IQ_BROKER_DEPOSIT_LESS_THAN_100000_1_YR_LESS_FFIEC" hidden="1">"c15307"</definedName>
    <definedName name="IQ_BROKER_DEPOSIT_LESS_THAN_100000_1_YR_MORE_FFIEC" hidden="1">"c15308"</definedName>
    <definedName name="IQ_BROKER_DEPOSIT_LESS_THAN_100000_FFIEC" hidden="1">"c15306"</definedName>
    <definedName name="IQ_BROKER_DEPOSIT_MORE_THAN_100000_1_YR_LESS_FFIEC" hidden="1">"c15310"</definedName>
    <definedName name="IQ_BROKER_DEPOSIT_MORE_THAN_100000_1_YR_MORE_FFIEC" hidden="1">"c15311"</definedName>
    <definedName name="IQ_BROKER_DEPOSIT_MORE_THAN_100000_FFIEC" hidden="1">"c15309"</definedName>
    <definedName name="IQ_BROKER_DEPOSITS_TOTAL_DEPOSITS_THRIFT" hidden="1">"c25781"</definedName>
    <definedName name="IQ_BROKER_ORIGINATED_DEPOSITS_FULLY_INSURED_100000_THROUGH_250000_THRIFT" hidden="1">"c24980"</definedName>
    <definedName name="IQ_BROKER_ORIGINATED_DEPOSITS_FULLY_INSURED_LESS_THAN_100000_THRIFT" hidden="1">"c24979"</definedName>
    <definedName name="IQ_BROKERED_DEPOSITS_FDIC" hidden="1">"c6486"</definedName>
    <definedName name="IQ_BUDGET_BALANCE_APR_FC_UNUSED" hidden="1">"c8359"</definedName>
    <definedName name="IQ_BUDGET_BALANCE_APR_FC_UNUSED_UNUSED_UNUSED" hidden="1">"c8359"</definedName>
    <definedName name="IQ_BUDGET_BALANCE_APR_UNUSED" hidden="1">"c7479"</definedName>
    <definedName name="IQ_BUDGET_BALANCE_APR_UNUSED_UNUSED_UNUSED" hidden="1">"c7479"</definedName>
    <definedName name="IQ_BUDGET_BALANCE_FC_UNUSED" hidden="1">"c7699"</definedName>
    <definedName name="IQ_BUDGET_BALANCE_FC_UNUSED_UNUSED_UNUSED" hidden="1">"c7699"</definedName>
    <definedName name="IQ_BUDGET_BALANCE_POP_FC_UNUSED" hidden="1">"c7919"</definedName>
    <definedName name="IQ_BUDGET_BALANCE_POP_FC_UNUSED_UNUSED_UNUSED" hidden="1">"c7919"</definedName>
    <definedName name="IQ_BUDGET_BALANCE_POP_UNUSED" hidden="1">"c7039"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" hidden="1">"c6819"</definedName>
    <definedName name="IQ_BUDGET_BALANCE_UNUSED_UNUSED_UNUSED" hidden="1">"c6819"</definedName>
    <definedName name="IQ_BUDGET_BALANCE_YOY_FC_UNUSED" hidden="1">"c8139"</definedName>
    <definedName name="IQ_BUDGET_BALANCE_YOY_FC_UNUSED_UNUSED_UNUSED" hidden="1">"c8139"</definedName>
    <definedName name="IQ_BUDGET_BALANCE_YOY_UNUSED" hidden="1">"c7259"</definedName>
    <definedName name="IQ_BUDGET_BALANCE_YOY_UNUSED_UNUSED_UNUSED" hidden="1">"c7259"</definedName>
    <definedName name="IQ_BUDGET_RECEIPTS_APR_FC_UNUSED" hidden="1">"c8361"</definedName>
    <definedName name="IQ_BUDGET_RECEIPTS_APR_FC_UNUSED_UNUSED_UNUSED" hidden="1">"c8361"</definedName>
    <definedName name="IQ_BUDGET_RECEIPTS_APR_UNUSED" hidden="1">"c7481"</definedName>
    <definedName name="IQ_BUDGET_RECEIPTS_APR_UNUSED_UNUSED_UNUSED" hidden="1">"c7481"</definedName>
    <definedName name="IQ_BUDGET_RECEIPTS_FC_UNUSED" hidden="1">"c7701"</definedName>
    <definedName name="IQ_BUDGET_RECEIPTS_FC_UNUSED_UNUSED_UNUSED" hidden="1">"c7701"</definedName>
    <definedName name="IQ_BUDGET_RECEIPTS_POP_FC_UNUSED" hidden="1">"c7921"</definedName>
    <definedName name="IQ_BUDGET_RECEIPTS_POP_FC_UNUSED_UNUSED_UNUSED" hidden="1">"c7921"</definedName>
    <definedName name="IQ_BUDGET_RECEIPTS_POP_UNUSED" hidden="1">"c7041"</definedName>
    <definedName name="IQ_BUDGET_RECEIPTS_POP_UNUSED_UNUSED_UNUSED" hidden="1">"c7041"</definedName>
    <definedName name="IQ_BUDGET_RECEIPTS_UNUSED" hidden="1">"c6821"</definedName>
    <definedName name="IQ_BUDGET_RECEIPTS_UNUSED_UNUSED_UNUSED" hidden="1">"c6821"</definedName>
    <definedName name="IQ_BUDGET_RECEIPTS_YOY_FC_UNUSED" hidden="1">"c8141"</definedName>
    <definedName name="IQ_BUDGET_RECEIPTS_YOY_FC_UNUSED_UNUSED_UNUSED" hidden="1">"c8141"</definedName>
    <definedName name="IQ_BUDGET_RECEIPTS_YOY_UNUSED" hidden="1">"c7261"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DESCRIPTION" hidden="1">"c15589"</definedName>
    <definedName name="IQ_BUS_SEG_DESCRIPTION_ABS" hidden="1">"c15577"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IC" hidden="1">"c15588"</definedName>
    <definedName name="IQ_BUS_SEG_NAIC_ABS" hidden="1">"c15576"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PRIMARY_GIC" hidden="1">"c15584"</definedName>
    <definedName name="IQ_BUS_SEG_PRIMARY_GIC_ABS" hidden="1">"c15572"</definedName>
    <definedName name="IQ_BUS_SEG_PRIMARY_SIC" hidden="1">"c15586"</definedName>
    <definedName name="IQ_BUS_SEG_PRIMARY_SIC_ABS" hidden="1">"c15574"</definedName>
    <definedName name="IQ_BUS_SEG_REV" hidden="1">"c4068"</definedName>
    <definedName name="IQ_BUS_SEG_REV_ABS" hidden="1">"c4090"</definedName>
    <definedName name="IQ_BUS_SEG_REV_TOTAL" hidden="1">"c4106"</definedName>
    <definedName name="IQ_BUS_SEG_SECONDARY_GIC" hidden="1">"c15585"</definedName>
    <definedName name="IQ_BUS_SEG_SECONDARY_GIC_ABS" hidden="1">"c15573"</definedName>
    <definedName name="IQ_BUS_SEG_SECONDARY_SIC" hidden="1">"c15587"</definedName>
    <definedName name="IQ_BUS_SEG_SECONDARY_SIC_ABS" hidden="1">"c15575"</definedName>
    <definedName name="IQ_BUSINESS_COMBINATIONS_FFIEC" hidden="1">"c12967"</definedName>
    <definedName name="IQ_BUSINESS_DESCRIPTION" hidden="1">"c322"</definedName>
    <definedName name="IQ_BV_ACT_OR_EST_CIQ" hidden="1">"c5068"</definedName>
    <definedName name="IQ_BV_EST" hidden="1">"c5624"</definedName>
    <definedName name="IQ_BV_EST_CIQ" hidden="1">"c4737"</definedName>
    <definedName name="IQ_BV_HIGH_EST" hidden="1">"c5626"</definedName>
    <definedName name="IQ_BV_HIGH_EST_CIQ" hidden="1">"c4739"</definedName>
    <definedName name="IQ_BV_LOW_EST" hidden="1">"c5627"</definedName>
    <definedName name="IQ_BV_LOW_EST_CIQ" hidden="1">"c4740"</definedName>
    <definedName name="IQ_BV_MEDIAN_EST" hidden="1">"c5625"</definedName>
    <definedName name="IQ_BV_MEDIAN_EST_CIQ" hidden="1">"c4738"</definedName>
    <definedName name="IQ_BV_NUM_EST" hidden="1">"c5628"</definedName>
    <definedName name="IQ_BV_NUM_EST_CIQ" hidden="1">"c4741"</definedName>
    <definedName name="IQ_BV_OVER_SHARES" localSheetId="12" hidden="1">"c1349"</definedName>
    <definedName name="IQ_BV_OVER_SHARES" localSheetId="7" hidden="1">"c1349"</definedName>
    <definedName name="IQ_BV_OVER_SHARES" hidden="1">"c177"</definedName>
    <definedName name="IQ_BV_SHARE" hidden="1">"c100"</definedName>
    <definedName name="IQ_BV_SHARE_ACT_OR_EST" hidden="1">"c3587"</definedName>
    <definedName name="IQ_BV_SHARE_ACT_OR_EST_CIQ" hidden="1">"c5072"</definedName>
    <definedName name="IQ_BV_SHARE_DET_EST" hidden="1">"c12047"</definedName>
    <definedName name="IQ_BV_SHARE_DET_EST_CIQ" hidden="1">"c12107"</definedName>
    <definedName name="IQ_BV_SHARE_DET_EST_CURRENCY" hidden="1">"c12456"</definedName>
    <definedName name="IQ_BV_SHARE_DET_EST_CURRENCY_CIQ" hidden="1">"c12500"</definedName>
    <definedName name="IQ_BV_SHARE_DET_EST_DATE" hidden="1">"c12200"</definedName>
    <definedName name="IQ_BV_SHARE_DET_EST_DATE_CIQ" hidden="1">"c12253"</definedName>
    <definedName name="IQ_BV_SHARE_DET_EST_INCL" hidden="1">"c12339"</definedName>
    <definedName name="IQ_BV_SHARE_DET_EST_INCL_CIQ" hidden="1">"c12383"</definedName>
    <definedName name="IQ_BV_SHARE_DET_EST_NOTE" hidden="1">"c17545"</definedName>
    <definedName name="IQ_BV_SHARE_DET_EST_NOTE_CIQ" hidden="1">"c17498"</definedName>
    <definedName name="IQ_BV_SHARE_DET_EST_ORIGIN" hidden="1">"c12573"</definedName>
    <definedName name="IQ_BV_SHARE_DET_EST_ORIGIN_CIQ" hidden="1">"c12622"</definedName>
    <definedName name="IQ_BV_SHARE_EST" hidden="1">"c3541"</definedName>
    <definedName name="IQ_BV_SHARE_EST_CIQ" hidden="1">"c3800"</definedName>
    <definedName name="IQ_BV_SHARE_EST_DOWN_2MONTH" hidden="1">"c16573"</definedName>
    <definedName name="IQ_BV_SHARE_EST_DOWN_2MONTH_CIQ" hidden="1">"c16837"</definedName>
    <definedName name="IQ_BV_SHARE_EST_DOWN_3MONTH" hidden="1">"c16577"</definedName>
    <definedName name="IQ_BV_SHARE_EST_DOWN_3MONTH_CIQ" hidden="1">"c16841"</definedName>
    <definedName name="IQ_BV_SHARE_EST_DOWN_MONTH" hidden="1">"c16569"</definedName>
    <definedName name="IQ_BV_SHARE_EST_DOWN_MONTH_CIQ" hidden="1">"c16833"</definedName>
    <definedName name="IQ_BV_SHARE_EST_NOTE" hidden="1">"c17523"</definedName>
    <definedName name="IQ_BV_SHARE_EST_NOTE_CIQ" hidden="1">"c17476"</definedName>
    <definedName name="IQ_BV_SHARE_EST_NUM_ANALYSTS_2MONTH" hidden="1">"c16571"</definedName>
    <definedName name="IQ_BV_SHARE_EST_NUM_ANALYSTS_2MONTH_CIQ" hidden="1">"c16835"</definedName>
    <definedName name="IQ_BV_SHARE_EST_NUM_ANALYSTS_3MONTH" hidden="1">"c16575"</definedName>
    <definedName name="IQ_BV_SHARE_EST_NUM_ANALYSTS_3MONTH_CIQ" hidden="1">"c16839"</definedName>
    <definedName name="IQ_BV_SHARE_EST_NUM_ANALYSTS_MONTH" hidden="1">"c16567"</definedName>
    <definedName name="IQ_BV_SHARE_EST_NUM_ANALYSTS_MONTH_CIQ" hidden="1">"c16831"</definedName>
    <definedName name="IQ_BV_SHARE_EST_TOTAL_REVISED_2MONTH" hidden="1">"c16574"</definedName>
    <definedName name="IQ_BV_SHARE_EST_TOTAL_REVISED_2MONTH_CIQ" hidden="1">"c16838"</definedName>
    <definedName name="IQ_BV_SHARE_EST_TOTAL_REVISED_3MONTH" hidden="1">"c16578"</definedName>
    <definedName name="IQ_BV_SHARE_EST_TOTAL_REVISED_3MONTH_CIQ" hidden="1">"c16842"</definedName>
    <definedName name="IQ_BV_SHARE_EST_TOTAL_REVISED_MONTH" hidden="1">"c16570"</definedName>
    <definedName name="IQ_BV_SHARE_EST_TOTAL_REVISED_MONTH_CIQ" hidden="1">"c16834"</definedName>
    <definedName name="IQ_BV_SHARE_EST_UP_2MONTH" hidden="1">"c16572"</definedName>
    <definedName name="IQ_BV_SHARE_EST_UP_2MONTH_CIQ" hidden="1">"c16836"</definedName>
    <definedName name="IQ_BV_SHARE_EST_UP_3MONTH" hidden="1">"c16576"</definedName>
    <definedName name="IQ_BV_SHARE_EST_UP_3MONTH_CIQ" hidden="1">"c16840"</definedName>
    <definedName name="IQ_BV_SHARE_EST_UP_MONTH" hidden="1">"c16568"</definedName>
    <definedName name="IQ_BV_SHARE_EST_UP_MONTH_CIQ" hidden="1">"c16832"</definedName>
    <definedName name="IQ_BV_SHARE_HIGH_EST" hidden="1">"c3542"</definedName>
    <definedName name="IQ_BV_SHARE_HIGH_EST_CIQ" hidden="1">"c3802"</definedName>
    <definedName name="IQ_BV_SHARE_LOW_EST" hidden="1">"c3543"</definedName>
    <definedName name="IQ_BV_SHARE_LOW_EST_CIQ" hidden="1">"c3803"</definedName>
    <definedName name="IQ_BV_SHARE_MEDIAN_EST" hidden="1">"c3544"</definedName>
    <definedName name="IQ_BV_SHARE_MEDIAN_EST_CIQ" hidden="1">"c3801"</definedName>
    <definedName name="IQ_BV_SHARE_NUM_EST" hidden="1">"c3539"</definedName>
    <definedName name="IQ_BV_SHARE_NUM_EST_CIQ" hidden="1">"c3804"</definedName>
    <definedName name="IQ_BV_SHARE_STDDEV_EST" hidden="1">"c3540"</definedName>
    <definedName name="IQ_BV_SHARE_STDDEV_EST_CIQ" hidden="1">"c3805"</definedName>
    <definedName name="IQ_BV_STDDEV_EST" hidden="1">"c5629"</definedName>
    <definedName name="IQ_BV_STDDEV_EST_CIQ" hidden="1">"c4742"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"c16151"</definedName>
    <definedName name="IQ_CABLE_ARPU_ANALOG" hidden="1">"c16146"</definedName>
    <definedName name="IQ_CABLE_ARPU_BASIC" hidden="1">"c16148"</definedName>
    <definedName name="IQ_CABLE_ARPU_BBAND" hidden="1">"c16150"</definedName>
    <definedName name="IQ_CABLE_ARPU_DIG" hidden="1">"c16147"</definedName>
    <definedName name="IQ_CABLE_ARPU_PHONE" hidden="1">"c16149"</definedName>
    <definedName name="IQ_CABLE_BASIC_PENETRATION" hidden="1">"c16130"</definedName>
    <definedName name="IQ_CABLE_BBAND_PENETRATION" hidden="1">"c16131"</definedName>
    <definedName name="IQ_CABLE_BBAND_PENETRATION_THP" hidden="1">"c16132"</definedName>
    <definedName name="IQ_CABLE_CHURN" hidden="1">"c16156"</definedName>
    <definedName name="IQ_CABLE_CHURN_BASIC" hidden="1">"c16153"</definedName>
    <definedName name="IQ_CABLE_CHURN_BBAND" hidden="1">"c16155"</definedName>
    <definedName name="IQ_CABLE_CHURN_DIG" hidden="1">"c16152"</definedName>
    <definedName name="IQ_CABLE_CHURN_PHONE" hidden="1">"c16154"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"c16145"</definedName>
    <definedName name="IQ_CABLE_OTHER_REV" hidden="1">"c16164"</definedName>
    <definedName name="IQ_CABLE_PHONE_PENETRATION" hidden="1">"c16133"</definedName>
    <definedName name="IQ_CABLE_PROGRAMMING_COSTS" hidden="1">"c16144"</definedName>
    <definedName name="IQ_CABLE_REV_ADVERT" hidden="1">"c16162"</definedName>
    <definedName name="IQ_CABLE_REV_ANALOG" hidden="1">"c16157"</definedName>
    <definedName name="IQ_CABLE_REV_BASIC" hidden="1">"c16159"</definedName>
    <definedName name="IQ_CABLE_REV_BBAND" hidden="1">"c16160"</definedName>
    <definedName name="IQ_CABLE_REV_COMMERCIAL" hidden="1">"c16163"</definedName>
    <definedName name="IQ_CABLE_REV_DIG" hidden="1">"c16158"</definedName>
    <definedName name="IQ_CABLE_REV_PHONE" hidden="1">"c16161"</definedName>
    <definedName name="IQ_CABLE_RGU" hidden="1">"c16143"</definedName>
    <definedName name="IQ_CABLE_SUBS_ANALOG" hidden="1">"c16135"</definedName>
    <definedName name="IQ_CABLE_SUBS_BASIC" hidden="1">"c16137"</definedName>
    <definedName name="IQ_CABLE_SUBS_BBAND" hidden="1">"c16138"</definedName>
    <definedName name="IQ_CABLE_SUBS_BUNDLED" hidden="1">"c16141"</definedName>
    <definedName name="IQ_CABLE_SUBS_BUS_PHONE" hidden="1">"c15773"</definedName>
    <definedName name="IQ_CABLE_SUBS_DIG" hidden="1">"c16136"</definedName>
    <definedName name="IQ_CABLE_SUBS_LONG_DIST_PHONE" hidden="1">"c15775"</definedName>
    <definedName name="IQ_CABLE_SUBS_NON_VIDEO" hidden="1">"c16140"</definedName>
    <definedName name="IQ_CABLE_SUBS_PHONE" hidden="1">"c16139"</definedName>
    <definedName name="IQ_CABLE_SUBS_RES_PHONE" hidden="1">"c15772"</definedName>
    <definedName name="IQ_CABLE_SUBS_SATELITE" hidden="1">"c15771"</definedName>
    <definedName name="IQ_CABLE_SUBS_TOTAL" hidden="1">"c16142"</definedName>
    <definedName name="IQ_CABLE_SUBS_WHOLE_PHONE" hidden="1">"c15774"</definedName>
    <definedName name="IQ_CABLE_THP" hidden="1">"c2847"</definedName>
    <definedName name="IQ_CABLE_TOTAL_PENETRATION" hidden="1">"c2854"</definedName>
    <definedName name="IQ_CABLE_TOTAL_REV" hidden="1">"c16165"</definedName>
    <definedName name="IQ_CAL_Q" localSheetId="12" hidden="1">"c101"</definedName>
    <definedName name="IQ_CAL_Q" localSheetId="7" hidden="1">"c101"</definedName>
    <definedName name="IQ_CAL_Q" hidden="1">"c246"</definedName>
    <definedName name="IQ_CAL_Q_EST" hidden="1">"c6796"</definedName>
    <definedName name="IQ_CAL_Q_EST_CIQ" hidden="1">"c6808"</definedName>
    <definedName name="IQ_CAL_Y" localSheetId="12" hidden="1">"c102"</definedName>
    <definedName name="IQ_CAL_Y" localSheetId="7" hidden="1">"c102"</definedName>
    <definedName name="IQ_CAL_Y" hidden="1">"c248"</definedName>
    <definedName name="IQ_CAL_Y_EST" hidden="1">"c6797"</definedName>
    <definedName name="IQ_CAL_Y_EST_CIQ" hidden="1">"c6809"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INVEST_CABLE" hidden="1">"c15794"</definedName>
    <definedName name="IQ_CAP_INVEST_COMMERCIAL" hidden="1">"c15800"</definedName>
    <definedName name="IQ_CAP_INVEST_CUST_PREMISE_EQUIP" hidden="1">"c15795"</definedName>
    <definedName name="IQ_CAP_INVEST_LINE_EXTENSIONS" hidden="1">"c15797"</definedName>
    <definedName name="IQ_CAP_INVEST_SCALABLE_INFRASTRUCTURE" hidden="1">"c15796"</definedName>
    <definedName name="IQ_CAP_INVEST_SUPPORT" hidden="1">"c15799"</definedName>
    <definedName name="IQ_CAP_INVEST_UPGRADE_REBUILD" hidden="1">"c15798"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localSheetId="12" hidden="1">"c103"</definedName>
    <definedName name="IQ_CAPEX" localSheetId="7" hidden="1">"c103"</definedName>
    <definedName name="IQ_CAPEX" hidden="1">"c126"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ACT_OR_EST" hidden="1">"c3584"</definedName>
    <definedName name="IQ_CAPEX_ACT_OR_EST_CIQ" hidden="1">"c5071"</definedName>
    <definedName name="IQ_CAPEX_BNK" hidden="1">"c110"</definedName>
    <definedName name="IQ_CAPEX_BR" hidden="1">"c111"</definedName>
    <definedName name="IQ_CAPEX_CM" hidden="1">"c111"</definedName>
    <definedName name="IQ_CAPEX_DET_EST" hidden="1">"c12048"</definedName>
    <definedName name="IQ_CAPEX_DET_EST_CIQ" hidden="1">"c12108"</definedName>
    <definedName name="IQ_CAPEX_DET_EST_CURRENCY" hidden="1">"c12457"</definedName>
    <definedName name="IQ_CAPEX_DET_EST_CURRENCY_CIQ" hidden="1">"c12501"</definedName>
    <definedName name="IQ_CAPEX_DET_EST_DATE" hidden="1">"c12201"</definedName>
    <definedName name="IQ_CAPEX_DET_EST_DATE_CIQ" hidden="1">"c12254"</definedName>
    <definedName name="IQ_CAPEX_DET_EST_INCL" hidden="1">"c12340"</definedName>
    <definedName name="IQ_CAPEX_DET_EST_INCL_CIQ" hidden="1">"c12384"</definedName>
    <definedName name="IQ_CAPEX_DET_EST_NOTE" hidden="1">"c17542"</definedName>
    <definedName name="IQ_CAPEX_DET_EST_NOTE_CIQ" hidden="1">"c17495"</definedName>
    <definedName name="IQ_CAPEX_DET_EST_ORIGIN" hidden="1">"c12765"</definedName>
    <definedName name="IQ_CAPEX_DET_EST_ORIGIN_CIQ" hidden="1">"c12766"</definedName>
    <definedName name="IQ_CAPEX_EST" hidden="1">"c3523"</definedName>
    <definedName name="IQ_CAPEX_EST_CIQ" hidden="1">"c3807"</definedName>
    <definedName name="IQ_CAPEX_EST_DOWN_2MONTH" hidden="1">"c16525"</definedName>
    <definedName name="IQ_CAPEX_EST_DOWN_2MONTH_CIQ" hidden="1">"c16789"</definedName>
    <definedName name="IQ_CAPEX_EST_DOWN_3MONTH" hidden="1">"c16529"</definedName>
    <definedName name="IQ_CAPEX_EST_DOWN_3MONTH_CIQ" hidden="1">"c16793"</definedName>
    <definedName name="IQ_CAPEX_EST_DOWN_MONTH" hidden="1">"c16521"</definedName>
    <definedName name="IQ_CAPEX_EST_DOWN_MONTH_CIQ" hidden="1">"c16785"</definedName>
    <definedName name="IQ_CAPEX_EST_NOTE" hidden="1">"c17519"</definedName>
    <definedName name="IQ_CAPEX_EST_NOTE_CIQ" hidden="1">"c17472"</definedName>
    <definedName name="IQ_CAPEX_EST_NUM_ANALYSTS_2MONTH" hidden="1">"c16523"</definedName>
    <definedName name="IQ_CAPEX_EST_NUM_ANALYSTS_2MONTH_CIQ" hidden="1">"c16787"</definedName>
    <definedName name="IQ_CAPEX_EST_NUM_ANALYSTS_3MONTH" hidden="1">"c16527"</definedName>
    <definedName name="IQ_CAPEX_EST_NUM_ANALYSTS_3MONTH_CIQ" hidden="1">"c16791"</definedName>
    <definedName name="IQ_CAPEX_EST_NUM_ANALYSTS_MONTH" hidden="1">"c16519"</definedName>
    <definedName name="IQ_CAPEX_EST_NUM_ANALYSTS_MONTH_CIQ" hidden="1">"c16783"</definedName>
    <definedName name="IQ_CAPEX_EST_TOTAL_REVISED_2MONTH" hidden="1">"c16526"</definedName>
    <definedName name="IQ_CAPEX_EST_TOTAL_REVISED_2MONTH_CIQ" hidden="1">"c16790"</definedName>
    <definedName name="IQ_CAPEX_EST_TOTAL_REVISED_3MONTH" hidden="1">"c16530"</definedName>
    <definedName name="IQ_CAPEX_EST_TOTAL_REVISED_3MONTH_CIQ" hidden="1">"c16794"</definedName>
    <definedName name="IQ_CAPEX_EST_TOTAL_REVISED_MONTH" hidden="1">"c16522"</definedName>
    <definedName name="IQ_CAPEX_EST_TOTAL_REVISED_MONTH_CIQ" hidden="1">"c16786"</definedName>
    <definedName name="IQ_CAPEX_EST_UP_2MONTH" hidden="1">"c16524"</definedName>
    <definedName name="IQ_CAPEX_EST_UP_2MONTH_CIQ" hidden="1">"c16788"</definedName>
    <definedName name="IQ_CAPEX_EST_UP_3MONTH" hidden="1">"c16528"</definedName>
    <definedName name="IQ_CAPEX_EST_UP_3MONTH_CIQ" hidden="1">"c16792"</definedName>
    <definedName name="IQ_CAPEX_EST_UP_MONTH" hidden="1">"c16520"</definedName>
    <definedName name="IQ_CAPEX_EST_UP_MONTH_CIQ" hidden="1">"c16784"</definedName>
    <definedName name="IQ_CAPEX_FIN" hidden="1">"c112"</definedName>
    <definedName name="IQ_CAPEX_GUIDANCE" hidden="1">"c4150"</definedName>
    <definedName name="IQ_CAPEX_HIGH_EST" hidden="1">"c3524"</definedName>
    <definedName name="IQ_CAPEX_HIGH_EST_CIQ" hidden="1">"c3809"</definedName>
    <definedName name="IQ_CAPEX_HIGH_GUIDANCE" hidden="1">"c4180"</definedName>
    <definedName name="IQ_CAPEX_INS" hidden="1">"c113"</definedName>
    <definedName name="IQ_CAPEX_LOW_EST" hidden="1">"c3525"</definedName>
    <definedName name="IQ_CAPEX_LOW_EST_CIQ" hidden="1">"c3810"</definedName>
    <definedName name="IQ_CAPEX_LOW_GUIDANCE" hidden="1">"c4220"</definedName>
    <definedName name="IQ_CAPEX_MEDIAN_EST" hidden="1">"c3526"</definedName>
    <definedName name="IQ_CAPEX_MEDIAN_EST_CIQ" hidden="1">"c3808"</definedName>
    <definedName name="IQ_CAPEX_NUM_EST" hidden="1">"c3521"</definedName>
    <definedName name="IQ_CAPEX_NUM_EST_CIQ" hidden="1">"c3811"</definedName>
    <definedName name="IQ_CAPEX_PCT_REV" hidden="1">"c19144"</definedName>
    <definedName name="IQ_CAPEX_STDDEV_EST" hidden="1">"c3522"</definedName>
    <definedName name="IQ_CAPEX_STDDEV_EST_CIQ" hidden="1">"c3812"</definedName>
    <definedName name="IQ_CAPEX_UTI" hidden="1">"c114"</definedName>
    <definedName name="IQ_CAPITAL_ALLOCATION_ADJUSTMENT_FOREIGN_FFIEC" hidden="1">"c15389"</definedName>
    <definedName name="IQ_CAPITAL_CONTRIBUTIONS_SAVINGS_ASSOCIATION_THRIFT" hidden="1">"c25014"</definedName>
    <definedName name="IQ_CAPITAL_LEASE" localSheetId="12" hidden="1">"c1350"</definedName>
    <definedName name="IQ_CAPITAL_LEASE" localSheetId="7" hidden="1">"c1350"</definedName>
    <definedName name="IQ_CAPITAL_LEASE" hidden="1">"c99"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_UNDER_MANAGE" hidden="1">"c18929"</definedName>
    <definedName name="IQ_CAPITAL_UNDER_MANAGE_CURRENCY" hidden="1">"c19171"</definedName>
    <definedName name="IQ_CAPITAL_UNDER_MANAGE_DATE" hidden="1">"c18930"</definedName>
    <definedName name="IQ_CAPITALIZED_INT_THRIFT" hidden="1">"c24763"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RRYING_AMT_DEBT_SEC_COVERED_FDIC_LOSS_SHARING_AGREEMENTS_THRIFT" hidden="1">"c24944"</definedName>
    <definedName name="IQ_CARRYING_AMT_LOANS_LEASES_COVERED_FDIC_LOSS_SHARING_AGREEMENTS_THRIFT" hidden="1">"c24942"</definedName>
    <definedName name="IQ_CARRYING_AMT_OTHER_ASSETS_COVERED_FDIC_LOSS_SHARING_AGREEMENTS_THRIFT" hidden="1">"c24945"</definedName>
    <definedName name="IQ_CARRYING_AMT_RE_OWNED_COVERED_FDIC_LOSS_SHARING_AGREEMENTS_THRIFT" hidden="1">"c24943"</definedName>
    <definedName name="IQ_CASH" localSheetId="12" hidden="1">"c1458"</definedName>
    <definedName name="IQ_CASH" localSheetId="7" hidden="1">"c1458"</definedName>
    <definedName name="IQ_CASH" hidden="1">"c69"</definedName>
    <definedName name="IQ_CASH_ACQUIRE_CF" hidden="1">"c1630"</definedName>
    <definedName name="IQ_CASH_BALANCES_DUE_FFIEC" hidden="1">"c12773"</definedName>
    <definedName name="IQ_CASH_BANKS_FOREIGN_COUNTRIES_DOM_FFIEC" hidden="1">"c15289"</definedName>
    <definedName name="IQ_CASH_COLLECTION_UNPOSTED_DEBITS_CURRENCY_FFIEC" hidden="1">"c15279"</definedName>
    <definedName name="IQ_CASH_COLLECTION_UNPOSTED_DEBITS_DOM_FFIEC" hidden="1">"c15286"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ER_SUB" hidden="1">"c15763"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EPOSITORY_INSTIT_US_DOM_FFIEC" hidden="1">"c15288"</definedName>
    <definedName name="IQ_CASH_DIVIDENDS_NET_INCOME_FDIC" hidden="1">"c6738"</definedName>
    <definedName name="IQ_CASH_DIVIDENDS_NET_INCOME_THRIFT" hidden="1">"c25634"</definedName>
    <definedName name="IQ_CASH_DUE_BANKS" localSheetId="12" hidden="1">"c1351"</definedName>
    <definedName name="IQ_CASH_DUE_BANKS" localSheetId="7" hidden="1">"c1351"</definedName>
    <definedName name="IQ_CASH_DUE_BANKS" hidden="1">"c71"</definedName>
    <definedName name="IQ_CASH_DUE_OTHER_FED_RESERVE_BANKS_DOM_FFIEC" hidden="1">"c15290"</definedName>
    <definedName name="IQ_CASH_DUE_OTHER_FED_RESERVE_BANKS_FFIEC" hidden="1">"c15284"</definedName>
    <definedName name="IQ_CASH_DUE_US_BRANCH_FOREIGN_BANK_FFIEC" hidden="1">"c15280"</definedName>
    <definedName name="IQ_CASH_ELIGIBLE_0_PCT_RISK_WEIGHT_THRIFT" hidden="1">"c25051"</definedName>
    <definedName name="IQ_CASH_EPS_ACT_OR_EST" hidden="1">"c5638"</definedName>
    <definedName name="IQ_CASH_EPS_ACT_OR_EST_CIQ" hidden="1">"c18264"</definedName>
    <definedName name="IQ_CASH_EPS_DET_EST" hidden="1">"c18385"</definedName>
    <definedName name="IQ_CASH_EPS_DET_EST_CIQ" hidden="1">"c18172"</definedName>
    <definedName name="IQ_CASH_EPS_DET_EST_CURRENCY" hidden="1">"c18389"</definedName>
    <definedName name="IQ_CASH_EPS_DET_EST_CURRENCY_CIQ" hidden="1">"c18305"</definedName>
    <definedName name="IQ_CASH_EPS_DET_EST_DATE" hidden="1">"c18386"</definedName>
    <definedName name="IQ_CASH_EPS_DET_EST_DATE_CIQ" hidden="1">"c18279"</definedName>
    <definedName name="IQ_CASH_EPS_DET_EST_INCL" hidden="1">"c18387"</definedName>
    <definedName name="IQ_CASH_EPS_DET_EST_INCL_CIQ" hidden="1">"c18361"</definedName>
    <definedName name="IQ_CASH_EPS_DET_EST_NOTE" hidden="1">"c18388"</definedName>
    <definedName name="IQ_CASH_EPS_DET_EST_NOTE_CIQ" hidden="1">"c18294"</definedName>
    <definedName name="IQ_CASH_EPS_DET_EST_ORIGIN" hidden="1">"c18390"</definedName>
    <definedName name="IQ_CASH_EPS_DET_EST_ORIGIN_CIQ" hidden="1">"c18316"</definedName>
    <definedName name="IQ_CASH_EPS_EST" hidden="1">"c5631"</definedName>
    <definedName name="IQ_CASH_EPS_EST_CIQ" hidden="1">"c18111"</definedName>
    <definedName name="IQ_CASH_EPS_EST_DOWN_2MONTH" hidden="1">"c16333"</definedName>
    <definedName name="IQ_CASH_EPS_EST_DOWN_3MONTH" hidden="1">"c16337"</definedName>
    <definedName name="IQ_CASH_EPS_EST_DOWN_MONTH" hidden="1">"c16329"</definedName>
    <definedName name="IQ_CASH_EPS_EST_NOTE_CIQ" hidden="1">"c18232"</definedName>
    <definedName name="IQ_CASH_EPS_EST_NUM_ANALYSTS_2MONTH" hidden="1">"c16331"</definedName>
    <definedName name="IQ_CASH_EPS_EST_NUM_ANALYSTS_3MONTH" hidden="1">"c16335"</definedName>
    <definedName name="IQ_CASH_EPS_EST_NUM_ANALYSTS_MONTH" hidden="1">"c16327"</definedName>
    <definedName name="IQ_CASH_EPS_EST_TOTAL_REVISED_2MONTH" hidden="1">"c16334"</definedName>
    <definedName name="IQ_CASH_EPS_EST_TOTAL_REVISED_3MONTH" hidden="1">"c16338"</definedName>
    <definedName name="IQ_CASH_EPS_EST_TOTAL_REVISED_MONTH" hidden="1">"c16330"</definedName>
    <definedName name="IQ_CASH_EPS_EST_UP_2MONTH" hidden="1">"c16332"</definedName>
    <definedName name="IQ_CASH_EPS_EST_UP_3MONTH" hidden="1">"c16336"</definedName>
    <definedName name="IQ_CASH_EPS_EST_UP_MONTH" hidden="1">"c16328"</definedName>
    <definedName name="IQ_CASH_EPS_GUIDANCE" hidden="1">"c18397"</definedName>
    <definedName name="IQ_CASH_EPS_HIGH_EST" hidden="1">"c5633"</definedName>
    <definedName name="IQ_CASH_EPS_HIGH_EST_CIQ" hidden="1">"c18131"</definedName>
    <definedName name="IQ_CASH_EPS_HIGH_GUIDANCE" hidden="1">"c18398"</definedName>
    <definedName name="IQ_CASH_EPS_LOW_EST" hidden="1">"c5634"</definedName>
    <definedName name="IQ_CASH_EPS_LOW_EST_CIQ" hidden="1">"c18141"</definedName>
    <definedName name="IQ_CASH_EPS_LOW_GUIDANCE" hidden="1">"c18399"</definedName>
    <definedName name="IQ_CASH_EPS_MEDIAN_EST" hidden="1">"c5632"</definedName>
    <definedName name="IQ_CASH_EPS_MEDIAN_EST_CIQ" hidden="1">"c18121"</definedName>
    <definedName name="IQ_CASH_EPS_NUM_EST" hidden="1">"c5635"</definedName>
    <definedName name="IQ_CASH_EPS_NUM_EST_CIQ" hidden="1">"c18161"</definedName>
    <definedName name="IQ_CASH_EPS_STDDEV_EST" hidden="1">"c5636"</definedName>
    <definedName name="IQ_CASH_EPS_STDDEV_EST_CIQ" hidden="1">"c18151"</definedName>
    <definedName name="IQ_CASH_EQUIV" localSheetId="12" hidden="1">"c118"</definedName>
    <definedName name="IQ_CASH_EQUIV" localSheetId="7" hidden="1">"c118"</definedName>
    <definedName name="IQ_CASH_EQUIV" hidden="1">"c70"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" hidden="1">"c4154"</definedName>
    <definedName name="IQ_CASH_FLOW_ACT_OR_EST_CIQ" hidden="1">"c4566"</definedName>
    <definedName name="IQ_CASH_FLOW_AP" hidden="1">"c25889"</definedName>
    <definedName name="IQ_CASH_FLOW_AP_CO" hidden="1">"c25890"</definedName>
    <definedName name="IQ_CASH_FLOW_EST" hidden="1">"c4153"</definedName>
    <definedName name="IQ_CASH_FLOW_EST_CIQ" hidden="1">"c4565"</definedName>
    <definedName name="IQ_CASH_FLOW_HIGH_EST" hidden="1">"c4156"</definedName>
    <definedName name="IQ_CASH_FLOW_HIGH_EST_CIQ" hidden="1">"c4568"</definedName>
    <definedName name="IQ_CASH_FLOW_INDUSTRY" hidden="1">"c25885"</definedName>
    <definedName name="IQ_CASH_FLOW_INDUSTRY_CO" hidden="1">"c25886"</definedName>
    <definedName name="IQ_CASH_FLOW_LOW_EST" hidden="1">"c4157"</definedName>
    <definedName name="IQ_CASH_FLOW_LOW_EST_CIQ" hidden="1">"c4569"</definedName>
    <definedName name="IQ_CASH_FLOW_MEDIAN_EST" hidden="1">"c4158"</definedName>
    <definedName name="IQ_CASH_FLOW_MEDIAN_EST_CIQ" hidden="1">"c4570"</definedName>
    <definedName name="IQ_CASH_FLOW_NUM_EST" hidden="1">"c4159"</definedName>
    <definedName name="IQ_CASH_FLOW_NUM_EST_CIQ" hidden="1">"c4571"</definedName>
    <definedName name="IQ_CASH_FLOW_STANDARD" hidden="1">"c25887"</definedName>
    <definedName name="IQ_CASH_FLOW_STANDARD_CO" hidden="1">"c25888"</definedName>
    <definedName name="IQ_CASH_FLOW_STDDEV_EST" hidden="1">"c4160"</definedName>
    <definedName name="IQ_CASH_FLOW_STDDEV_EST_CIQ" hidden="1">"c4572"</definedName>
    <definedName name="IQ_CASH_FOREIGN_BRANCH_OTHER_US_BANKS_FFIEC" hidden="1">"c15282"</definedName>
    <definedName name="IQ_CASH_IN_PROCESS_FDIC" hidden="1">"c6386"</definedName>
    <definedName name="IQ_CASH_INTEREST" localSheetId="12" hidden="1">"c120"</definedName>
    <definedName name="IQ_CASH_INTEREST" localSheetId="7" hidden="1">"c120"</definedName>
    <definedName name="IQ_CASH_INTEREST" hidden="1">"c137"</definedName>
    <definedName name="IQ_CASH_INTEREST_FINAN" hidden="1">"c6295"</definedName>
    <definedName name="IQ_CASH_INTEREST_INVEST" hidden="1">"c6294"</definedName>
    <definedName name="IQ_CASH_INTEREST_NET" hidden="1">"c12753"</definedName>
    <definedName name="IQ_CASH_INTEREST_OPER" hidden="1">"c6293"</definedName>
    <definedName name="IQ_CASH_INTEREST_RECEIVED" hidden="1">"c12754"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NON_INT_EARNING_DEPOSITS_THRIFT" hidden="1">"c24818"</definedName>
    <definedName name="IQ_CASH_OPER" hidden="1">"c122"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DET_EST_CIQ" hidden="1">"c24555"</definedName>
    <definedName name="IQ_CASH_OPER_DET_EST_CURRENCY_CIQ" hidden="1">"c24559"</definedName>
    <definedName name="IQ_CASH_OPER_DET_EST_DATE_CIQ" hidden="1">"c24556"</definedName>
    <definedName name="IQ_CASH_OPER_DET_EST_INCL_CIQ" hidden="1">"c24557"</definedName>
    <definedName name="IQ_CASH_OPER_DET_EST_NOTE_CIQ" hidden="1">"c24558"</definedName>
    <definedName name="IQ_CASH_OPER_DET_EST_ORIGIN_CIQ" hidden="1">"c24560"</definedName>
    <definedName name="IQ_CASH_OPER_EST_CIQ" hidden="1">"c4575"</definedName>
    <definedName name="IQ_CASH_OPER_EST_DOWN_2MONTH_CIQ" hidden="1">"c24567"</definedName>
    <definedName name="IQ_CASH_OPER_EST_DOWN_3MONTH_CIQ" hidden="1">"c24571"</definedName>
    <definedName name="IQ_CASH_OPER_EST_DOWN_MONTH_CIQ" hidden="1">"c24563"</definedName>
    <definedName name="IQ_CASH_OPER_EST_NOTE_CIQ" hidden="1">"c24554"</definedName>
    <definedName name="IQ_CASH_OPER_EST_NUM_ANALYSTS_2MONTH_CIQ" hidden="1">"c24565"</definedName>
    <definedName name="IQ_CASH_OPER_EST_NUM_ANALYSTS_3MONTH_CIQ" hidden="1">"c24569"</definedName>
    <definedName name="IQ_CASH_OPER_EST_NUM_ANALYSTS_MONTH_CIQ" hidden="1">"c24561"</definedName>
    <definedName name="IQ_CASH_OPER_EST_TOTAL_REVISED_2MONTH_CIQ" hidden="1">"c24568"</definedName>
    <definedName name="IQ_CASH_OPER_EST_TOTAL_REVISED_3MONTH_CIQ" hidden="1">"c24572"</definedName>
    <definedName name="IQ_CASH_OPER_EST_TOTAL_REVISED_MONTH_CIQ" hidden="1">"c24564"</definedName>
    <definedName name="IQ_CASH_OPER_EST_UP_2MONTH_CIQ" hidden="1">"c24566"</definedName>
    <definedName name="IQ_CASH_OPER_EST_UP_3MONTH_CIQ" hidden="1">"c24570"</definedName>
    <definedName name="IQ_CASH_OPER_EST_UP_MONTH_CIQ" hidden="1">"c24562"</definedName>
    <definedName name="IQ_CASH_OPER_GUIDANCE" hidden="1">"c4165"</definedName>
    <definedName name="IQ_CASH_OPER_HIGH_EST_CIQ" hidden="1">"c4578"</definedName>
    <definedName name="IQ_CASH_OPER_HIGH_GUIDANCE" hidden="1">"c4185"</definedName>
    <definedName name="IQ_CASH_OPER_LOW_EST_CIQ" hidden="1">"c4768"</definedName>
    <definedName name="IQ_CASH_OPER_LOW_GUIDANCE" hidden="1">"c4225"</definedName>
    <definedName name="IQ_CASH_OPER_MEDIAN_EST_CIQ" hidden="1">"c4771"</definedName>
    <definedName name="IQ_CASH_OPER_NAME_AP" hidden="1">"c8926"</definedName>
    <definedName name="IQ_CASH_OPER_NAME_AP_ABS" hidden="1">"c8945"</definedName>
    <definedName name="IQ_CASH_OPER_NUM_EST_CIQ" hidden="1">"c4772"</definedName>
    <definedName name="IQ_CASH_OPER_STDDEV_EST_CIQ" hidden="1">"c4773"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OTHER_BANKS_FOREIGN_COUNTRIES_FFIEC" hidden="1">"c15283"</definedName>
    <definedName name="IQ_CASH_OTHER_US_COMM_BANK_DEP_INSTIT_FFIEC" hidden="1">"c15281"</definedName>
    <definedName name="IQ_CASH_SEGREG" hidden="1">"c123"</definedName>
    <definedName name="IQ_CASH_SHARE" hidden="1">"c1911"</definedName>
    <definedName name="IQ_CASH_ST" localSheetId="12" hidden="1">"c1355"</definedName>
    <definedName name="IQ_CASH_ST" localSheetId="7" hidden="1">"c1355"</definedName>
    <definedName name="IQ_CASH_ST" hidden="1">"c73"</definedName>
    <definedName name="IQ_CASH_ST_INVEST" hidden="1">"c124"</definedName>
    <definedName name="IQ_CASH_ST_INVEST_EST" hidden="1">"c4249"</definedName>
    <definedName name="IQ_CASH_ST_INVEST_EST_CIQ" hidden="1">"c4775"</definedName>
    <definedName name="IQ_CASH_ST_INVEST_HIGH_EST" hidden="1">"c4251"</definedName>
    <definedName name="IQ_CASH_ST_INVEST_HIGH_EST_CIQ" hidden="1">"c4777"</definedName>
    <definedName name="IQ_CASH_ST_INVEST_LOW_EST" hidden="1">"c4252"</definedName>
    <definedName name="IQ_CASH_ST_INVEST_LOW_EST_CIQ" hidden="1">"c4778"</definedName>
    <definedName name="IQ_CASH_ST_INVEST_MEDIAN_EST" hidden="1">"c4253"</definedName>
    <definedName name="IQ_CASH_ST_INVEST_MEDIAN_EST_CIQ" hidden="1">"c4779"</definedName>
    <definedName name="IQ_CASH_ST_INVEST_NUM_EST" hidden="1">"c4254"</definedName>
    <definedName name="IQ_CASH_ST_INVEST_NUM_EST_CIQ" hidden="1">"c4780"</definedName>
    <definedName name="IQ_CASH_ST_INVEST_STDDEV_EST" hidden="1">"c4255"</definedName>
    <definedName name="IQ_CASH_ST_INVEST_STDDEV_EST_CIQ" hidden="1">"c4781"</definedName>
    <definedName name="IQ_CASH_STRUCTURED_PRODUCTS_AFS_AMORT_COST_FFIEC" hidden="1">"c20500"</definedName>
    <definedName name="IQ_CASH_STRUCTURED_PRODUCTS_AFS_FAIR_VAL_FFIEC" hidden="1">"c20465"</definedName>
    <definedName name="IQ_CASH_STRUCTURED_PRODUCTS_AVAIL_SALE_FFIEC" hidden="1">"c15263"</definedName>
    <definedName name="IQ_CASH_STRUCTURED_PRODUCTS_FFIEC" hidden="1">"c15260"</definedName>
    <definedName name="IQ_CASH_STRUCTURED_PRODUCTS_HTM_AMORT_COST_FFIEC" hidden="1">"c20448"</definedName>
    <definedName name="IQ_CASH_STRUCTURED_PRODUCTS_HTM_FAIR_VAL_FFIEC" hidden="1">"c20483"</definedName>
    <definedName name="IQ_CASH_TAXES" localSheetId="12" hidden="1">"c125"</definedName>
    <definedName name="IQ_CASH_TAXES" localSheetId="7" hidden="1">"c125"</definedName>
    <definedName name="IQ_CASH_TAXES" hidden="1">"c138"</definedName>
    <definedName name="IQ_CASH_TAXES_FINAN" hidden="1">"c6292"</definedName>
    <definedName name="IQ_CASH_TAXES_INVEST" hidden="1">"c6291"</definedName>
    <definedName name="IQ_CASH_TAXES_OPER" hidden="1">"c6290"</definedName>
    <definedName name="IQ_CATASTROPHIC_LOSS_RATIO" hidden="1">"c15881"</definedName>
    <definedName name="IQ_CATASTROPHIC_LOSSES" hidden="1">"c17694"</definedName>
    <definedName name="IQ_CC_RELATED_DUE_90_FFIEC" hidden="1">"c25833"</definedName>
    <definedName name="IQ_CC_RELATED_LOANS_DUE_30_89_FFIEC" hidden="1">"c25832"</definedName>
    <definedName name="IQ_CC_RELATED_NON_ACCRUAL_FFIEC" hidden="1">"c25834"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OUPON" hidden="1">"c15234"</definedName>
    <definedName name="IQ_CDS_CURRENCY" hidden="1">"c6031"</definedName>
    <definedName name="IQ_CDS_DERIVATIVES_BENEFICIARY_FFIEC" hidden="1">"c13119"</definedName>
    <definedName name="IQ_CDS_DERIVATIVES_GUARANTOR_FFIEC" hidden="1">"c13112"</definedName>
    <definedName name="IQ_CDS_EVAL_DATE" hidden="1">"c6029"</definedName>
    <definedName name="IQ_CDS_LIST" hidden="1">"c13510"</definedName>
    <definedName name="IQ_CDS_LOAN_LIST" hidden="1">"c13518"</definedName>
    <definedName name="IQ_CDS_MID" hidden="1">"c6028"</definedName>
    <definedName name="IQ_CDS_NAME" hidden="1">"c6034"</definedName>
    <definedName name="IQ_CDS_NEXT_SERIES_ID" hidden="1">"c15231"</definedName>
    <definedName name="IQ_CDS_PREV_SERIES_ID" hidden="1">"c15232"</definedName>
    <definedName name="IQ_CDS_PRICE_TYPE" hidden="1">"c15233"</definedName>
    <definedName name="IQ_CDS_SENIOR_LIST" hidden="1">"c13508"</definedName>
    <definedName name="IQ_CDS_SUB_LIST" hidden="1">"c13509"</definedName>
    <definedName name="IQ_CDS_TERM" hidden="1">"c6030"</definedName>
    <definedName name="IQ_CDS_TYPE" hidden="1">"c6025"</definedName>
    <definedName name="IQ_CEDED_AH_EARNED" hidden="1">"c2743"</definedName>
    <definedName name="IQ_CEDED_CLAIM_ADJ_EXP_RESERVE_BOP" hidden="1">"c15875"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LOSSES" hidden="1">"c15872"</definedName>
    <definedName name="IQ_CEDED_PC_EARNED" hidden="1">"c2748"</definedName>
    <definedName name="IQ_CEDED_PREMIUMS_EARNED_GROSS_PREMIUMS_EARNED" hidden="1">"c15887"</definedName>
    <definedName name="IQ_CEDED_PREMIUMS_WRITTEN_GROSS_PREMIUMS_WRITTEN" hidden="1">"c15885"</definedName>
    <definedName name="IQ_CEDED_WRITTEN" hidden="1">"c2727"</definedName>
    <definedName name="IQ_CEO_ID" hidden="1">"c15210"</definedName>
    <definedName name="IQ_CEO_NAME" hidden="1">"c15209"</definedName>
    <definedName name="IQ_CERTIFIED_OFFICIAL_CHECKS_TRANS_ACCTS_FFIEC" hidden="1">"c15320"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FO_ID" hidden="1">"c15212"</definedName>
    <definedName name="IQ_CFO_NAME" hidden="1">"c15211"</definedName>
    <definedName name="IQ_CFPS_ACT_OR_EST" hidden="1">"c2217"</definedName>
    <definedName name="IQ_CFPS_ACT_OR_EST_CIQ" hidden="1">"c5061"</definedName>
    <definedName name="IQ_CFPS_DET_EST" hidden="1">"c12049"</definedName>
    <definedName name="IQ_CFPS_DET_EST_CIQ" hidden="1">"c12109"</definedName>
    <definedName name="IQ_CFPS_DET_EST_CURRENCY" hidden="1">"c12458"</definedName>
    <definedName name="IQ_CFPS_DET_EST_CURRENCY_CIQ" hidden="1">"c12502"</definedName>
    <definedName name="IQ_CFPS_DET_EST_DATE" hidden="1">"c12202"</definedName>
    <definedName name="IQ_CFPS_DET_EST_DATE_CIQ" hidden="1">"c12255"</definedName>
    <definedName name="IQ_CFPS_DET_EST_INCL" hidden="1">"c12341"</definedName>
    <definedName name="IQ_CFPS_DET_EST_INCL_CIQ" hidden="1">"c12385"</definedName>
    <definedName name="IQ_CFPS_DET_EST_NOTE" hidden="1">"c17529"</definedName>
    <definedName name="IQ_CFPS_DET_EST_NOTE_CIQ" hidden="1">"c17482"</definedName>
    <definedName name="IQ_CFPS_DET_EST_ORIGIN" hidden="1">"c12575"</definedName>
    <definedName name="IQ_CFPS_DET_EST_ORIGIN_CIQ" hidden="1">"c12624"</definedName>
    <definedName name="IQ_CFPS_EST" hidden="1">"c1667"</definedName>
    <definedName name="IQ_CFPS_EST_CIQ" hidden="1">"c3675"</definedName>
    <definedName name="IQ_CFPS_EST_DOWN_2MONTH" hidden="1">"c16321"</definedName>
    <definedName name="IQ_CFPS_EST_DOWN_2MONTH_CIQ" hidden="1">"c16645"</definedName>
    <definedName name="IQ_CFPS_EST_DOWN_3MONTH" hidden="1">"c16325"</definedName>
    <definedName name="IQ_CFPS_EST_DOWN_3MONTH_CIQ" hidden="1">"c16649"</definedName>
    <definedName name="IQ_CFPS_EST_DOWN_MONTH" hidden="1">"c16317"</definedName>
    <definedName name="IQ_CFPS_EST_DOWN_MONTH_CIQ" hidden="1">"c16641"</definedName>
    <definedName name="IQ_CFPS_EST_NOTE" hidden="1">"c17508"</definedName>
    <definedName name="IQ_CFPS_EST_NOTE_CIQ" hidden="1">"c17461"</definedName>
    <definedName name="IQ_CFPS_EST_NUM_ANALYSTS_2MONTH" hidden="1">"c16319"</definedName>
    <definedName name="IQ_CFPS_EST_NUM_ANALYSTS_2MONTH_CIQ" hidden="1">"c16643"</definedName>
    <definedName name="IQ_CFPS_EST_NUM_ANALYSTS_3MONTH" hidden="1">"c16323"</definedName>
    <definedName name="IQ_CFPS_EST_NUM_ANALYSTS_3MONTH_CIQ" hidden="1">"c16647"</definedName>
    <definedName name="IQ_CFPS_EST_NUM_ANALYSTS_MONTH" hidden="1">"c16315"</definedName>
    <definedName name="IQ_CFPS_EST_NUM_ANALYSTS_MONTH_CIQ" hidden="1">"c16639"</definedName>
    <definedName name="IQ_CFPS_EST_TOTAL_REVISED_2MONTH" hidden="1">"c16322"</definedName>
    <definedName name="IQ_CFPS_EST_TOTAL_REVISED_2MONTH_CIQ" hidden="1">"c16646"</definedName>
    <definedName name="IQ_CFPS_EST_TOTAL_REVISED_3MONTH" hidden="1">"c16326"</definedName>
    <definedName name="IQ_CFPS_EST_TOTAL_REVISED_3MONTH_CIQ" hidden="1">"c16650"</definedName>
    <definedName name="IQ_CFPS_EST_TOTAL_REVISED_MONTH" hidden="1">"c16318"</definedName>
    <definedName name="IQ_CFPS_EST_TOTAL_REVISED_MONTH_CIQ" hidden="1">"c16642"</definedName>
    <definedName name="IQ_CFPS_EST_UP_2MONTH" hidden="1">"c16320"</definedName>
    <definedName name="IQ_CFPS_EST_UP_2MONTH_CIQ" hidden="1">"c16644"</definedName>
    <definedName name="IQ_CFPS_EST_UP_3MONTH" hidden="1">"c16324"</definedName>
    <definedName name="IQ_CFPS_EST_UP_3MONTH_CIQ" hidden="1">"c16648"</definedName>
    <definedName name="IQ_CFPS_EST_UP_MONTH" hidden="1">"c16316"</definedName>
    <definedName name="IQ_CFPS_EST_UP_MONTH_CIQ" hidden="1">"c16640"</definedName>
    <definedName name="IQ_CFPS_GUIDANCE" hidden="1">"c4256"</definedName>
    <definedName name="IQ_CFPS_HIGH_EST" hidden="1">"c1669"</definedName>
    <definedName name="IQ_CFPS_HIGH_EST_CIQ" hidden="1">"c3677"</definedName>
    <definedName name="IQ_CFPS_HIGH_GUIDANCE" hidden="1">"c4167"</definedName>
    <definedName name="IQ_CFPS_LOW_EST" hidden="1">"c1670"</definedName>
    <definedName name="IQ_CFPS_LOW_EST_CIQ" hidden="1">"c3678"</definedName>
    <definedName name="IQ_CFPS_LOW_GUIDANCE" hidden="1">"c4207"</definedName>
    <definedName name="IQ_CFPS_MEDIAN_EST" hidden="1">"c1668"</definedName>
    <definedName name="IQ_CFPS_MEDIAN_EST_CIQ" hidden="1">"c3676"</definedName>
    <definedName name="IQ_CFPS_NUM_EST" hidden="1">"c1671"</definedName>
    <definedName name="IQ_CFPS_NUM_EST_CIQ" hidden="1">"c3679"</definedName>
    <definedName name="IQ_CFPS_STDDEV_EST" hidden="1">"c1672"</definedName>
    <definedName name="IQ_CFPS_STDDEV_EST_CIQ" hidden="1">"c3680"</definedName>
    <definedName name="IQ_CH" hidden="1">110000</definedName>
    <definedName name="IQ_CHAIRMAN_ID" hidden="1">"c15218"</definedName>
    <definedName name="IQ_CHAIRMAN_NAME" hidden="1">"c15217"</definedName>
    <definedName name="IQ_CHANGE_AP" hidden="1">"c133"</definedName>
    <definedName name="IQ_CHANGE_AP_BNK" hidden="1">"c134"</definedName>
    <definedName name="IQ_CHANGE_AP_BR" hidden="1">"c135"</definedName>
    <definedName name="IQ_CHANGE_AP_CM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CM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F_TAX_TOTAL" hidden="1">"c15557"</definedName>
    <definedName name="IQ_CHANGE_DEPOSIT_ACCT" hidden="1">"c148"</definedName>
    <definedName name="IQ_CHANGE_FAIR_VALUE_FINANCIAL_LIAB_T1_FFIEC" hidden="1">"c13138"</definedName>
    <definedName name="IQ_CHANGE_FAIR_VALUE_OPTIONS_FFIEC" hidden="1">"c13045"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" hidden="1">"c8500"</definedName>
    <definedName name="IQ_CHANGE_INVENT_REAL_APR_FC_UNUSED_UNUSED_UNUSED" hidden="1">"c8500"</definedName>
    <definedName name="IQ_CHANGE_INVENT_REAL_APR_UNUSED" hidden="1">"c7620"</definedName>
    <definedName name="IQ_CHANGE_INVENT_REAL_APR_UNUSED_UNUSED_UNUSED" hidden="1">"c7620"</definedName>
    <definedName name="IQ_CHANGE_INVENT_REAL_FC_UNUSED" hidden="1">"c7840"</definedName>
    <definedName name="IQ_CHANGE_INVENT_REAL_FC_UNUSED_UNUSED_UNUSED" hidden="1">"c7840"</definedName>
    <definedName name="IQ_CHANGE_INVENT_REAL_POP_FC_UNUSED" hidden="1">"c8060"</definedName>
    <definedName name="IQ_CHANGE_INVENT_REAL_POP_FC_UNUSED_UNUSED_UNUSED" hidden="1">"c8060"</definedName>
    <definedName name="IQ_CHANGE_INVENT_REAL_POP_UNUSED" hidden="1">"c7180"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" hidden="1">"c6960"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" hidden="1">"c8280"</definedName>
    <definedName name="IQ_CHANGE_INVENT_REAL_YOY_FC_UNUSED_UNUSED_UNUSED" hidden="1">"c8280"</definedName>
    <definedName name="IQ_CHANGE_INVENT_REAL_YOY_UNUSED" hidden="1">"c7400"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CM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CM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UNRECOG_TAX_BENEFIT_1_YR_MAX" hidden="1">"c15747"</definedName>
    <definedName name="IQ_CHANGE_UNRECOG_TAX_BENEFIT_1_YR_MIN" hidden="1">"c15746"</definedName>
    <definedName name="IQ_CHANGE_WORK_CAP" hidden="1">"c161"</definedName>
    <definedName name="IQ_CHANGES_WORK_CAP" localSheetId="12" hidden="1">"c1357"</definedName>
    <definedName name="IQ_CHANGES_WORK_CAP" localSheetId="7" hidden="1">"c1357"</definedName>
    <definedName name="IQ_CHANGES_WORK_CAP" hidden="1">"c124"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GVA_THRIFT" hidden="1">"c25096"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SVA_THRIFT" hidden="1">"c25103"</definedName>
    <definedName name="IQ_CHARGE_OFFS_TOTAL_AVG_LOANS" hidden="1">"c165"</definedName>
    <definedName name="IQ_CHARGE_OFFS_TVA_THRIFT" hidden="1">"c25110"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HURN_BASIC_CABLE" hidden="1">"c2871"</definedName>
    <definedName name="IQ_CHURN_BBAND" hidden="1">"c2872"</definedName>
    <definedName name="IQ_CHURN_DIG_CABLE" hidden="1">"c2870"</definedName>
    <definedName name="IQ_CHURN_PHONE" hidden="1">"c2873"</definedName>
    <definedName name="IQ_CHURN_POSTPAID_WIRELESS" hidden="1">"c2121"</definedName>
    <definedName name="IQ_CHURN_PREPAID_WIRELESS" hidden="1">"c2120"</definedName>
    <definedName name="IQ_CHURN_SATELLITE" hidden="1">"c15791"</definedName>
    <definedName name="IQ_CHURN_TOTAL" hidden="1">"c2874"</definedName>
    <definedName name="IQ_CHURN_TOTAL_WIRELESS" hidden="1">"c2122"</definedName>
    <definedName name="IQ_CIK" hidden="1">"c20384"</definedName>
    <definedName name="IQ_CIP" hidden="1">"c17551"</definedName>
    <definedName name="IQ_CITY" localSheetId="12" hidden="1">"c166"</definedName>
    <definedName name="IQ_CITY" localSheetId="7" hidden="1">"c166"</definedName>
    <definedName name="IQ_CITY" hidden="1">"c216"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IMS_ADJUSTMENT_EXP_PC_FFIEC" hidden="1">"c13100"</definedName>
    <definedName name="IQ_CLAIMS_DOMESTIC_DEPOSITORY_INSTITUTIONS_ELIGIBLE_20_PCT_RISK_WEIGHT_THRIFT" hidden="1">"c25060"</definedName>
    <definedName name="IQ_CLAIMS_FHLBS_ELIGIBLE_20_PCT_RISK_WEIGHT_THRIFT" hidden="1">"c25058"</definedName>
    <definedName name="IQ_CLASS_MARKETCAP" hidden="1">"c13512"</definedName>
    <definedName name="IQ_CLASS_SHARESOUTSTANDING" hidden="1">"c13513"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D_END_1_4_FAM_LOANS_TOT_LOANS_FFIEC" hidden="1">"c13866"</definedName>
    <definedName name="IQ_CLOSED_END_1_4_FAMILY_LOANS_TOTAL_LOANS_THRIFT" hidden="1">"c25742"</definedName>
    <definedName name="IQ_CLOSED_END_1_4_FIRST_LIENS_TRADING_DOM_FFIEC" hidden="1">"c12928"</definedName>
    <definedName name="IQ_CLOSED_END_1_4_JR_LIENS_LL_REC_DOM_FFIEC" hidden="1">"c12904"</definedName>
    <definedName name="IQ_CLOSED_END_1_4_JUNIOR_LIENS_TRADING_DOM_FFIEC" hidden="1">"c12929"</definedName>
    <definedName name="IQ_CLOSED_END_LOANS_GROSS_LOANS_THRIFT" hidden="1">"c25724"</definedName>
    <definedName name="IQ_CLOSED_END_LOANS_RISK_BASED_CAPITAL_THRIFT" hidden="1">"c25709"</definedName>
    <definedName name="IQ_CLOSED_END_SEC_1_4_1ST_LIENS_CHARGE_OFFS_FFIEC" hidden="1">"c13169"</definedName>
    <definedName name="IQ_CLOSED_END_SEC_1_4_1ST_LIENS_DUE_30_89_FFIEC" hidden="1">"c13261"</definedName>
    <definedName name="IQ_CLOSED_END_SEC_1_4_1ST_LIENS_DUE_90_FFIEC" hidden="1">"c13289"</definedName>
    <definedName name="IQ_CLOSED_END_SEC_1_4_1ST_LIENS_NON_ACCRUAL_FFIEC" hidden="1">"c13315"</definedName>
    <definedName name="IQ_CLOSED_END_SEC_1_4_1ST_LIENS_RECOV_FFIEC" hidden="1">"c13191"</definedName>
    <definedName name="IQ_CLOSED_END_SEC_1_4_JR_LIENS_CHARGE_OFFS_FFIEC" hidden="1">"c13170"</definedName>
    <definedName name="IQ_CLOSED_END_SEC_1_4_JR_LIENS_DUE_30_89_FFIEC" hidden="1">"c13262"</definedName>
    <definedName name="IQ_CLOSED_END_SEC_1_4_JR_LIENS_DUE_90_FFIEC" hidden="1">"c13290"</definedName>
    <definedName name="IQ_CLOSED_END_SEC_1_4_JR_LIENS_NON_ACCRUAL_FFIEC" hidden="1">"c13316"</definedName>
    <definedName name="IQ_CLOSED_END_SEC_1_4_JR_LIENS_RECOV_FFIEC" hidden="1">"c13192"</definedName>
    <definedName name="IQ_CLOSED_END_SEC_1_4_RESIDENT_CHARGE_OFFS_FFIEC" hidden="1">"c15397"</definedName>
    <definedName name="IQ_CLOSED_END_SEC_1_4_RESIDENT_DUE_30_89_FFIEC" hidden="1">"c15413"</definedName>
    <definedName name="IQ_CLOSED_END_SEC_1_4_RESIDENT_DUE_90_FFIEC" hidden="1">"c15417"</definedName>
    <definedName name="IQ_CLOSED_END_SEC_1_4_RESIDENT_NON_ACCRUAL_FFIEC" hidden="1">"c15460"</definedName>
    <definedName name="IQ_CLOSED_END_SEC_1_4_RESIDENT_RECOV_FFIEC" hidden="1">"c15398"</definedName>
    <definedName name="IQ_CLOSED_END_SECURED_1_4_FIRST_LIENS_LL_REC_DOM_FFIEC" hidden="1">"c12903"</definedName>
    <definedName name="IQ_CLOSED_LOANS_GROSS_LOANS_FFIEC" hidden="1">"c13399"</definedName>
    <definedName name="IQ_CLOSED_LOANS_RISK_BASED_FFIEC" hidden="1">"c13420"</definedName>
    <definedName name="IQ_CLOSED_PURCHASED_COMM_NON_MORTGAGE_LOANS_THRIFT" hidden="1">"c25339"</definedName>
    <definedName name="IQ_CLOSED_PURCHASED_CONSUMER_NON_MORTGAGE_LOANS_THRIFT" hidden="1">"c25341"</definedName>
    <definedName name="IQ_CLOSEPRICE" localSheetId="12" hidden="1">"c174"</definedName>
    <definedName name="IQ_CLOSEPRICE" localSheetId="7" hidden="1">"c174"</definedName>
    <definedName name="IQ_CLOSEPRICE" hidden="1">"c206"</definedName>
    <definedName name="IQ_CLOSEPRICE_ADJ" hidden="1">"c2115"</definedName>
    <definedName name="IQ_CMBS_ISSUED_AFS_AMORT_COST_FFIEC" hidden="1">"c20497"</definedName>
    <definedName name="IQ_CMBS_ISSUED_AFS_FAIR_VAL_FFIEC" hidden="1">"c20462"</definedName>
    <definedName name="IQ_CMBS_ISSUED_AVAIL_SALE_FFIEC" hidden="1">"c12800"</definedName>
    <definedName name="IQ_CMBS_ISSUED_FFIEC" hidden="1">"c12786"</definedName>
    <definedName name="IQ_CMBS_ISSUED_HTM_AMORT_COST_FFIEC" hidden="1">"c20445"</definedName>
    <definedName name="IQ_CMBS_ISSUED_HTM_FAIR_VAL_FFIEC" hidden="1">"c20480"</definedName>
    <definedName name="IQ_CMO_FDIC" hidden="1">"c6406"</definedName>
    <definedName name="IQ_CMO_THRIFT" hidden="1">"c24903"</definedName>
    <definedName name="IQ_CO_INVESTORS" hidden="1">"c18910"</definedName>
    <definedName name="IQ_CO_INVESTORS_ID" hidden="1">"c18911"</definedName>
    <definedName name="IQ_CO_INVESTORS_INVESTMENT" hidden="1">"c19113"</definedName>
    <definedName name="IQ_CO_INVESTORS_NUM_INVESTMENTS" hidden="1">"c19170"</definedName>
    <definedName name="IQ_COAL_SALES_TO_OPERATING_REVENUE_COAL" hidden="1">"c15954"</definedName>
    <definedName name="IQ_CODE_QUALITY_PRICE_BID_ASK_RT" hidden="1">"BIDASKQUALITY"</definedName>
    <definedName name="IQ_CODE_QUALITY_PRICE_RT" hidden="1">"PRICEQUALITY"</definedName>
    <definedName name="IQ_COGS" hidden="1">"c175"</definedName>
    <definedName name="IQ_COLLATERAL_TYPE" hidden="1">"c8954"</definedName>
    <definedName name="IQ_COLLATERALIZED_MBS_ISSUED_GUARANTEED_FNMA_FHLMC_GNMA_THRIFT" hidden="1">"c24834"</definedName>
    <definedName name="IQ_COLLECTION_DOMESTIC_FDIC" hidden="1">"c6387"</definedName>
    <definedName name="IQ_COLLECTIVE_INV_FUNDS_COMMON_TRUST_FUNDS_DOMESTIC_EQUITY_MARKET_VALUE_FUNDED_ASSETS_THRIFT" hidden="1">"c25445"</definedName>
    <definedName name="IQ_COLLECTIVE_INV_FUNDS_COMMON_TRUST_FUNDS_DOMESTIC_EQUITY_NUMBER_FUNDS_THRIFT" hidden="1">"c25446"</definedName>
    <definedName name="IQ_COLLECTIVE_INV_FUNDS_COMMON_TRUST_FUNDS_INTERNATIONALGLOBAL_EQUITY_MARKET_VALUE_FUNDED_ASSETS_THRIFT" hidden="1">"c25447"</definedName>
    <definedName name="IQ_COLLECTIVE_INV_FUNDS_COMMON_TRUST_FUNDS_INTERNATIONALGLOBAL_EQUITY_NUMBER_FUNDS_THRIFT" hidden="1">"c25448"</definedName>
    <definedName name="IQ_COLLECTIVE_INV_FUNDS_COMMON_TRUST_FUNDS_MUNICIPAL_BOND_MARKET_VALUE_FUNDED_ASSETS_THRIFT" hidden="1">"c25453"</definedName>
    <definedName name="IQ_COLLECTIVE_INV_FUNDS_COMMON_TRUST_FUNDS_MUNICIPAL_BOND_NUMBER_FUNDS_THRIFT" hidden="1">"c25454"</definedName>
    <definedName name="IQ_COLLECTIVE_INV_FUNDS_COMMON_TRUST_FUNDS_SHORT_TERM_INVESTMENTSMONEY_MARKET_MARKET_VALUE_FUNDED_ASSETS_THRIFT" hidden="1">"c25455"</definedName>
    <definedName name="IQ_COLLECTIVE_INV_FUNDS_COMMON_TRUST_FUNDS_SHORT_TERM_INVESTMENTSMONEY_MARKET_NUMBER_FUNDS_THRIFT" hidden="1">"c25456"</definedName>
    <definedName name="IQ_COLLECTIVE_INV_FUNDS_COMMON_TRUST_FUNDS_SPECIALTYOTHER_MARKET_VALUE_FUNDED_ASSETS_THRIFT" hidden="1">"c25457"</definedName>
    <definedName name="IQ_COLLECTIVE_INV_FUNDS_COMMON_TRUST_FUNDS_SPECIALTYOTHER_NUMBER_FUNDS_THRIFT" hidden="1">"c25458"</definedName>
    <definedName name="IQ_COLLECTIVE_INV_FUNDS_COMMON_TRUST_FUNDS_STOCKBOND_BLEND_MARKET_VALUE_FUNDED_ASSETS_THRIFT" hidden="1">"c25449"</definedName>
    <definedName name="IQ_COLLECTIVE_INV_FUNDS_COMMON_TRUST_FUNDS_STOCKBOND_BLEND_NUMBER_FUNDS_THRIFT" hidden="1">"c25450"</definedName>
    <definedName name="IQ_COLLECTIVE_INV_FUNDS_COMMON_TRUST_FUNDS_TAXABLE_BOND_MARKET_VALUE_FUNDED_ASSETS_THRIFT" hidden="1">"c25451"</definedName>
    <definedName name="IQ_COLLECTIVE_INV_FUNDS_COMMON_TRUST_FUNDS_TAXABLE_BOND_NUMBER_FUNDS_THRIFT" hidden="1">"c25452"</definedName>
    <definedName name="IQ_COLLECTIVE_INV_FUNDS_COMMON_TRUST_FUNDS_TOTAL_COLLECTIVE_INV_FUNDS_MARKET_VALUE_FUNDED_ASSETS_THRIFT" hidden="1">"c25459"</definedName>
    <definedName name="IQ_COLLECTIVE_INV_FUNDS_COMMON_TRUST_FUNDS_TOTAL_COLLECTIVE_INV_FUNDS_NUMBER_FUNDS_THRIFT" hidden="1">"c25460"</definedName>
    <definedName name="IQ_COM_TARGET_PRICE" hidden="1">"c13606"</definedName>
    <definedName name="IQ_COM_TARGET_PRICE_CIQ" hidden="1">"c13599"</definedName>
    <definedName name="IQ_COM_TARGET_PRICE_DET_EST" hidden="1">"c13610"</definedName>
    <definedName name="IQ_COM_TARGET_PRICE_DET_EST_CIQ" hidden="1">"c13603"</definedName>
    <definedName name="IQ_COM_TARGET_PRICE_HIGH" hidden="1">"c13607"</definedName>
    <definedName name="IQ_COM_TARGET_PRICE_HIGH_CIQ" hidden="1">"c13600"</definedName>
    <definedName name="IQ_COM_TARGET_PRICE_LOW" hidden="1">"c13608"</definedName>
    <definedName name="IQ_COM_TARGET_PRICE_LOW_CIQ" hidden="1">"c13601"</definedName>
    <definedName name="IQ_COM_TARGET_PRICE_MEDIAN" hidden="1">"c13609"</definedName>
    <definedName name="IQ_COM_TARGET_PRICE_MEDIAN_CIQ" hidden="1">"c13602"</definedName>
    <definedName name="IQ_COM_TARGET_PRICE_NUM" hidden="1">"c13604"</definedName>
    <definedName name="IQ_COM_TARGET_PRICE_NUM_CIQ" hidden="1">"c13597"</definedName>
    <definedName name="IQ_COM_TARGET_PRICE_STDDEV" hidden="1">"c13605"</definedName>
    <definedName name="IQ_COM_TARGET_PRICE_STDDEV_CIQ" hidden="1">"c13598"</definedName>
    <definedName name="IQ_COMBINED_RATIO" hidden="1">"c176"</definedName>
    <definedName name="IQ_COMM_BANKS_OTHER_DEP_INST_US_TRANS_ACCTS_FFIEC" hidden="1">"c15317"</definedName>
    <definedName name="IQ_COMM_BANKS_OTHER_INST_US_NON_TRANS_ACCTS_FFIEC" hidden="1">"c15325"</definedName>
    <definedName name="IQ_COMM_IND_LOANS_TOT_LOANS_FFIEC" hidden="1">"c13874"</definedName>
    <definedName name="IQ_COMM_INDUSTRIAL_LL_REC_FFIEC" hidden="1">"c18880"</definedName>
    <definedName name="IQ_COMM_INDUSTRIAL_LOANS_FFIEC" hidden="1">"c12821"</definedName>
    <definedName name="IQ_COMM_INDUSTRIAL_NON_US_LL_REC_FFIEC" hidden="1">"c12888"</definedName>
    <definedName name="IQ_COMM_INDUSTRIAL_US_LL_REC_FFIEC" hidden="1">"c12887"</definedName>
    <definedName name="IQ_COMM_LETTERS_CREDIT_THRIFT" hidden="1">"c25613"</definedName>
    <definedName name="IQ_COMM_LOANS_GROSS_LOANS_THRIFT" hidden="1">"c25732"</definedName>
    <definedName name="IQ_COMM_LOANS_NON_MORTGAGE_ADJUSTED_NCOS_TOTAL_THRIFT" hidden="1">"c25210"</definedName>
    <definedName name="IQ_COMM_LOANS_NON_MORTGAGE_GVA_CHARGE_OFFS_THRIFT" hidden="1">"c25125"</definedName>
    <definedName name="IQ_COMM_LOANS_NON_MORTGAGE_GVA_RECOVERIES_THRIFT" hidden="1">"c25156"</definedName>
    <definedName name="IQ_COMM_LOANS_NON_MORTGAGE_SVA_PROVISIONS_TRANSFERS_FROM_GVA_TOTAL_THRIFT" hidden="1">"c25179"</definedName>
    <definedName name="IQ_COMM_LOANS_RISK_BASED_CAPITAL_THRIFT" hidden="1">"c25717"</definedName>
    <definedName name="IQ_COMM_LOANS_THRIFT" hidden="1">"c24853"</definedName>
    <definedName name="IQ_COMM_LOANS_TOTAL_LOANS_THRIFT" hidden="1">"c25749"</definedName>
    <definedName name="IQ_COMM_NON_MORTGAGE_LOANS_DUE_30_89_THRIFT" hidden="1">"c25247"</definedName>
    <definedName name="IQ_COMM_NON_MORTGAGE_LOANS_DUE_90_THRIFT" hidden="1">"c25268"</definedName>
    <definedName name="IQ_COMM_NON_MORTGAGE_LOANS_NON_ACCRUAL_THRIFT" hidden="1">"c25289"</definedName>
    <definedName name="IQ_COMM_RE_FARM_LOANS_TOT_LOANS_FFIEC" hidden="1">"c13872"</definedName>
    <definedName name="IQ_COMM_RE_FARM_LOANS_TOTAL_LOANS_THRIFT" hidden="1">"c25743"</definedName>
    <definedName name="IQ_COMM_RE_LOANS_GROSS_LOANS_THRIFT" hidden="1">"c25725"</definedName>
    <definedName name="IQ_COMM_RE_LOANS_RISK_BASED_CAPITAL_THRIFT" hidden="1">"c25710"</definedName>
    <definedName name="IQ_COMM_RE_NONFARM_NONRES_TOT_LOANS_FFIEC" hidden="1">"c13871"</definedName>
    <definedName name="IQ_COMM_RE_NONFARM_NONRESIDENTIAL_TOTAL_LOANS_THRIFT" hidden="1">"c25746"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_UNUSED_FFIEC" hidden="1">"c25859"</definedName>
    <definedName name="IQ_COMMERCIAL_INDUSTRIAL_CHARGE_OFFS_FDIC" hidden="1">"c6598"</definedName>
    <definedName name="IQ_COMMERCIAL_INDUSTRIAL_DOM_QUARTERLY_AVG_FFIEC" hidden="1">"c15478"</definedName>
    <definedName name="IQ_COMMERCIAL_INDUSTRIAL_GROSS_LOANS_FFIEC" hidden="1">"c13410"</definedName>
    <definedName name="IQ_COMMERCIAL_INDUSTRIAL_LOANS_DUE_30_89_FFIEC" hidden="1">"c13271"</definedName>
    <definedName name="IQ_COMMERCIAL_INDUSTRIAL_LOANS_DUE_90_FFIEC" hidden="1">"c13297"</definedName>
    <definedName name="IQ_COMMERCIAL_INDUSTRIAL_LOANS_LL_REC_DOM_FFIEC" hidden="1">"c12910"</definedName>
    <definedName name="IQ_COMMERCIAL_INDUSTRIAL_LOANS_NET_FDIC" hidden="1">"c6317"</definedName>
    <definedName name="IQ_COMMERCIAL_INDUSTRIAL_LOANS_NON_ACCRUAL_FFIEC" hidden="1">"c13323"</definedName>
    <definedName name="IQ_COMMERCIAL_INDUSTRIAL_NET_CHARGE_OFFS_FDIC" hidden="1">"c6636"</definedName>
    <definedName name="IQ_COMMERCIAL_INDUSTRIAL_NON_US_CHARGE_OFFS_FFIEC" hidden="1">"c13179"</definedName>
    <definedName name="IQ_COMMERCIAL_INDUSTRIAL_NON_US_DUE_30_89_FFIEC" hidden="1">"c15415"</definedName>
    <definedName name="IQ_COMMERCIAL_INDUSTRIAL_NON_US_DUE_90_FFIEC" hidden="1">"c15419"</definedName>
    <definedName name="IQ_COMMERCIAL_INDUSTRIAL_NON_US_NON_ACCRUAL_FFIEC" hidden="1">"c15464"</definedName>
    <definedName name="IQ_COMMERCIAL_INDUSTRIAL_NON_US_RECOV_FFIEC" hidden="1">"c13201"</definedName>
    <definedName name="IQ_COMMERCIAL_INDUSTRIAL_RECOVERIES_FDIC" hidden="1">"c6617"</definedName>
    <definedName name="IQ_COMMERCIAL_INDUSTRIAL_RISK_BASED_FFIEC" hidden="1">"c13431"</definedName>
    <definedName name="IQ_COMMERCIAL_INDUSTRIAL_TOTAL_LOANS_FOREIGN_FDIC" hidden="1">"c6451"</definedName>
    <definedName name="IQ_COMMERCIAL_INDUSTRIAL_TRADING_DOM_FFIEC" hidden="1">"c12932"</definedName>
    <definedName name="IQ_COMMERCIAL_INDUSTRIAL_US_CHARGE_OFFS_FFIEC" hidden="1">"c13178"</definedName>
    <definedName name="IQ_COMMERCIAL_INDUSTRIAL_US_DUE_30_89_FFIEC" hidden="1">"c15414"</definedName>
    <definedName name="IQ_COMMERCIAL_INDUSTRIAL_US_DUE_90_FFIEC" hidden="1">"c15418"</definedName>
    <definedName name="IQ_COMMERCIAL_INDUSTRIAL_US_NON_ACCRUAL_FFIEC" hidden="1">"c15463"</definedName>
    <definedName name="IQ_COMMERCIAL_INDUSTRIAL_US_RECOV_FFIEC" hidden="1">"c13200"</definedName>
    <definedName name="IQ_COMMERCIAL_INVEST_CABLE_INVEST" hidden="1">"c15806"</definedName>
    <definedName name="IQ_COMMERCIAL_LOANS_TOTAL_LOANS" hidden="1">"c15709"</definedName>
    <definedName name="IQ_COMMERCIAL_MORT" hidden="1">"c179"</definedName>
    <definedName name="IQ_COMMERCIAL_OTHER_LOC_FFIEC" hidden="1">"c13253"</definedName>
    <definedName name="IQ_COMMERCIAL_PAPER_ASSETS_TOT_FFIEC" hidden="1">"c13449"</definedName>
    <definedName name="IQ_COMMERCIAL_PAPER_FFIEC" hidden="1">"c12863"</definedName>
    <definedName name="IQ_COMMERCIAL_RE_CONSTRUCTION_LAND_DEV_FDIC" hidden="1">"c6526"</definedName>
    <definedName name="IQ_COMMERCIAL_RE_GROSS_LOANS_FFIEC" hidden="1">"c13400"</definedName>
    <definedName name="IQ_COMMERCIAL_RE_LOANS_FDIC" hidden="1">"c6312"</definedName>
    <definedName name="IQ_COMMERCIAL_RE_LOANS_TOTAL_LOANS" hidden="1">"c15710"</definedName>
    <definedName name="IQ_COMMERCIAL_RE_RISK_BASED_FFIEC" hidden="1">"c13421"</definedName>
    <definedName name="IQ_COMMISS_FEES" hidden="1">"c180"</definedName>
    <definedName name="IQ_COMMISSION_DEF" hidden="1">"c181"</definedName>
    <definedName name="IQ_COMMITMENTS_BUY_SEC_OTHER_OFF_BS_FFIEC" hidden="1">"c13128"</definedName>
    <definedName name="IQ_COMMITMENTS_COMMERCIAL_RE_UNUSED_FFIEC" hidden="1">"c13243"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ITMENTS_SELL_SEC_OTHER_OFF_BS_FFIEC" hidden="1">"c13129"</definedName>
    <definedName name="IQ_COMMODITY_EXPOSURE_FFIEC" hidden="1">"c13061"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CM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CM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CM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localSheetId="12" hidden="1">"c1358"</definedName>
    <definedName name="IQ_COMMON_STOCK" localSheetId="7" hidden="1">"c1358"</definedName>
    <definedName name="IQ_COMMON_STOCK" hidden="1">"c108"</definedName>
    <definedName name="IQ_COMMON_STOCK_DIVIDENDS_DECLARED_SAVINGS_ASSOCIATION_THRIFT" hidden="1">"c25011"</definedName>
    <definedName name="IQ_COMMON_STOCK_FFIEC" hidden="1">"c12876"</definedName>
    <definedName name="IQ_COMMON_STOCK_THRIFT" hidden="1">"c24917"</definedName>
    <definedName name="IQ_COMMON_TRUST_FUNDS_COLLECTIVE_INV_FUNDS_ALL_OTHER_ACCOUNTS_THRIFT" hidden="1">"c25430"</definedName>
    <definedName name="IQ_COMMON_TRUST_FUNDS_COLLECTIVE_INV_FUNDS_EMPLOYEE_BENEFIT_RETIREMENT_RELATED_ACCOUNTS_THRIFT" hidden="1">"c25414"</definedName>
    <definedName name="IQ_COMMON_TRUST_FUNDS_COLLECTIVE_INV_FUNDS_PERSONAL_TRUST_AGENCY_INV_MANAGEMENT_ACCOUNTS_THRIFT" hidden="1">"c25398"</definedName>
    <definedName name="IQ_COMP_BENEFITS" hidden="1">"c213"</definedName>
    <definedName name="IQ_COMPANY_ADDRESS" localSheetId="12" hidden="1">"c214"</definedName>
    <definedName name="IQ_COMPANY_ADDRESS" localSheetId="7" hidden="1">"c214"</definedName>
    <definedName name="IQ_COMPANY_ADDRESS" hidden="1">"c213"</definedName>
    <definedName name="IQ_COMPANY_ID" hidden="1">"c3513"</definedName>
    <definedName name="IQ_COMPANY_ID_QUICK_MATCH" hidden="1">"c16227"</definedName>
    <definedName name="IQ_COMPANY_MAIN_FAX" hidden="1">"c18016"</definedName>
    <definedName name="IQ_COMPANY_NAME" localSheetId="12" hidden="1">"c215"</definedName>
    <definedName name="IQ_COMPANY_NAME" localSheetId="7" hidden="1">"c215"</definedName>
    <definedName name="IQ_COMPANY_NAME" hidden="1">"c208"</definedName>
    <definedName name="IQ_COMPANY_NAME_LONG" hidden="1">"c1585"</definedName>
    <definedName name="IQ_COMPANY_NAME_QUICK_MATCH" hidden="1">"c16228"</definedName>
    <definedName name="IQ_COMPANY_NOTE" hidden="1">"c6792"</definedName>
    <definedName name="IQ_COMPANY_PHONE" localSheetId="12" hidden="1">"c216"</definedName>
    <definedName name="IQ_COMPANY_PHONE" localSheetId="7" hidden="1">"c216"</definedName>
    <definedName name="IQ_COMPANY_PHONE" hidden="1">"c219"</definedName>
    <definedName name="IQ_COMPANY_STATUS" hidden="1">"c2097"</definedName>
    <definedName name="IQ_COMPANY_STREET1" localSheetId="12" hidden="1">"c217"</definedName>
    <definedName name="IQ_COMPANY_STREET1" localSheetId="7" hidden="1">"c217"</definedName>
    <definedName name="IQ_COMPANY_STREET1" hidden="1">"c214"</definedName>
    <definedName name="IQ_COMPANY_STREET2" localSheetId="12" hidden="1">"c218"</definedName>
    <definedName name="IQ_COMPANY_STREET2" localSheetId="7" hidden="1">"c218"</definedName>
    <definedName name="IQ_COMPANY_STREET2" hidden="1">"c215"</definedName>
    <definedName name="IQ_COMPANY_TICKER" localSheetId="12" hidden="1">"c219"</definedName>
    <definedName name="IQ_COMPANY_TICKER" localSheetId="7" hidden="1">"c219"</definedName>
    <definedName name="IQ_COMPANY_TICKER" hidden="1">"c209"</definedName>
    <definedName name="IQ_COMPANY_TICKER_NO_EXCH" hidden="1">"c15490"</definedName>
    <definedName name="IQ_COMPANY_TYPE" hidden="1">"c2096"</definedName>
    <definedName name="IQ_COMPANY_WEBSITE" localSheetId="12" hidden="1">"c220"</definedName>
    <definedName name="IQ_COMPANY_WEBSITE" localSheetId="7" hidden="1">"c220"</definedName>
    <definedName name="IQ_COMPANY_WEBSITE" hidden="1">"c212"</definedName>
    <definedName name="IQ_COMPANY_ZIP" localSheetId="12" hidden="1">"c221"</definedName>
    <definedName name="IQ_COMPANY_ZIP" localSheetId="7" hidden="1">"c221"</definedName>
    <definedName name="IQ_COMPANY_ZIP" hidden="1">"c218"</definedName>
    <definedName name="IQ_COMPETITOR_ALL" hidden="1">"c13754"</definedName>
    <definedName name="IQ_COMPETITOR_NAMED_BY_COMPANY" hidden="1">"c13751"</definedName>
    <definedName name="IQ_COMPETITOR_NAMED_BY_COMPETITOR" hidden="1">"c13752"</definedName>
    <definedName name="IQ_COMPETITOR_NAMED_BY_THIRDPARTY" hidden="1">"c13753"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OLIDATED_ASSETS_QUARTERLY_AVG_FFIEC" hidden="1">"c13087"</definedName>
    <definedName name="IQ_CONSOLIDATED_NI_FOREIGN_FFIEC" hidden="1">"c15396"</definedName>
    <definedName name="IQ_CONST_LAND_DEV_LOANS_TOT_LOANS_FFIEC" hidden="1">"c13865"</definedName>
    <definedName name="IQ_CONST_LAND_DEVELOP_OTHER_DOM_CHARGE_OFFS_FFIEC" hidden="1">"c13628"</definedName>
    <definedName name="IQ_CONST_LAND_DEVELOP_OTHER_DOM_RECOV_FFIEC" hidden="1">"c13632"</definedName>
    <definedName name="IQ_CONSTITUENTS" hidden="1">"c19169"</definedName>
    <definedName name="IQ_CONSTITUENTS_NAME" hidden="1">"c19192"</definedName>
    <definedName name="IQ_CONSTRUCTION_1_4_DWELLING_UNITS_THRIFT" hidden="1">"c24839"</definedName>
    <definedName name="IQ_CONSTRUCTION_DEV_LOANS_FDIC" hidden="1">"c6313"</definedName>
    <definedName name="IQ_CONSTRUCTION_LAND_DEV_DOM_FFIEC" hidden="1">"c15267"</definedName>
    <definedName name="IQ_CONSTRUCTION_LAND_DEVELOPMENT_CHARGE_OFFS_FDIC" hidden="1">"c6594"</definedName>
    <definedName name="IQ_CONSTRUCTION_LAND_DEVELOPMENT_LOANS_TOTAL_LOANS_THRIFT" hidden="1">"c25744"</definedName>
    <definedName name="IQ_CONSTRUCTION_LAND_DEVELOPMENT_NET_CHARGE_OFFS_FDIC" hidden="1">"c6632"</definedName>
    <definedName name="IQ_CONSTRUCTION_LAND_DEVELOPMENT_RECOVERIES_FDIC" hidden="1">"c6613"</definedName>
    <definedName name="IQ_CONSTRUCTION_LL_REC_DOM_FFIEC" hidden="1">"c12900"</definedName>
    <definedName name="IQ_CONSTRUCTION_LOANS" hidden="1">"c222"</definedName>
    <definedName name="IQ_CONSTRUCTION_LOANS_DOM_DUE_30_89_FFIEC" hidden="1">"c13256"</definedName>
    <definedName name="IQ_CONSTRUCTION_LOANS_DOM_DUE_90_FFIEC" hidden="1">"c13284"</definedName>
    <definedName name="IQ_CONSTRUCTION_LOANS_DOM_NON_ACCRUAL_FFIEC" hidden="1">"c13310"</definedName>
    <definedName name="IQ_CONSTRUCTION_LOANS_GROSS_LOANS_FFIEC" hidden="1">"c13401"</definedName>
    <definedName name="IQ_CONSTRUCTION_LOANS_GROSS_LOANS_THRIFT" hidden="1">"c25726"</definedName>
    <definedName name="IQ_CONSTRUCTION_LOANS_IN_PROCESS_FORECLOSURE_THRIFT" hidden="1">"c25303"</definedName>
    <definedName name="IQ_CONSTRUCTION_LOANS_RISK_BASED_CAPITAL_THRIFT" hidden="1">"c25711"</definedName>
    <definedName name="IQ_CONSTRUCTION_LOANS_TOTAL_LOANS" hidden="1">"c15711"</definedName>
    <definedName name="IQ_CONSTRUCTION_MORTGAGE_LOANS_30_89_DAYS_PAST_DUE_STILL_ACCRUING_THRIFT" hidden="1">"c25240"</definedName>
    <definedName name="IQ_CONSTRUCTION_MORTGAGE_LOANS_DUE_90_THRIFT" hidden="1">"c25261"</definedName>
    <definedName name="IQ_CONSTRUCTION_MORTGAGE_LOANS_FORECLOSED_DURING_QUARTER_THRIFT" hidden="1">"c25231"</definedName>
    <definedName name="IQ_CONSTRUCTION_MORTGAGE_LOANS_NON_ACCRUAL_THRIFT" hidden="1">"c25282"</definedName>
    <definedName name="IQ_CONSTRUCTION_MORTGAGE_LOANS_THRIFT" hidden="1">"c24838"</definedName>
    <definedName name="IQ_CONSTRUCTION_MULTIFAMILY_DWELLING_UNITS_THRIFT" hidden="1">"c24840"</definedName>
    <definedName name="IQ_CONSTRUCTION_NONRES_PROPERTY_THRIFT" hidden="1">"c24841"</definedName>
    <definedName name="IQ_CONSTRUCTION_RISK_BASED_FFIEC" hidden="1">"c13422"</definedName>
    <definedName name="IQ_CONSULTING_FFIEC" hidden="1">"c13055"</definedName>
    <definedName name="IQ_CONSUMER_AUTO_LOANS_DUE_90_THRIFT" hidden="1">"c25272"</definedName>
    <definedName name="IQ_CONSUMER_AUTO_LOANS_NON_MORTGAGE_ADJUSTED_NCOS_TOTAL_THRIFT" hidden="1">"c25214"</definedName>
    <definedName name="IQ_CONSUMER_AUTO_LOANS_NON_MORTGAGE_GVA_CHARGE_OFFS_THRIFT" hidden="1">"c25129"</definedName>
    <definedName name="IQ_CONSUMER_AUTO_LOANS_NON_MORTGAGE_GVA_RECOVERIES_THRIFT" hidden="1">"c25160"</definedName>
    <definedName name="IQ_CONSUMER_AUTO_LOANS_NON_MORTGAGE_LOANS_DUE_30_89_THRIFT" hidden="1">"c25251"</definedName>
    <definedName name="IQ_CONSUMER_AUTO_LOANS_NON_MORTGAGE_LOANS_NON_ACCRUAL_THRIFT" hidden="1">"c25293"</definedName>
    <definedName name="IQ_CONSUMER_AUTO_LOANS_NON_MORTGAGE_SVA_PROVISIONS_TRANSFERS_FROM_GVA_TOTAL_THRIFT" hidden="1">"c25183"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CREDIT_CARD_LINES_UNUSED_FFIEC" hidden="1">"c25862"</definedName>
    <definedName name="IQ_CONSUMER_CREDIT_CARDS_NON_MORTGAGE_ADJUSTED_NCOS_TOTAL_THRIFT" hidden="1">"c25216"</definedName>
    <definedName name="IQ_CONSUMER_CREDIT_CARDS_NON_MORTGAGE_GVA_CHARGE_OFFS_THRIFT" hidden="1">"c25131"</definedName>
    <definedName name="IQ_CONSUMER_CREDIT_CARDS_NON_MORTGAGE_GVA_RECOVERIES_THRIFT" hidden="1">"c25162"</definedName>
    <definedName name="IQ_CONSUMER_CREDIT_CARDS_NON_MORTGAGE_LOANS_DUE_30_89_THRIFT" hidden="1">"c25253"</definedName>
    <definedName name="IQ_CONSUMER_CREDIT_CARDS_NON_MORTGAGE_LOANS_DUE_90_THRIFT" hidden="1">"c25274"</definedName>
    <definedName name="IQ_CONSUMER_CREDIT_CARDS_NON_MORTGAGE_LOANS_NON_ACCRUAL_THRIFT" hidden="1">"c25295"</definedName>
    <definedName name="IQ_CONSUMER_CREDIT_CARDS_NON_MORTGAGE_SVA_PROVISIONS_TRANSFERS_FROM_GVA_TOTAL_THRIFT" hidden="1">"c25185"</definedName>
    <definedName name="IQ_CONSUMER_EDUCATION_LOANS_NON_MORTGAGE_ADJUSTED_NCOS_TOTAL_THRIFT" hidden="1">"c25213"</definedName>
    <definedName name="IQ_CONSUMER_EDUCATION_LOANS_NON_MORTGAGE_GVA_CHARGE_OFFS_THRIFT" hidden="1">"c25128"</definedName>
    <definedName name="IQ_CONSUMER_EDUCATION_LOANS_NON_MORTGAGE_GVA_RECOVERIES_THRIFT" hidden="1">"c25159"</definedName>
    <definedName name="IQ_CONSUMER_EDUCATION_LOANS_NON_MORTGAGE_SVA_PROVISIONS_TRANSFERS_FROM_GVA_TOTAL_THRIFT" hidden="1">"c25182"</definedName>
    <definedName name="IQ_CONSUMER_EDUCATION_NON_MORTGAGE_LOANS_DUE_30_89_THRIFT" hidden="1">"c25250"</definedName>
    <definedName name="IQ_CONSUMER_EDUCATION_NON_MORTGAGE_LOANS_DUE_90_THRIFT" hidden="1">"c25271"</definedName>
    <definedName name="IQ_CONSUMER_EDUCATION_NON_MORTGAGE_LOANS_NON_ACCRUAL_THRIFT" hidden="1">"c25292"</definedName>
    <definedName name="IQ_CONSUMER_HOME_IMPROVEMENT_LOANS_NON_MORTGAGE_ADJUSTED_NCOS_TOTAL_THRIFT" hidden="1">"c25212"</definedName>
    <definedName name="IQ_CONSUMER_HOME_IMPROVEMENT_LOANS_NON_MORTGAGE_GVA_CHARGE_OFFS_THRIFT" hidden="1">"c25127"</definedName>
    <definedName name="IQ_CONSUMER_HOME_IMPROVEMENT_LOANS_NON_MORTGAGE_GVA_RECOVERIES_THRIFT" hidden="1">"c25158"</definedName>
    <definedName name="IQ_CONSUMER_HOME_IMPROVEMENT_LOANS_NON_MORTGAGE_SVA_PROVISIONS_TRANSFERS_FROM_GVA_TOTAL_THRIFT" hidden="1">"c25181"</definedName>
    <definedName name="IQ_CONSUMER_HOME_IMPROVEMENT_NON_MORTGAGE_LOANS_DUE_30_89_THRIFT" hidden="1">"c25249"</definedName>
    <definedName name="IQ_CONSUMER_HOME_IMPROVEMENT_NON_MORTGAGE_LOANS_DUE_90_THRIFT" hidden="1">"c25270"</definedName>
    <definedName name="IQ_CONSUMER_HOME_IMPROVEMENT_NON_MORTGAGE_LOANS_NON_ACCRUAL_THRIFT" hidden="1">"c25291"</definedName>
    <definedName name="IQ_CONSUMER_LEASES_LL_REC_FFIEC" hidden="1">"c12895"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L_REC_FFIEC" hidden="1">"c25869"</definedName>
    <definedName name="IQ_CONSUMER_LOANS" hidden="1">"c223"</definedName>
    <definedName name="IQ_CONSUMER_LOANS_CHARGE_OFFS_FFIEC" hidden="1">"c25838"</definedName>
    <definedName name="IQ_CONSUMER_LOANS_DEPOSITS_NON_MORTGAGE_ADJUSTED_NCOS_TOTAL_THRIFT" hidden="1">"c25211"</definedName>
    <definedName name="IQ_CONSUMER_LOANS_DEPOSITS_NON_MORTGAGE_GVA_CHARGE_OFFS_THRIFT" hidden="1">"c25126"</definedName>
    <definedName name="IQ_CONSUMER_LOANS_DEPOSITS_NON_MORTGAGE_GVA_RECOVERIES_THRIFT" hidden="1">"c25157"</definedName>
    <definedName name="IQ_CONSUMER_LOANS_DEPOSITS_NON_MORTGAGE_LOANS_DUE_30_89_THRIFT" hidden="1">"c25248"</definedName>
    <definedName name="IQ_CONSUMER_LOANS_DEPOSITS_NON_MORTGAGE_LOANS_DUE_90_THRIFT" hidden="1">"c25269"</definedName>
    <definedName name="IQ_CONSUMER_LOANS_DEPOSITS_NON_MORTGAGE_LOANS_NON_ACCRUAL_THRIFT" hidden="1">"c25290"</definedName>
    <definedName name="IQ_CONSUMER_LOANS_DEPOSITS_NON_MORTGAGE_SVA_PROVISIONS_TRANSFERS_FROM_GVA_TOTAL_THRIFT" hidden="1">"c25180"</definedName>
    <definedName name="IQ_CONSUMER_LOANS_DEPOSITS_THRIFT" hidden="1">"c24859"</definedName>
    <definedName name="IQ_CONSUMER_LOANS_DUE_30_89_FFIEC" hidden="1">"c25829"</definedName>
    <definedName name="IQ_CONSUMER_LOANS_DUE_90_FFIEC" hidden="1">"c25830"</definedName>
    <definedName name="IQ_CONSUMER_LOANS_LL_REC_DOM_FFIEC" hidden="1">"c12911"</definedName>
    <definedName name="IQ_CONSUMER_LOANS_NON_ACCRUAL_FFIEC" hidden="1">"c25831"</definedName>
    <definedName name="IQ_CONSUMER_LOANS_RECOV_FFIEC" hidden="1">"c25839"</definedName>
    <definedName name="IQ_CONSUMER_LOANS_THRIFT" hidden="1">"c24858"</definedName>
    <definedName name="IQ_CONSUMER_LOANS_TOT_LOANS_FFIEC" hidden="1">"c13875"</definedName>
    <definedName name="IQ_CONSUMER_LOANS_TOTAL_LOANS" hidden="1">"c15712"</definedName>
    <definedName name="IQ_CONSUMER_LOANS_TOTAL_LOANS_THRIFT" hidden="1">"c25750"</definedName>
    <definedName name="IQ_CONSUMER_MOBILE_HOME_LOANS_NON_MORTGAGE_ADJUSTED_NCOS_TOTAL_THRIFT" hidden="1">"c25215"</definedName>
    <definedName name="IQ_CONSUMER_MOBILE_HOME_LOANS_NON_MORTGAGE_GVA_CHARGE_OFFS_THRIFT" hidden="1">"c25130"</definedName>
    <definedName name="IQ_CONSUMER_MOBILE_HOME_LOANS_NON_MORTGAGE_GVA_RECOVERIES_THRIFT" hidden="1">"c25161"</definedName>
    <definedName name="IQ_CONSUMER_MOBILE_HOME_LOANS_NON_MORTGAGE_LOANS_DUE_30_89_THRIFT" hidden="1">"c25252"</definedName>
    <definedName name="IQ_CONSUMER_MOBILE_HOME_LOANS_NON_MORTGAGE_LOANS_DUE_90_THRIFT" hidden="1">"c25273"</definedName>
    <definedName name="IQ_CONSUMER_MOBILE_HOME_LOANS_NON_MORTGAGE_LOANS_NON_ACCRUAL_THRIFT" hidden="1">"c25294"</definedName>
    <definedName name="IQ_CONSUMER_MOBILE_HOME_LOANS_NON_MORTGAGE_SVA_PROVISIONS_TRANSFERS_FROM_GVA_TOTAL_THRIFT" hidden="1">"c25184"</definedName>
    <definedName name="IQ_CONSUMER_OTHER_NON_MORTGAGE_ADJUSTED_NCOS_TOTAL_THRIFT" hidden="1">"c25217"</definedName>
    <definedName name="IQ_CONSUMER_OTHER_NON_MORTGAGE_GVA_RECOVERIES_THRIFT" hidden="1">"c25163"</definedName>
    <definedName name="IQ_CONSUMER_OTHER_NON_MORTGAGE_LOANS_DUE_30_89_THRIFT" hidden="1">"c25254"</definedName>
    <definedName name="IQ_CONSUMER_OTHER_NON_MORTGAGE_LOANS_DUE_90_THRIFT" hidden="1">"c25275"</definedName>
    <definedName name="IQ_CONSUMER_OTHER_NON_MORTGAGE_LOANS_GVA_CHARGE_OFFS_THRIFT" hidden="1">"c25132"</definedName>
    <definedName name="IQ_CONSUMER_OTHER_NON_MORTGAGE_LOANS_NON_ACCRUAL_THRIFT" hidden="1">"c25296"</definedName>
    <definedName name="IQ_CONSUMER_OTHER_NON_MORTGAGE_SVA_PROVISIONS_TRANSFERS_FROM_GVA_TOTAL_THRIFT" hidden="1">"c25186"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INGENT_ASSETS_THRIFT" hidden="1">"c25622"</definedName>
    <definedName name="IQ_CONTINGENT_LIABILITIES" hidden="1">"c18873"</definedName>
    <definedName name="IQ_CONTINGENT_RENTAL" hidden="1">"c17746"</definedName>
    <definedName name="IQ_CONTRACT_AMOUNT" hidden="1">"c13933"</definedName>
    <definedName name="IQ_CONTRACT_DETAILS" hidden="1">"c15555"</definedName>
    <definedName name="IQ_CONTRACT_MONTH" hidden="1">"c13934"</definedName>
    <definedName name="IQ_CONTRACT_OBLIGATION_AFTER_FIVE" hidden="1">"c15691"</definedName>
    <definedName name="IQ_CONTRACT_OBLIGATION_CY" hidden="1">"c15685"</definedName>
    <definedName name="IQ_CONTRACT_OBLIGATION_CY1" hidden="1">"c15686"</definedName>
    <definedName name="IQ_CONTRACT_OBLIGATION_CY2" hidden="1">"c15687"</definedName>
    <definedName name="IQ_CONTRACT_OBLIGATION_CY3" hidden="1">"c15688"</definedName>
    <definedName name="IQ_CONTRACT_OBLIGATION_CY4" hidden="1">"c15689"</definedName>
    <definedName name="IQ_CONTRACT_OBLIGATION_NEXT_FIVE" hidden="1">"c15690"</definedName>
    <definedName name="IQ_CONTRACT_OBLIGATION_TOTAL" hidden="1">"c15692"</definedName>
    <definedName name="IQ_CONTRACT_UNIT" hidden="1">"c13932"</definedName>
    <definedName name="IQ_CONTRACT_YEAR" hidden="1">"c13935"</definedName>
    <definedName name="IQ_CONTRACTS_OTHER_COMMODITIES_EQUITIES._FDIC" hidden="1">"c6522"</definedName>
    <definedName name="IQ_CONTRACTS_OTHER_COMMODITIES_EQUITIES_FDIC" hidden="1">"c6522"</definedName>
    <definedName name="IQ_CONTRIB_ID_DET_EST" hidden="1">"c12045"</definedName>
    <definedName name="IQ_CONTRIB_ID_DET_EST_CIQ" hidden="1">"c12105"</definedName>
    <definedName name="IQ_CONTRIB_ID_NON_PER_DET_EST" hidden="1">"c13824"</definedName>
    <definedName name="IQ_CONTRIB_ID_NON_PER_DET_EST_CIQ" hidden="1">"c13825"</definedName>
    <definedName name="IQ_CONTRIB_NAME_DET_EST" hidden="1">"c12046"</definedName>
    <definedName name="IQ_CONTRIB_NAME_DET_EST_CIQ" hidden="1">"c12106"</definedName>
    <definedName name="IQ_CONTRIB_NAME_NON_PER_DET_EST" hidden="1">"c12760"</definedName>
    <definedName name="IQ_CONTRIB_NAME_NON_PER_DET_EST_CIQ" hidden="1">"c12761"</definedName>
    <definedName name="IQ_CONTRIB_REC_DET_EST" hidden="1">"c12051"</definedName>
    <definedName name="IQ_CONTRIB_REC_DET_EST_CIQ" hidden="1">"c12111"</definedName>
    <definedName name="IQ_CONTRIB_REC_DET_EST_DATE" hidden="1">"c12204"</definedName>
    <definedName name="IQ_CONTRIB_REC_DET_EST_DATE_CIQ" hidden="1">"c12257"</definedName>
    <definedName name="IQ_CONTRIB_REC_DET_EST_ORIGIN" hidden="1">"c12577"</definedName>
    <definedName name="IQ_CONTRIB_REC_DET_EST_ORIGIN_CIQ" hidden="1">"c12626"</definedName>
    <definedName name="IQ_CONTRIBUTOR_CIQID" hidden="1">"c13742"</definedName>
    <definedName name="IQ_CONTRIBUTOR_CODE_RT" hidden="1">"CONTRIBUTOR"</definedName>
    <definedName name="IQ_CONTRIBUTOR_NAME" hidden="1">"c13735"</definedName>
    <definedName name="IQ_CONTRIBUTOR_START_DATE" hidden="1">"c13741"</definedName>
    <definedName name="IQ_CONV_DATE" hidden="1">"c2191"</definedName>
    <definedName name="IQ_CONV_EXP_DATE" hidden="1">"c3043"</definedName>
    <definedName name="IQ_CONV_PARITY" hidden="1">"c16197"</definedName>
    <definedName name="IQ_CONV_PREMIUM" hidden="1">"c2195"</definedName>
    <definedName name="IQ_CONV_PRICE" hidden="1">"c2193"</definedName>
    <definedName name="IQ_CONV_PRICE_ISSUE" hidden="1">"c16195"</definedName>
    <definedName name="IQ_CONV_PRICE_PREM_ISSUE" hidden="1">"c16196"</definedName>
    <definedName name="IQ_CONV_PRICE_PREMIUM" hidden="1">"c16198"</definedName>
    <definedName name="IQ_CONV_PT_PREMIUM" hidden="1">"c16199"</definedName>
    <definedName name="IQ_CONV_PT_PREMIUM_PCT" hidden="1">"c16200"</definedName>
    <definedName name="IQ_CONV_RATE" hidden="1">"c2192"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SION_COMMON_FFIEC" hidden="1">"c12964"</definedName>
    <definedName name="IQ_CONVERSION_PREF_FFIEC" hidden="1">"c12962"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O_ID" hidden="1">"c15222"</definedName>
    <definedName name="IQ_COO_NAME" hidden="1">"c15221"</definedName>
    <definedName name="IQ_CORE_CAPITAL_RATIO_FDIC" hidden="1">"c6745"</definedName>
    <definedName name="IQ_CORE_DEPOSITS_ASSETS_TOT_FFIEC" hidden="1">"c13442"</definedName>
    <definedName name="IQ_CORE_DEPOSITS_FFIEC" hidden="1">"c13862"</definedName>
    <definedName name="IQ_CORE_DEPOSITS_THRIFT" hidden="1">"c25089"</definedName>
    <definedName name="IQ_CORE_DEPOSITS_TOT_DEPOSITS_FFIEC" hidden="1">"c13911"</definedName>
    <definedName name="IQ_CORE_DEPOSITS_TOTAL_ASSETS_THRIFT" hidden="1">"c25699"</definedName>
    <definedName name="IQ_CORE_DEPOSITS_TOTAL_DEPOSITS_THRIFT" hidden="1">"c25782"</definedName>
    <definedName name="IQ_CORE_TIER_ONE_CAPITAL" hidden="1">"c15244"</definedName>
    <definedName name="IQ_CORE_TIER_ONE_CAPITAL_RATIO" hidden="1">"c15240"</definedName>
    <definedName name="IQ_CORP_GOODS_PRICE_INDEX_APR_FC_UNUSED" hidden="1">"c8381"</definedName>
    <definedName name="IQ_CORP_GOODS_PRICE_INDEX_APR_FC_UNUSED_UNUSED_UNUSED" hidden="1">"c8381"</definedName>
    <definedName name="IQ_CORP_GOODS_PRICE_INDEX_APR_UNUSED" hidden="1">"c7501"</definedName>
    <definedName name="IQ_CORP_GOODS_PRICE_INDEX_APR_UNUSED_UNUSED_UNUSED" hidden="1">"c7501"</definedName>
    <definedName name="IQ_CORP_GOODS_PRICE_INDEX_FC_UNUSED" hidden="1">"c7721"</definedName>
    <definedName name="IQ_CORP_GOODS_PRICE_INDEX_FC_UNUSED_UNUSED_UNUSED" hidden="1">"c7721"</definedName>
    <definedName name="IQ_CORP_GOODS_PRICE_INDEX_POP_FC_UNUSED" hidden="1">"c7941"</definedName>
    <definedName name="IQ_CORP_GOODS_PRICE_INDEX_POP_FC_UNUSED_UNUSED_UNUSED" hidden="1">"c7941"</definedName>
    <definedName name="IQ_CORP_GOODS_PRICE_INDEX_POP_UNUSED" hidden="1">"c7061"</definedName>
    <definedName name="IQ_CORP_GOODS_PRICE_INDEX_POP_UNUSED_UNUSED_UNUSED" hidden="1">"c7061"</definedName>
    <definedName name="IQ_CORP_GOODS_PRICE_INDEX_UNUSED" hidden="1">"c6841"</definedName>
    <definedName name="IQ_CORP_GOODS_PRICE_INDEX_UNUSED_UNUSED_UNUSED" hidden="1">"c6841"</definedName>
    <definedName name="IQ_CORP_GOODS_PRICE_INDEX_YOY_FC_UNUSED" hidden="1">"c8161"</definedName>
    <definedName name="IQ_CORP_GOODS_PRICE_INDEX_YOY_FC_UNUSED_UNUSED_UNUSED" hidden="1">"c8161"</definedName>
    <definedName name="IQ_CORP_GOODS_PRICE_INDEX_YOY_UNUSED" hidden="1">"c7281"</definedName>
    <definedName name="IQ_CORP_GOODS_PRICE_INDEX_YOY_UNUSED_UNUSED_UNUSED" hidden="1">"c7281"</definedName>
    <definedName name="IQ_CORP_PROFIT" hidden="1">"c20636"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FTER_TAXES" hidden="1">"c20637"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TAXES" hidden="1">"c20638"</definedName>
    <definedName name="IQ_CORP_PROFITS_YOY" hidden="1">"c7283"</definedName>
    <definedName name="IQ_CORP_PROFITS_YOY_FC" hidden="1">"c8163"</definedName>
    <definedName name="IQ_CORPORATE_MUNICIPAL_TRUSTEESHIPS_NUMBER_ISSUES_THRIFT" hidden="1">"c25441"</definedName>
    <definedName name="IQ_CORPORATE_MUNICIPAL_TRUSTEESHIPS_PRINCIPAL_AMT_OUTSTANDING_THRIFT" hidden="1">"c25440"</definedName>
    <definedName name="IQ_CORPORATE_OVER_TOTAL" hidden="1">"c24733"</definedName>
    <definedName name="IQ_CORPORATE_TRUST_AGENCY_ACCOUNTS_INC_THRIFT" hidden="1">"c24805"</definedName>
    <definedName name="IQ_CORPORATE_TRUST_AGENCY_ACCOUNTS_MANAGED_ASSETS_THRIFT" hidden="1">"c25352"</definedName>
    <definedName name="IQ_CORPORATE_TRUST_AGENCY_ACCOUNTS_NONMANAGED_ASSETS_THRIFT" hidden="1">"c25373"</definedName>
    <definedName name="IQ_CORPORATE_TRUST_AGENCY_ACCOUNTS_NUMBER_MANAGED_ACCOUNTS_THRIFT" hidden="1">"c25363"</definedName>
    <definedName name="IQ_CORPORATE_TRUST_AGENCY_ACCOUNTS_NUMBER_NONMANAGED_ACCOUNTS_THRIFT" hidden="1">"c25385"</definedName>
    <definedName name="IQ_COST_BORROWED_FUNDS_FFIEC" hidden="1">"c13492"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FED_FUNDS_PURCHASED_THRIFT" hidden="1">"c25681"</definedName>
    <definedName name="IQ_COST_FOREIGN_DEPOSITS_FFIEC" hidden="1">"c13490"</definedName>
    <definedName name="IQ_COST_FUNDS" hidden="1">"c15726"</definedName>
    <definedName name="IQ_COST_FUNDS_PURCHASED_FFIEC" hidden="1">"c13491"</definedName>
    <definedName name="IQ_COST_INT_BEARING_DEPOSITS_THRIFT" hidden="1">"c25680"</definedName>
    <definedName name="IQ_COST_INT_DEPOSITS_FFIEC" hidden="1">"c13489"</definedName>
    <definedName name="IQ_COST_OF_FUNDING_ASSETS_FDIC" hidden="1">"c6725"</definedName>
    <definedName name="IQ_COST_OTHER_BORROWED_FUNDS_THRIFT" hidden="1">"c25682"</definedName>
    <definedName name="IQ_COST_REV" hidden="1">"c226"</definedName>
    <definedName name="IQ_COST_REVENUE" localSheetId="12" hidden="1">"c1359"</definedName>
    <definedName name="IQ_COST_REVENUE" localSheetId="7" hidden="1">"c1359"</definedName>
    <definedName name="IQ_COST_REVENUE" hidden="1">"c6"</definedName>
    <definedName name="IQ_COST_SALES_COAL" hidden="1">"c15933"</definedName>
    <definedName name="IQ_COST_SALES_PER_UNIT_SOLD_COAL" hidden="1">"c15944"</definedName>
    <definedName name="IQ_COST_SALES_TO_SALES_COAL" hidden="1">"c15951"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localSheetId="12" hidden="1">"c230"</definedName>
    <definedName name="IQ_COUNTRY_NAME" localSheetId="7" hidden="1">"c230"</definedName>
    <definedName name="IQ_COUNTRY_NAME" hidden="1">"c220"</definedName>
    <definedName name="IQ_COUNTRY_NAME_ECON" hidden="1">"c11752"</definedName>
    <definedName name="IQ_COUPON_FORMULA" hidden="1">"c8965"</definedName>
    <definedName name="IQ_COVERAGE_RATIO" hidden="1">"c15243"</definedName>
    <definedName name="IQ_COVERED_POPS" hidden="1">"c2124"</definedName>
    <definedName name="IQ_COVERED_WIRELESS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PI_YOY_PCT" hidden="1">"c20639"</definedName>
    <definedName name="IQ_CPI_YOY_PCT_FC" hidden="1">"c20640"</definedName>
    <definedName name="IQ_CQ" hidden="1">5000</definedName>
    <definedName name="IQ_CREDIT_CARD_CHARGE_OFFS_FDIC" hidden="1">"c6652"</definedName>
    <definedName name="IQ_CREDIT_CARD_CHARGE_OFFS_RELATED_ACCRUED_INTEREST_THRIFT" hidden="1">"c25228"</definedName>
    <definedName name="IQ_CREDIT_CARD_FEE_BNK" hidden="1">"c231"</definedName>
    <definedName name="IQ_CREDIT_CARD_FEE_FIN" hidden="1">"c1583"</definedName>
    <definedName name="IQ_CREDIT_CARD_GROSS_LOANS_FFIEC" hidden="1">"c13412"</definedName>
    <definedName name="IQ_CREDIT_CARD_INTERCHANGE_FEES_FFIEC" hidden="1">"c13046"</definedName>
    <definedName name="IQ_CREDIT_CARD_LINES_FDIC" hidden="1">"c6525"</definedName>
    <definedName name="IQ_CREDIT_CARD_LINES_UNUSED_FFIEC" hidden="1">"c13242"</definedName>
    <definedName name="IQ_CREDIT_CARD_LOANS_CHARGE_OFFS_FFIEC" hidden="1">"c13180"</definedName>
    <definedName name="IQ_CREDIT_CARD_LOANS_DOM_QUARTERLY_AVG_FFIEC" hidden="1">"c15480"</definedName>
    <definedName name="IQ_CREDIT_CARD_LOANS_DUE_30_89_FFIEC" hidden="1">"c13272"</definedName>
    <definedName name="IQ_CREDIT_CARD_LOANS_DUE_90_FFIEC" hidden="1">"c13298"</definedName>
    <definedName name="IQ_CREDIT_CARD_LOANS_FDIC" hidden="1">"c6319"</definedName>
    <definedName name="IQ_CREDIT_CARD_LOANS_GROSS_LOANS_THRIFT" hidden="1">"c25734"</definedName>
    <definedName name="IQ_CREDIT_CARD_LOANS_NON_ACCRUAL_FFIEC" hidden="1">"c13324"</definedName>
    <definedName name="IQ_CREDIT_CARD_LOANS_OUTSTANDING_BUS_NON_MORTGAGE_COMM_LOANS_THRIFT" hidden="1">"c24856"</definedName>
    <definedName name="IQ_CREDIT_CARD_LOANS_RECOV_FFIEC" hidden="1">"c13202"</definedName>
    <definedName name="IQ_CREDIT_CARD_LOANS_RELATED_CHARGE_OFFS_FFIEC" hidden="1">"c25840"</definedName>
    <definedName name="IQ_CREDIT_CARD_LOANS_RELATED_RECOV_FFIEC" hidden="1">"c25841"</definedName>
    <definedName name="IQ_CREDIT_CARD_LOANS_RISK_BASED_CAPITAL_THRIFT" hidden="1">"c25719"</definedName>
    <definedName name="IQ_CREDIT_CARD_NET_CHARGE_OFFS_FDIC" hidden="1">"c6654"</definedName>
    <definedName name="IQ_CREDIT_CARD_RECOVERIES_FDIC" hidden="1">"c6653"</definedName>
    <definedName name="IQ_CREDIT_CARD_RELATED_LL_REC_FFIEC" hidden="1">"c25870"</definedName>
    <definedName name="IQ_CREDIT_CARD_RISK_BASED_FFIEC" hidden="1">"c13433"</definedName>
    <definedName name="IQ_CREDIT_CARDS_CONSUMER_LOANS_FFIEC" hidden="1">"c12822"</definedName>
    <definedName name="IQ_CREDIT_CARDS_CONSUMER_OPEN_END_LINES_CREDIT_THRIFT" hidden="1">"c25609"</definedName>
    <definedName name="IQ_CREDIT_CARDS_LL_REC_FFIEC" hidden="1">"c12889"</definedName>
    <definedName name="IQ_CREDIT_CARDS_LOANS_TRADING_DOM_FFIEC" hidden="1">"c12933"</definedName>
    <definedName name="IQ_CREDIT_CARDS_OTHER_OPEN_END_LINES_CREDIT_THRIFT" hidden="1">"c25610"</definedName>
    <definedName name="IQ_CREDIT_CARDS_THRIFT" hidden="1">"c24864"</definedName>
    <definedName name="IQ_CREDIT_EXPOSURE" hidden="1">"c10038"</definedName>
    <definedName name="IQ_CREDIT_EXPOSURE_FFIEC" hidden="1">"c13062"</definedName>
    <definedName name="IQ_CREDIT_LOSS_CF" hidden="1">"c232"</definedName>
    <definedName name="IQ_CREDIT_LOSS_PROVISION_NET_CHARGE_OFFS_FDIC" hidden="1">"c6734"</definedName>
    <definedName name="IQ_CREDIT_LOSSES_DERIVATIVES_FFIEC" hidden="1">"c13068"</definedName>
    <definedName name="IQ_CREDIT_OPTIONS_DERIVATIVES_BENEFICIARY_FFIEC" hidden="1">"c13121"</definedName>
    <definedName name="IQ_CREDIT_OPTIONS_DERIVATIVES_GUARANTOR_FFIEC" hidden="1">"c13114"</definedName>
    <definedName name="IQ_CUM_EFFECT_CHANGE_ACCOUNTING_FFIEC" hidden="1">"c25849"</definedName>
    <definedName name="IQ_CUMULATIVE_PREF_THRIFT" hidden="1">"c24915"</definedName>
    <definedName name="IQ_CUMULATIVE_PREFERREDS_T2_FFIEC" hidden="1">"c13145"</definedName>
    <definedName name="IQ_CUMULATIVE_SPLIT_FACTOR" hidden="1">"c2094"</definedName>
    <definedName name="IQ_CURR_ACCT_BALANCE" hidden="1">"c20641"</definedName>
    <definedName name="IQ_CURR_ACCT_BALANCE_APR_FC_UNUSED" hidden="1">"c8387"</definedName>
    <definedName name="IQ_CURR_ACCT_BALANCE_APR_FC_UNUSED_UNUSED_UNUSED" hidden="1">"c8387"</definedName>
    <definedName name="IQ_CURR_ACCT_BALANCE_APR_UNUSED" hidden="1">"c7507"</definedName>
    <definedName name="IQ_CURR_ACCT_BALANCE_APR_UNUSED_UNUSED_UNUSED" hidden="1">"c7507"</definedName>
    <definedName name="IQ_CURR_ACCT_BALANCE_FC_UNUSED" hidden="1">"c7727"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GDP" hidden="1">"c20642"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" hidden="1">"c7947"</definedName>
    <definedName name="IQ_CURR_ACCT_BALANCE_POP_FC_UNUSED_UNUSED_UNUSED" hidden="1">"c7947"</definedName>
    <definedName name="IQ_CURR_ACCT_BALANCE_POP_UNUSED" hidden="1">"c7067"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" hidden="1">"c6847"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" hidden="1">"c8167"</definedName>
    <definedName name="IQ_CURR_ACCT_BALANCE_YOY_FC_UNUSED_UNUSED_UNUSED" hidden="1">"c8167"</definedName>
    <definedName name="IQ_CURR_ACCT_BALANCE_YOY_UNUSED" hidden="1">"c7287"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_TAXES" hidden="1">"c19141"</definedName>
    <definedName name="IQ_CURRENCY_COIN_DOM_FFIEC" hidden="1">"c15287"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CM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CY_RT" hidden="1">"ISOCURRENCY"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localSheetId="12" hidden="1">"c241"</definedName>
    <definedName name="IQ_CURRENT_PORT" localSheetId="7" hidden="1">"c241"</definedName>
    <definedName name="IQ_CURRENT_PORT" hidden="1">"c95"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CM" hidden="1">"c1567"</definedName>
    <definedName name="IQ_CURRENT_PORT_DEBT_DERIVATIVES" hidden="1">"c17742"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localSheetId="12" hidden="1">"c246"</definedName>
    <definedName name="IQ_CURRENT_RATIO" localSheetId="7" hidden="1">"c246"</definedName>
    <definedName name="IQ_CURRENT_RATIO" hidden="1">"c164"</definedName>
    <definedName name="IQ_CUST_PREMISE_EQUIP_CABLE_INVEST" hidden="1">"c15801"</definedName>
    <definedName name="IQ_CUSTODY_SAFEKEEPING_ACCOUNTS_INC_THRIFT" hidden="1">"c24809"</definedName>
    <definedName name="IQ_CUSTODY_SAFEKEEPING_ACCOUNTS_NONMANAGED_ASSETS_THRIFT" hidden="1">"c25377"</definedName>
    <definedName name="IQ_CUSTODY_SAFEKEEPING_ACCOUNTS_NUMBER_NONMANAGED_ACCOUNTS_THRIFT" hidden="1">"c25389"</definedName>
    <definedName name="IQ_CUSTOMER_LIAB_ACCEPTANCES_OUT_FFIEC" hidden="1">"c12835"</definedName>
    <definedName name="IQ_CY" hidden="1">10000</definedName>
    <definedName name="IQ_DA" hidden="1">"c247"</definedName>
    <definedName name="IQ_DA_ACT_OR_EST" hidden="1">"c18268"</definedName>
    <definedName name="IQ_DA_ACT_OR_EST_CIQ" hidden="1">"c18274"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CM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CM" hidden="1">"c248"</definedName>
    <definedName name="IQ_DA_DET_EST" hidden="1">"c18176"</definedName>
    <definedName name="IQ_DA_DET_EST_CIQ" hidden="1">"c18225"</definedName>
    <definedName name="IQ_DA_DET_EST_CURRENCY" hidden="1">"c18309"</definedName>
    <definedName name="IQ_DA_DET_EST_CURRENCY_CIQ" hidden="1">"c18348"</definedName>
    <definedName name="IQ_DA_DET_EST_DATE" hidden="1">"c18283"</definedName>
    <definedName name="IQ_DA_DET_EST_DATE_CIQ" hidden="1">"c18327"</definedName>
    <definedName name="IQ_DA_DET_EST_INCL" hidden="1">"c18365"</definedName>
    <definedName name="IQ_DA_DET_EST_INCL_CIQ" hidden="1">"c18334"</definedName>
    <definedName name="IQ_DA_DET_EST_NOTE" hidden="1">"c18298"</definedName>
    <definedName name="IQ_DA_DET_EST_NOTE_CIQ" hidden="1">"c18341"</definedName>
    <definedName name="IQ_DA_DET_EST_ORIGIN" hidden="1">"c18320"</definedName>
    <definedName name="IQ_DA_DET_EST_ORIGIN_CIQ" hidden="1">"c18355"</definedName>
    <definedName name="IQ_DA_EBITDA" hidden="1">"c5528"</definedName>
    <definedName name="IQ_DA_EST" hidden="1">"c18115"</definedName>
    <definedName name="IQ_DA_EST_CIQ" hidden="1">"c18183"</definedName>
    <definedName name="IQ_DA_EST_NOTE" hidden="1">"c18236"</definedName>
    <definedName name="IQ_DA_EST_NOTE_CIQ" hidden="1">"c18243"</definedName>
    <definedName name="IQ_DA_FIN" hidden="1">"c256"</definedName>
    <definedName name="IQ_DA_GUIDANCE" hidden="1">"c18409"</definedName>
    <definedName name="IQ_DA_HIGH_EST" hidden="1">"c18135"</definedName>
    <definedName name="IQ_DA_HIGH_EST_CIQ" hidden="1">"c18197"</definedName>
    <definedName name="IQ_DA_HIGH_GUIDANCE" hidden="1">"c18410"</definedName>
    <definedName name="IQ_DA_INS" hidden="1">"c257"</definedName>
    <definedName name="IQ_DA_LOW_EST" hidden="1">"c18145"</definedName>
    <definedName name="IQ_DA_LOW_EST_CIQ" hidden="1">"c18204"</definedName>
    <definedName name="IQ_DA_LOW_GUIDANCE" hidden="1">"c18411"</definedName>
    <definedName name="IQ_DA_MEDIAN_EST" hidden="1">"c18125"</definedName>
    <definedName name="IQ_DA_MEDIAN_EST_CIQ" hidden="1">"c18190"</definedName>
    <definedName name="IQ_DA_NUM_EST" hidden="1">"c18165"</definedName>
    <definedName name="IQ_DA_NUM_EST_CIQ" hidden="1">"c18218"</definedName>
    <definedName name="IQ_DA_RE" hidden="1">"c6207"</definedName>
    <definedName name="IQ_DA_REIT" hidden="1">"c258"</definedName>
    <definedName name="IQ_DA_STDDEV_EST" hidden="1">"c18155"</definedName>
    <definedName name="IQ_DA_STDDEV_EST_CIQ" hidden="1">"c18211"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CM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CM" hidden="1">"c260"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ILY" hidden="1">500000</definedName>
    <definedName name="IQ_DART" hidden="1">"c20427"</definedName>
    <definedName name="IQ_DATA_PROCESSING_EXP_FFIEC" hidden="1">"c13047"</definedName>
    <definedName name="IQ_DATA_SET" hidden="1">"c19244"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localSheetId="12" hidden="1">"c1362"</definedName>
    <definedName name="IQ_DAYS_PAY_OUTST" localSheetId="7" hidden="1">"c1362"</definedName>
    <definedName name="IQ_DAYS_PAY_OUTST" hidden="1">"c154"</definedName>
    <definedName name="IQ_DAYS_PAYABLE_OUT" hidden="1">"c274"</definedName>
    <definedName name="IQ_DAYS_SALES_OUT" hidden="1">"c275"</definedName>
    <definedName name="IQ_DAYS_SALES_OUTST" localSheetId="12" hidden="1">"c1363"</definedName>
    <definedName name="IQ_DAYS_SALES_OUTST" localSheetId="7" hidden="1">"c1363"</definedName>
    <definedName name="IQ_DAYS_SALES_OUTST" hidden="1">"c153"</definedName>
    <definedName name="IQ_DEBT_1_5_INVEST_SECURITIES_FFIEC" hidden="1">"c13465"</definedName>
    <definedName name="IQ_DEBT_ADJ" hidden="1">"c2515"</definedName>
    <definedName name="IQ_DEBT_ADJ_PCT" hidden="1">"c2516"</definedName>
    <definedName name="IQ_DEBT_EQUITY_EST" hidden="1">"c4257"</definedName>
    <definedName name="IQ_DEBT_EQUITY_EST_CIQ" hidden="1">"c4783"</definedName>
    <definedName name="IQ_DEBT_EQUITY_HIGH_EST" hidden="1">"c4258"</definedName>
    <definedName name="IQ_DEBT_EQUITY_HIGH_EST_CIQ" hidden="1">"c4784"</definedName>
    <definedName name="IQ_DEBT_EQUITY_LOW_EST" hidden="1">"c4259"</definedName>
    <definedName name="IQ_DEBT_EQUITY_LOW_EST_CIQ" hidden="1">"c4785"</definedName>
    <definedName name="IQ_DEBT_EQUITY_MEDIAN_EST" hidden="1">"c4260"</definedName>
    <definedName name="IQ_DEBT_EQUITY_MEDIAN_EST_CIQ" hidden="1">"c4786"</definedName>
    <definedName name="IQ_DEBT_EQUITY_NUM_EST" hidden="1">"c4261"</definedName>
    <definedName name="IQ_DEBT_EQUITY_NUM_EST_CIQ" hidden="1">"c4787"</definedName>
    <definedName name="IQ_DEBT_EQUITY_STDDEV_EST" hidden="1">"c4262"</definedName>
    <definedName name="IQ_DEBT_EQUITY_STDDEV_EST_CIQ" hidden="1">"c4788"</definedName>
    <definedName name="IQ_DEBT_EQUIV_NET_PBO" hidden="1">"c2938"</definedName>
    <definedName name="IQ_DEBT_EQUIV_OPER_LEASE" hidden="1">"c2935"</definedName>
    <definedName name="IQ_DEBT_LESS_1YR_INVEST_SECURITIES_FFIEC" hidden="1">"c13464"</definedName>
    <definedName name="IQ_DEBT_MATURING_MORE_THAN_ONE_YEAR_FFIEC" hidden="1">"c13164"</definedName>
    <definedName name="IQ_DEBT_MATURING_WITHIN_ONE_YEAR_FFIEC" hidden="1">"c13163"</definedName>
    <definedName name="IQ_DEBT_SEC_OVER_5YR_INVEST_SECURITIES_FFIEC" hidden="1">"c13466"</definedName>
    <definedName name="IQ_DEBT_SECURITIES_FOREIGN_FFIEC" hidden="1">"c13484"</definedName>
    <definedName name="IQ_DEBT_SECURITIES_LESS_THAN_1YR_INV_SEC_THRIFT" hidden="1">"c25676"</definedName>
    <definedName name="IQ_DEBT_SECURITIES_OTHER_ASSETS_DUE_30_89_FFIEC" hidden="1">"c13279"</definedName>
    <definedName name="IQ_DEBT_SECURITIES_OTHER_ASSETS_DUE_90_FFIEC" hidden="1">"c13305"</definedName>
    <definedName name="IQ_DEBT_SECURITIES_OTHER_ASSETS_NON_ACCRUAL_FFIEC" hidden="1">"c13331"</definedName>
    <definedName name="IQ_DEBT_SECURITIES_OVER_1YR_INV_SEC_THRIFT" hidden="1">"c25677"</definedName>
    <definedName name="IQ_DECREASE_INT_EXPENSE_FFIEC" hidden="1">"c13064"</definedName>
    <definedName name="IQ_DEDUCTION_EQUITY_INV_OTHER_ASSETS_THRIFT" hidden="1">"c25047"</definedName>
    <definedName name="IQ_DEDUCTION_LOW_LEVEL_RECOURSE_RESIDUAL_INTERESTS_THRIFT" hidden="1">"c25048"</definedName>
    <definedName name="IQ_DEDUCTIONS_TOTAL_RISK_BASED_CAPITAL_FFIEC" hidden="1">"c13152"</definedName>
    <definedName name="IQ_DEF_ACQ_CST" localSheetId="12" hidden="1">"c1364"</definedName>
    <definedName name="IQ_DEF_ACQ_CST" localSheetId="7" hidden="1">"c1364"</definedName>
    <definedName name="IQ_DEF_ACQ_CST" hidden="1">"c290"</definedName>
    <definedName name="IQ_DEF_AMORT" hidden="1">"c276"</definedName>
    <definedName name="IQ_DEF_AMORT_BNK" hidden="1">"c277"</definedName>
    <definedName name="IQ_DEF_AMORT_BR" hidden="1">"c278"</definedName>
    <definedName name="IQ_DEF_AMORT_CM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CM" hidden="1">"c288"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CM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CM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CM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AULT_DATE" hidden="1">"c16220"</definedName>
    <definedName name="IQ_DEFAULT_TYPE" hidden="1">"c16219"</definedName>
    <definedName name="IQ_DEFERRED_CONTINGENT_RENT" hidden="1">"c16181"</definedName>
    <definedName name="IQ_DEFERRED_DOMESTIC_TAXES" hidden="1">"c2077"</definedName>
    <definedName name="IQ_DEFERRED_FOREIGN_TAXES" hidden="1">"c2078"</definedName>
    <definedName name="IQ_DEFERRED_INC_TAX" localSheetId="12" hidden="1">"c1447"</definedName>
    <definedName name="IQ_DEFERRED_INC_TAX" localSheetId="7" hidden="1">"c1447"</definedName>
    <definedName name="IQ_DEFERRED_INC_TAX" hidden="1">"c102"</definedName>
    <definedName name="IQ_DEFERRED_INCOME_TAXES_THRIFT" hidden="1">"c24911"</definedName>
    <definedName name="IQ_DEFERRED_TAX_ASSETS_FFIEC" hidden="1">"c12843"</definedName>
    <definedName name="IQ_DEFERRED_TAX_ASSETS_T1_FFIEC" hidden="1">"c13141"</definedName>
    <definedName name="IQ_DEFERRED_TAX_LIAB_FFIEC" hidden="1">"c12870"</definedName>
    <definedName name="IQ_DEFERRED_TAX_NAV" hidden="1">"c16003"</definedName>
    <definedName name="IQ_DEFERRED_TAX_NNAV" hidden="1">"c16008"</definedName>
    <definedName name="IQ_DEFERRED_TAXES" localSheetId="12" hidden="1">"c1356"</definedName>
    <definedName name="IQ_DEFERRED_TAXES" localSheetId="7" hidden="1">"c1356"</definedName>
    <definedName name="IQ_DEFERRED_TAXES" hidden="1">"c122"</definedName>
    <definedName name="IQ_DEFERRED_TAXES_TOTAL" hidden="1">"c19142"</definedName>
    <definedName name="IQ_DELIVERED_HOMES_NEW_ORDERS" hidden="1">"c15821"</definedName>
    <definedName name="IQ_DELIVERED_HOMES_PRICE_NEW_ORDER_PRICE" hidden="1">"c15822"</definedName>
    <definedName name="IQ_DEMAND_DEP" hidden="1">"c320"</definedName>
    <definedName name="IQ_DEMAND_DEPOSITS_COMMERCIAL_BANK_SUBS_FFIEC" hidden="1">"c12945"</definedName>
    <definedName name="IQ_DEMAND_DEPOSITS_CONSOLIDATED_SUBSIDIARIES_THRIFT" hidden="1">"c25570"</definedName>
    <definedName name="IQ_DEMAND_DEPOSITS_FDIC" hidden="1">"c6489"</definedName>
    <definedName name="IQ_DEMAND_DEPOSITS_TOT_DEPOSITS_FFIEC" hidden="1">"c13902"</definedName>
    <definedName name="IQ_DEPOSIT_ACCOUNTS_LESS_THAN_100K_FDIC" hidden="1">"c6494"</definedName>
    <definedName name="IQ_DEPOSIT_ACCOUNTS_MORE_THAN_100K_FDIC" hidden="1">"c6492"</definedName>
    <definedName name="IQ_DEPOSITORY_INST_ACCEPTANCES_LL_REC_DOM_FFIEC" hidden="1">"c12908"</definedName>
    <definedName name="IQ_DEPOSITORY_INST_GROSS_LOANS_FFIEC" hidden="1">"c13409"</definedName>
    <definedName name="IQ_DEPOSITORY_INST_RISK_BASED_FFIEC" hidden="1">"c13430"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100K_MORE_ASSETS_TOT_FFIEC" hidden="1">"c13444"</definedName>
    <definedName name="IQ_DEPOSITS_ACQUIRED_NET_DISPOSITIONS_IN_BULK_TRANSACTIONS_THRIFT" hidden="1">"c25345"</definedName>
    <definedName name="IQ_DEPOSITS_AMOUNTS_NETTED_THRIFT" hidden="1">"c25534"</definedName>
    <definedName name="IQ_DEPOSITS_DOM_FFIEC" hidden="1">"c12850"</definedName>
    <definedName name="IQ_DEPOSITS_ESCROWS_THRIFT" hidden="1">"c24895"</definedName>
    <definedName name="IQ_DEPOSITS_EXCLUDING_RETIREMENT_ACCOUNTS_GREATER_THAN_250000_THRIFT" hidden="1">"c24986"</definedName>
    <definedName name="IQ_DEPOSITS_EXCLUDING_RETIREMENT_ACCOUNTS_LESS_THAN_250000_THRIFT" hidden="1">"c24985"</definedName>
    <definedName name="IQ_DEPOSITS_FAIR_VALUE_TOT_FFIEC" hidden="1">"c13213"</definedName>
    <definedName name="IQ_DEPOSITS_FIN" hidden="1">"c321"</definedName>
    <definedName name="IQ_DEPOSITS_FOREIGN_BANKS_FOREIGN_AGENCIES_FFIEC" hidden="1">"c15344"</definedName>
    <definedName name="IQ_DEPOSITS_FOREIGN_FFIEC" hidden="1">"c12853"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INV_SEC_GVA_CHARGE_OFFS_THRIFT" hidden="1">"c25112"</definedName>
    <definedName name="IQ_DEPOSITS_INV_SEC_GVA_RECOVERIES_THRIFT" hidden="1">"c25143"</definedName>
    <definedName name="IQ_DEPOSITS_INV_SEC_SVA_PROVISIONS_TRANSFERS_FROM_GVA_THRIFT" hidden="1">"c25166"</definedName>
    <definedName name="IQ_DEPOSITS_INV_SEC_TOTAL_THRIFT" hidden="1">"c25197"</definedName>
    <definedName name="IQ_DEPOSITS_LESS_100K_COMMERCIAL_BANK_SUBS_FFIEC" hidden="1">"c12948"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LEVEL_1_FFIEC" hidden="1">"c13221"</definedName>
    <definedName name="IQ_DEPOSITS_LEVEL_1_THRIFT" hidden="1">"c25530"</definedName>
    <definedName name="IQ_DEPOSITS_LEVEL_2_FFIEC" hidden="1">"c13229"</definedName>
    <definedName name="IQ_DEPOSITS_LEVEL_2_THRIFT" hidden="1">"c25531"</definedName>
    <definedName name="IQ_DEPOSITS_LEVEL_3_FFIEC" hidden="1">"c13237"</definedName>
    <definedName name="IQ_DEPOSITS_LEVEL_3_THRIFT" hidden="1">"c25532"</definedName>
    <definedName name="IQ_DEPOSITS_MORE_100K_COMMERCIAL_BANK_SUBS_FFIEC" hidden="1">"c12949"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OSITS_THRIFT" hidden="1">"c24896"</definedName>
    <definedName name="IQ_DEPOSITS_TOTAL_AFTER_NETTING_THRIFT" hidden="1">"c25535"</definedName>
    <definedName name="IQ_DEPOSITS_TOTAL_BEFORE_NETTING_THRIFT" hidden="1">"c25533"</definedName>
    <definedName name="IQ_DEPRE_AMORT" localSheetId="12" hidden="1">"c1360"</definedName>
    <definedName name="IQ_DEPRE_AMORT" localSheetId="7" hidden="1">"c1360"</definedName>
    <definedName name="IQ_DEPRE_AMORT" hidden="1">"c10"</definedName>
    <definedName name="IQ_DEPRE_AMORT_SUPPL" localSheetId="12" hidden="1">"c1593"</definedName>
    <definedName name="IQ_DEPRE_AMORT_SUPPL" localSheetId="7" hidden="1">"c1593"</definedName>
    <definedName name="IQ_DEPRE_AMORT_SUPPL" hidden="1">"c54"</definedName>
    <definedName name="IQ_DEPRE_DEPLE" localSheetId="12" hidden="1">"c1361"</definedName>
    <definedName name="IQ_DEPRE_DEPLE" localSheetId="7" hidden="1">"c1361"</definedName>
    <definedName name="IQ_DEPRE_DEPLE" hidden="1">"c120"</definedName>
    <definedName name="IQ_DEPRE_SUPP" localSheetId="12" hidden="1">"c1443"</definedName>
    <definedName name="IQ_DEPRE_SUPP" localSheetId="7" hidden="1">"c1443"</definedName>
    <definedName name="IQ_DEPRE_SUPP" hidden="1">"c136"</definedName>
    <definedName name="IQ_DERIVATIVE_ASSETS_AMOUNTS_NETTED_THRIFT" hidden="1">"c25510"</definedName>
    <definedName name="IQ_DERIVATIVE_ASSETS_CURRENT" hidden="1">"c17744"</definedName>
    <definedName name="IQ_DERIVATIVE_ASSETS_FAIR_VALUE_TOT_FFIEC" hidden="1">"c15403"</definedName>
    <definedName name="IQ_DERIVATIVE_ASSETS_LEVEL_1_FFIEC" hidden="1">"c15425"</definedName>
    <definedName name="IQ_DERIVATIVE_ASSETS_LEVEL_1_THRIFT" hidden="1">"c25506"</definedName>
    <definedName name="IQ_DERIVATIVE_ASSETS_LEVEL_2_FFIEC" hidden="1">"c15438"</definedName>
    <definedName name="IQ_DERIVATIVE_ASSETS_LEVEL_2_THRIFT" hidden="1">"c25507"</definedName>
    <definedName name="IQ_DERIVATIVE_ASSETS_LEVEL_3_FFIEC" hidden="1">"c15451"</definedName>
    <definedName name="IQ_DERIVATIVE_ASSETS_LEVEL_3_THRIFT" hidden="1">"c25508"</definedName>
    <definedName name="IQ_DERIVATIVE_ASSETS_LT" hidden="1">"c17745"</definedName>
    <definedName name="IQ_DERIVATIVE_ASSETS_TOTAL_AFTER_NETTING_THRIFT" hidden="1">"c25511"</definedName>
    <definedName name="IQ_DERIVATIVE_ASSETS_TOTAL_BEFORE_NETTING_THRIFT" hidden="1">"c25509"</definedName>
    <definedName name="IQ_DERIVATIVE_LIAB_CURRENT" hidden="1">"c17873"</definedName>
    <definedName name="IQ_DERIVATIVE_LIAB_NON_CURRENT" hidden="1">"c17874"</definedName>
    <definedName name="IQ_DERIVATIVE_LIABILITIES_AMOUNTS_NETTED_THRIFT" hidden="1">"c25552"</definedName>
    <definedName name="IQ_DERIVATIVE_LIABILITIES_FAIR_VALUE_TOT_FFIEC" hidden="1">"c15407"</definedName>
    <definedName name="IQ_DERIVATIVE_LIABILITIES_LEVEL_1_FFIEC" hidden="1">"c15429"</definedName>
    <definedName name="IQ_DERIVATIVE_LIABILITIES_LEVEL_1_THRIFT" hidden="1">"c25548"</definedName>
    <definedName name="IQ_DERIVATIVE_LIABILITIES_LEVEL_2_FFIEC" hidden="1">"c15442"</definedName>
    <definedName name="IQ_DERIVATIVE_LIABILITIES_LEVEL_2_THRIFT" hidden="1">"c25549"</definedName>
    <definedName name="IQ_DERIVATIVE_LIABILITIES_LEVEL_3_FFIEC" hidden="1">"c15455"</definedName>
    <definedName name="IQ_DERIVATIVE_LIABILITIES_LEVEL_3_THRIFT" hidden="1">"c25550"</definedName>
    <definedName name="IQ_DERIVATIVE_LIABILITIES_TOTAL_AFTER_NETTING_THRIFT" hidden="1">"c25553"</definedName>
    <definedName name="IQ_DERIVATIVE_LIABILITIES_TOTAL_BEFORE_NETTING_THRIFT" hidden="1">"c25551"</definedName>
    <definedName name="IQ_DERIVATIVE_TRADING_ASSETS" hidden="1">"c17875"</definedName>
    <definedName name="IQ_DERIVATIVES_FDIC" hidden="1">"c6523"</definedName>
    <definedName name="IQ_DERIVATIVES_NEGATIVE_FAIR_VALUE_DOM_FFIEC" hidden="1">"c12943"</definedName>
    <definedName name="IQ_DERIVATIVES_NEGATIVE_VALUE_FFIEC" hidden="1">"c12861"</definedName>
    <definedName name="IQ_DERIVATIVES_POS_FAIR_VALUE_FFIEC" hidden="1">"c12827"</definedName>
    <definedName name="IQ_DERIVATIVES_POSITIVE_FAIR_VALUE_TRADING_DOM_FFIEC" hidden="1">"c12938"</definedName>
    <definedName name="IQ_DESCRIPTION_LONG" localSheetId="12" hidden="1">"c1520"</definedName>
    <definedName name="IQ_DESCRIPTION_LONG" localSheetId="7" hidden="1">"c1520"</definedName>
    <definedName name="IQ_DESCRIPTION_LONG" hidden="1">"c211"</definedName>
    <definedName name="IQ_DEVELOP_LAND" hidden="1">"c323"</definedName>
    <definedName name="IQ_DEVELOPMENT_EXPENSE" hidden="1">"c16040"</definedName>
    <definedName name="IQ_DEVELOPMENT_REVENUE" hidden="1">"c16024"</definedName>
    <definedName name="IQ_DIC" hidden="1">"c13834"</definedName>
    <definedName name="IQ_DIFF_LASTCLOSE_TARGET_PRICE" hidden="1">"c1854"</definedName>
    <definedName name="IQ_DIFF_LASTCLOSE_TARGET_PRICE_CIQ" hidden="1">"c4767"</definedName>
    <definedName name="IQ_DIG_SUB_BASIC_SUB" hidden="1">"c16202"</definedName>
    <definedName name="IQ_DIG_SUB_VIDEO_SUB" hidden="1">"c15788"</definedName>
    <definedName name="IQ_DIGITAL_SUB_TOTAL_HOMES_PASSED" hidden="1">"c15769"</definedName>
    <definedName name="IQ_DIGITAL_VIDEO_PENETRATION" hidden="1">"c15768"</definedName>
    <definedName name="IQ_DILUT_ADJUST" localSheetId="12" hidden="1">"c1621"</definedName>
    <definedName name="IQ_DILUT_ADJUST" localSheetId="7" hidden="1">"c1621"</definedName>
    <definedName name="IQ_DILUT_ADJUST" hidden="1">"c47"</definedName>
    <definedName name="IQ_DILUT_EPS_EXCL" localSheetId="12" hidden="1">"c324"</definedName>
    <definedName name="IQ_DILUT_EPS_EXCL" localSheetId="7" hidden="1">"c324"</definedName>
    <definedName name="IQ_DILUT_EPS_EXCL" hidden="1">"c49"</definedName>
    <definedName name="IQ_DILUT_EPS_INCL" localSheetId="12" hidden="1">"c325"</definedName>
    <definedName name="IQ_DILUT_EPS_INCL" localSheetId="7" hidden="1">"c325"</definedName>
    <definedName name="IQ_DILUT_EPS_INCL" hidden="1">"c50"</definedName>
    <definedName name="IQ_DILUT_EPS_NORM" hidden="1">"c1903"</definedName>
    <definedName name="IQ_DILUT_NI" hidden="1">"c2079"</definedName>
    <definedName name="IQ_DILUT_NORMAL_EPS" localSheetId="12" hidden="1">"c1594"</definedName>
    <definedName name="IQ_DILUT_NORMAL_EPS" localSheetId="7" hidden="1">"c1594"</definedName>
    <definedName name="IQ_DILUT_NORMAL_EPS" hidden="1">"c66"</definedName>
    <definedName name="IQ_DILUT_OUTSTANDING_CURRENT_EST" hidden="1">"c4263"</definedName>
    <definedName name="IQ_DILUT_OUTSTANDING_CURRENT_EST_CIQ" hidden="1">"c4789"</definedName>
    <definedName name="IQ_DILUT_OUTSTANDING_CURRENT_HIGH_EST" hidden="1">"c4264"</definedName>
    <definedName name="IQ_DILUT_OUTSTANDING_CURRENT_HIGH_EST_CIQ" hidden="1">"c4790"</definedName>
    <definedName name="IQ_DILUT_OUTSTANDING_CURRENT_LOW_EST" hidden="1">"c4265"</definedName>
    <definedName name="IQ_DILUT_OUTSTANDING_CURRENT_LOW_EST_CIQ" hidden="1">"c4791"</definedName>
    <definedName name="IQ_DILUT_OUTSTANDING_CURRENT_MEDIAN_EST" hidden="1">"c4266"</definedName>
    <definedName name="IQ_DILUT_OUTSTANDING_CURRENT_MEDIAN_EST_CIQ" hidden="1">"c4792"</definedName>
    <definedName name="IQ_DILUT_OUTSTANDING_CURRENT_NUM_EST" hidden="1">"c4267"</definedName>
    <definedName name="IQ_DILUT_OUTSTANDING_CURRENT_NUM_EST_CIQ" hidden="1">"c4793"</definedName>
    <definedName name="IQ_DILUT_OUTSTANDING_CURRENT_STDDEV_EST" hidden="1">"c4268"</definedName>
    <definedName name="IQ_DILUT_OUTSTANDING_CURRENT_STDDEV_EST_CIQ" hidden="1">"c4794"</definedName>
    <definedName name="IQ_DILUT_WEIGHT" localSheetId="12" hidden="1">"c326"</definedName>
    <definedName name="IQ_DILUT_WEIGHT" localSheetId="7" hidden="1">"c326"</definedName>
    <definedName name="IQ_DILUT_WEIGHT" hidden="1">"c48"</definedName>
    <definedName name="IQ_DILUT_WEIGHT_EST" hidden="1">"c4269"</definedName>
    <definedName name="IQ_DILUT_WEIGHT_EST_CIQ" hidden="1">"c4795"</definedName>
    <definedName name="IQ_DILUT_WEIGHT_HIGH_EST" hidden="1">"c4271"</definedName>
    <definedName name="IQ_DILUT_WEIGHT_HIGH_EST_CIQ" hidden="1">"c4796"</definedName>
    <definedName name="IQ_DILUT_WEIGHT_LOW_EST" hidden="1">"c4272"</definedName>
    <definedName name="IQ_DILUT_WEIGHT_LOW_EST_CIQ" hidden="1">"c4797"</definedName>
    <definedName name="IQ_DILUT_WEIGHT_MEDIAN_EST" hidden="1">"c4273"</definedName>
    <definedName name="IQ_DILUT_WEIGHT_MEDIAN_EST_CIQ" hidden="1">"c4798"</definedName>
    <definedName name="IQ_DILUT_WEIGHT_NUM_EST" hidden="1">"c4274"</definedName>
    <definedName name="IQ_DILUT_WEIGHT_NUM_EST_CIQ" hidden="1">"c4799"</definedName>
    <definedName name="IQ_DILUT_WEIGHT_STDDEV_EST" hidden="1">"c4275"</definedName>
    <definedName name="IQ_DILUT_WEIGHT_STDDEV_EST_CIQ" hidden="1">"c4800"</definedName>
    <definedName name="IQ_DILUTED_EPRA_NAV" hidden="1">"c16005"</definedName>
    <definedName name="IQ_DILUTED_EPRA_NAV_SHARE_RE" hidden="1">"c16014"</definedName>
    <definedName name="IQ_DILUTED_EPRA_NNAV" hidden="1">"c16010"</definedName>
    <definedName name="IQ_DILUTED_EPRA_NNAV_SHARE_RE" hidden="1">"c16015"</definedName>
    <definedName name="IQ_DILUTED_NAV_RE" hidden="1">"c15998"</definedName>
    <definedName name="IQ_DILUTED_NAV_SHARE_RE" hidden="1">"c16013"</definedName>
    <definedName name="IQ_DILUTED_NAV_SHARES" hidden="1">"c16016"</definedName>
    <definedName name="IQ_DILUTION_EFFECT_NAV" hidden="1">"c15997"</definedName>
    <definedName name="IQ_DIRECT_AH_EARNED" hidden="1">"c2740"</definedName>
    <definedName name="IQ_DIRECT_EARNED" hidden="1">"c2730"</definedName>
    <definedName name="IQ_DIRECT_INDIRECT_RE_VENTURES_FFIEC" hidden="1">"c15266"</definedName>
    <definedName name="IQ_DIRECT_INDIRECT_RE_VENTURES_UNCONSOL_FFIEC" hidden="1">"c15274"</definedName>
    <definedName name="IQ_DIRECT_LIFE_EARNED" hidden="1">"c2735"</definedName>
    <definedName name="IQ_DIRECT_LIFE_IN_FORCE" hidden="1">"c2765"</definedName>
    <definedName name="IQ_DIRECT_LOSSES" hidden="1">"c15869"</definedName>
    <definedName name="IQ_DIRECT_PC_EARNED" hidden="1">"c2745"</definedName>
    <definedName name="IQ_DIRECT_WRITTEN" hidden="1">"c2724"</definedName>
    <definedName name="IQ_DIRECTORS_FEES_FFIEC" hidden="1">"c13049"</definedName>
    <definedName name="IQ_DISALLOWED_DEFERRED_TAX_ASSETS_FFIEC" hidden="1">"c13157"</definedName>
    <definedName name="IQ_DISALLOWED_GOODWILL_INTANGIBLE_ASSETS_FFIEC" hidden="1">"c13155"</definedName>
    <definedName name="IQ_DISALLOWED_GOODWILL_INTANGIBLES_T1_FFIEC" hidden="1">"c13137"</definedName>
    <definedName name="IQ_DISALLOWED_SERVICING_ASSETS_FFIEC" hidden="1">"c13156"</definedName>
    <definedName name="IQ_DISALLOWED_SERVICING_ASSETS_T1_FFIEC" hidden="1">"c13140"</definedName>
    <definedName name="IQ_DISALLOWED_SERVICING_OTHER_ASSETS_ADJUSTED_ASSETS_THRIFT" hidden="1">"c25033"</definedName>
    <definedName name="IQ_DISALLOWED_SERVICING_OTHER_ASSETS_T1_THRIFT" hidden="1">"c25024"</definedName>
    <definedName name="IQ_DISBURSED_CONSTRUCTION_MORTGAGE_LOANS_1_4_DWELLING_UNITS_THRIFT" hidden="1">"c25317"</definedName>
    <definedName name="IQ_DISBURSED_CONSTRUCTION_MORTGAGE_LOANS_MULTIFAMILY_5_MORE_DWELLING_UNITS_THRIFT" hidden="1">"c25318"</definedName>
    <definedName name="IQ_DISBURSED_CONSTRUCTION_MORTGAGE_LOANS_NONRES_THRIFT" hidden="1">"c25319"</definedName>
    <definedName name="IQ_DISBURSED_PML_1_4_DWELLING_UNITS_THRIFT" hidden="1">"c25320"</definedName>
    <definedName name="IQ_DISBURSED_PML_HOME_EQUITY_JUNIOR_LIENS_THRIFT" hidden="1">"c25321"</definedName>
    <definedName name="IQ_DISBURSED_PML_LAND_THRIFT" hidden="1">"c25324"</definedName>
    <definedName name="IQ_DISBURSED_PML_MULTIFAMILY_5_MORE_DWELLING_UNITS_THRIFT" hidden="1">"c25322"</definedName>
    <definedName name="IQ_DISBURSED_PML_NONRES_EXCEPT_LAND_THRIFT" hidden="1">"c25323"</definedName>
    <definedName name="IQ_DISCONT_OPER" localSheetId="12" hidden="1">"c1367"</definedName>
    <definedName name="IQ_DISCONT_OPER" localSheetId="7" hidden="1">"c1367"</definedName>
    <definedName name="IQ_DISCONT_OPER" hidden="1">"c37"</definedName>
    <definedName name="IQ_DISCOUNT_RATE_PENSION_DOMESTIC" hidden="1">"c327"</definedName>
    <definedName name="IQ_DISCOUNT_RATE_PENSION_FOREIGN" hidden="1">"c328"</definedName>
    <definedName name="IQ_DISCRETIONARY_CAPEX" hidden="1">"c16183"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_CASH_SHARE_TRUSTS_DET_EST_CIQ" hidden="1">"c24612"</definedName>
    <definedName name="IQ_DISTRIB_CASH_SHARE_TRUSTS_DET_EST_CURRENCY_CIQ" hidden="1">"c24616"</definedName>
    <definedName name="IQ_DISTRIB_CASH_SHARE_TRUSTS_DET_EST_DATE_CIQ" hidden="1">"c24613"</definedName>
    <definedName name="IQ_DISTRIB_CASH_SHARE_TRUSTS_DET_EST_INCL_CIQ" hidden="1">"c24614"</definedName>
    <definedName name="IQ_DISTRIB_CASH_SHARE_TRUSTS_DET_EST_NOTE_CIQ" hidden="1">"c24615"</definedName>
    <definedName name="IQ_DISTRIB_CASH_SHARE_TRUSTS_DET_EST_ORIGIN_CIQ" hidden="1">"c24617"</definedName>
    <definedName name="IQ_DISTRIB_CASH_SHARE_TRUSTS_EST_CIQ" hidden="1">"c4810"</definedName>
    <definedName name="IQ_DISTRIB_CASH_SHARE_TRUSTS_EST_DOWN_2MONTH_CIQ" hidden="1">"c24624"</definedName>
    <definedName name="IQ_DISTRIB_CASH_SHARE_TRUSTS_EST_DOWN_3MONTH_CIQ" hidden="1">"c24628"</definedName>
    <definedName name="IQ_DISTRIB_CASH_SHARE_TRUSTS_EST_DOWN_MONTH_CIQ" hidden="1">"c24620"</definedName>
    <definedName name="IQ_DISTRIB_CASH_SHARE_TRUSTS_EST_NOTE_CIQ" hidden="1">"c24611"</definedName>
    <definedName name="IQ_DISTRIB_CASH_SHARE_TRUSTS_EST_NUM_ANALYSTS_2MONTH_CIQ" hidden="1">"c24622"</definedName>
    <definedName name="IQ_DISTRIB_CASH_SHARE_TRUSTS_EST_NUM_ANALYSTS_3MONTH_CIQ" hidden="1">"c24626"</definedName>
    <definedName name="IQ_DISTRIB_CASH_SHARE_TRUSTS_EST_NUM_ANALYSTS_MONTH_CIQ" hidden="1">"c24618"</definedName>
    <definedName name="IQ_DISTRIB_CASH_SHARE_TRUSTS_EST_TOTAL_REVISED_2MONTH_CIQ" hidden="1">"c24625"</definedName>
    <definedName name="IQ_DISTRIB_CASH_SHARE_TRUSTS_EST_TOTAL_REVISED_3MONTH_CIQ" hidden="1">"c24629"</definedName>
    <definedName name="IQ_DISTRIB_CASH_SHARE_TRUSTS_EST_TOTAL_REVISED_MONTH_CIQ" hidden="1">"c24621"</definedName>
    <definedName name="IQ_DISTRIB_CASH_SHARE_TRUSTS_EST_UP_2MONTH_CIQ" hidden="1">"c24623"</definedName>
    <definedName name="IQ_DISTRIB_CASH_SHARE_TRUSTS_EST_UP_3MONTH_CIQ" hidden="1">"c24627"</definedName>
    <definedName name="IQ_DISTRIB_CASH_SHARE_TRUSTS_EST_UP_MONTH_CIQ" hidden="1">"c24619"</definedName>
    <definedName name="IQ_DISTRIB_CASH_SHARE_TRUSTS_HIGH_EST_CIQ" hidden="1">"c4813"</definedName>
    <definedName name="IQ_DISTRIB_CASH_SHARE_TRUSTS_LOW_EST_CIQ" hidden="1">"c4814"</definedName>
    <definedName name="IQ_DISTRIB_CASH_SHARE_TRUSTS_MEDIAN_EST_CIQ" hidden="1">"c4815"</definedName>
    <definedName name="IQ_DISTRIB_CASH_SHARE_TRUSTS_NUM_EST_CIQ" hidden="1">"c4816"</definedName>
    <definedName name="IQ_DISTRIB_CASH_SHARE_TRUSTS_STDDEV_EST_CIQ" hidden="1">"c4817"</definedName>
    <definedName name="IQ_DISTRIB_CASH_TRUSTS_DET_EST_CIQ" hidden="1">"c24593"</definedName>
    <definedName name="IQ_DISTRIB_CASH_TRUSTS_DET_EST_CURRENCY_CIQ" hidden="1">"c24597"</definedName>
    <definedName name="IQ_DISTRIB_CASH_TRUSTS_DET_EST_DATE_CIQ" hidden="1">"c24594"</definedName>
    <definedName name="IQ_DISTRIB_CASH_TRUSTS_DET_EST_INCL_CIQ" hidden="1">"c24595"</definedName>
    <definedName name="IQ_DISTRIB_CASH_TRUSTS_DET_EST_NOTE_CIQ" hidden="1">"c24596"</definedName>
    <definedName name="IQ_DISTRIB_CASH_TRUSTS_DET_EST_ORIGIN_CIQ" hidden="1">"c24598"</definedName>
    <definedName name="IQ_DISTRIB_CASH_TRUSTS_EST_CIQ" hidden="1">"c4802"</definedName>
    <definedName name="IQ_DISTRIB_CASH_TRUSTS_EST_DOWN_2MONTH_CIQ" hidden="1">"c24605"</definedName>
    <definedName name="IQ_DISTRIB_CASH_TRUSTS_EST_DOWN_3MONTH_CIQ" hidden="1">"c24609"</definedName>
    <definedName name="IQ_DISTRIB_CASH_TRUSTS_EST_DOWN_MONTH_CIQ" hidden="1">"c24601"</definedName>
    <definedName name="IQ_DISTRIB_CASH_TRUSTS_EST_NOTE_CIQ" hidden="1">"c24592"</definedName>
    <definedName name="IQ_DISTRIB_CASH_TRUSTS_EST_NUM_ANALYSTS_2MONTH_CIQ" hidden="1">"c24603"</definedName>
    <definedName name="IQ_DISTRIB_CASH_TRUSTS_EST_NUM_ANALYSTS_3MONTH_CIQ" hidden="1">"c24607"</definedName>
    <definedName name="IQ_DISTRIB_CASH_TRUSTS_EST_NUM_ANALYSTS_MONTH_CIQ" hidden="1">"c24599"</definedName>
    <definedName name="IQ_DISTRIB_CASH_TRUSTS_EST_TOTAL_REVISED_2MONTH_CIQ" hidden="1">"c24606"</definedName>
    <definedName name="IQ_DISTRIB_CASH_TRUSTS_EST_TOTAL_REVISED_3MONTH_CIQ" hidden="1">"c24610"</definedName>
    <definedName name="IQ_DISTRIB_CASH_TRUSTS_EST_TOTAL_REVISED_MONTH_CIQ" hidden="1">"c24602"</definedName>
    <definedName name="IQ_DISTRIB_CASH_TRUSTS_EST_UP_2MONTH_CIQ" hidden="1">"c24604"</definedName>
    <definedName name="IQ_DISTRIB_CASH_TRUSTS_EST_UP_3MONTH_CIQ" hidden="1">"c24608"</definedName>
    <definedName name="IQ_DISTRIB_CASH_TRUSTS_EST_UP_MONTH_CIQ" hidden="1">"c24600"</definedName>
    <definedName name="IQ_DISTRIB_CASH_TRUSTS_HIGH_EST_CIQ" hidden="1">"c4805"</definedName>
    <definedName name="IQ_DISTRIB_CASH_TRUSTS_LOW_EST_CIQ" hidden="1">"c4806"</definedName>
    <definedName name="IQ_DISTRIB_CASH_TRUSTS_MEDIAN_EST_CIQ" hidden="1">"c4807"</definedName>
    <definedName name="IQ_DISTRIB_CASH_TRUSTS_NUM_EST_CIQ" hidden="1">"c4808"</definedName>
    <definedName name="IQ_DISTRIB_CASH_TRUSTS_STDDEV_EST_CIQ" hidden="1">"c4819"</definedName>
    <definedName name="IQ_DISTRIBUTABLE_CASH" hidden="1">"c3002"</definedName>
    <definedName name="IQ_DISTRIBUTABLE_CASH_ACT_OR_EST" hidden="1">"c4278"</definedName>
    <definedName name="IQ_DISTRIBUTABLE_CASH_ACT_OR_EST_CIQ" hidden="1">"c4803"</definedName>
    <definedName name="IQ_DISTRIBUTABLE_CASH_EST" hidden="1">"c4277"</definedName>
    <definedName name="IQ_DISTRIBUTABLE_CASH_GUIDANCE" hidden="1">"c4279"</definedName>
    <definedName name="IQ_DISTRIBUTABLE_CASH_HIGH_EST" hidden="1">"c4280"</definedName>
    <definedName name="IQ_DISTRIBUTABLE_CASH_HIGH_GUIDANCE" hidden="1">"c4198"</definedName>
    <definedName name="IQ_DISTRIBUTABLE_CASH_LOW_EST" hidden="1">"c4281"</definedName>
    <definedName name="IQ_DISTRIBUTABLE_CASH_LOW_GUIDANCE" hidden="1">"c4238"</definedName>
    <definedName name="IQ_DISTRIBUTABLE_CASH_MEDIAN_EST" hidden="1">"c4282"</definedName>
    <definedName name="IQ_DISTRIBUTABLE_CASH_NUM_EST" hidden="1">"c4283"</definedName>
    <definedName name="IQ_DISTRIBUTABLE_CASH_PAYOUT" hidden="1">"c3005"</definedName>
    <definedName name="IQ_DISTRIBUTABLE_CASH_PER_SHARE_DILUTED" hidden="1">"c16191"</definedName>
    <definedName name="IQ_DISTRIBUTABLE_CASH_SHARE" hidden="1">"c3003"</definedName>
    <definedName name="IQ_DISTRIBUTABLE_CASH_SHARE_ACT_OR_EST" hidden="1">"c4286"</definedName>
    <definedName name="IQ_DISTRIBUTABLE_CASH_SHARE_ACT_OR_EST_CIQ" hidden="1">"c4811"</definedName>
    <definedName name="IQ_DISTRIBUTABLE_CASH_SHARE_EST" hidden="1">"c4285"</definedName>
    <definedName name="IQ_DISTRIBUTABLE_CASH_SHARE_GUIDANCE" hidden="1">"c4287"</definedName>
    <definedName name="IQ_DISTRIBUTABLE_CASH_SHARE_HIGH_EST" hidden="1">"c4288"</definedName>
    <definedName name="IQ_DISTRIBUTABLE_CASH_SHARE_HIGH_GUIDANCE" hidden="1">"c4199"</definedName>
    <definedName name="IQ_DISTRIBUTABLE_CASH_SHARE_LOW_EST" hidden="1">"c4289"</definedName>
    <definedName name="IQ_DISTRIBUTABLE_CASH_SHARE_LOW_GUIDANCE" hidden="1">"c4239"</definedName>
    <definedName name="IQ_DISTRIBUTABLE_CASH_SHARE_MEDIAN_EST" hidden="1">"c4290"</definedName>
    <definedName name="IQ_DISTRIBUTABLE_CASH_SHARE_NUM_EST" hidden="1">"c4291"</definedName>
    <definedName name="IQ_DISTRIBUTABLE_CASH_SHARE_STDDEV_EST" hidden="1">"c4292"</definedName>
    <definedName name="IQ_DISTRIBUTABLE_CASH_SHARES_BASIC" hidden="1">"c16189"</definedName>
    <definedName name="IQ_DISTRIBUTABLE_CASH_SHARES_DILUTED" hidden="1">"c16190"</definedName>
    <definedName name="IQ_DISTRIBUTABLE_CASH_STANDARDIZED" hidden="1">"c20435"</definedName>
    <definedName name="IQ_DISTRIBUTABLE_CASH_STDDEV_EST" hidden="1">"c4294"</definedName>
    <definedName name="IQ_DIV_AMOUNT" hidden="1">"c3041"</definedName>
    <definedName name="IQ_DIV_AMOUNT_LIST" hidden="1">"c17417"</definedName>
    <definedName name="IQ_DIV_PAYMENT_DATE" hidden="1">"c2106"</definedName>
    <definedName name="IQ_DIV_PAYMENT_DATE_LIST" hidden="1">"c17418"</definedName>
    <definedName name="IQ_DIV_PAYMENT_TYPE" hidden="1">"c12752"</definedName>
    <definedName name="IQ_DIV_PAYMENT_TYPE_LIST" hidden="1">"c17419"</definedName>
    <definedName name="IQ_DIV_RECORD_DATE" hidden="1">"c2105"</definedName>
    <definedName name="IQ_DIV_RECORD_DATE_LIST" hidden="1">"c17420"</definedName>
    <definedName name="IQ_DIV_SHARE" hidden="1">"c330"</definedName>
    <definedName name="IQ_DIVEST_CF" hidden="1">"c331"</definedName>
    <definedName name="IQ_DIVID_SHARE" localSheetId="12" hidden="1">"c1366"</definedName>
    <definedName name="IQ_DIVID_SHARE" localSheetId="7" hidden="1">"c1366"</definedName>
    <definedName name="IQ_DIVID_SHARE" hidden="1">"c51"</definedName>
    <definedName name="IQ_DIVIDEND_EST" hidden="1">"c4296"</definedName>
    <definedName name="IQ_DIVIDEND_EST_CIQ" hidden="1">"c4821"</definedName>
    <definedName name="IQ_DIVIDEND_HIGH_EST" hidden="1">"c4297"</definedName>
    <definedName name="IQ_DIVIDEND_HIGH_EST_CIQ" hidden="1">"c4822"</definedName>
    <definedName name="IQ_DIVIDEND_INCOME_FHLB_STOCK_THRIFT" hidden="1">"c24754"</definedName>
    <definedName name="IQ_DIVIDEND_INCOME_OTHER_EQUITY_INV_THRIFT" hidden="1">"c24755"</definedName>
    <definedName name="IQ_DIVIDEND_LOW_EST" hidden="1">"c4298"</definedName>
    <definedName name="IQ_DIVIDEND_LOW_EST_CIQ" hidden="1">"c4823"</definedName>
    <definedName name="IQ_DIVIDEND_MEDIAN_EST" hidden="1">"c4299"</definedName>
    <definedName name="IQ_DIVIDEND_MEDIAN_EST_CIQ" hidden="1">"c4824"</definedName>
    <definedName name="IQ_DIVIDEND_NUM_EST" hidden="1">"c4300"</definedName>
    <definedName name="IQ_DIVIDEND_NUM_EST_CIQ" hidden="1">"c4825"</definedName>
    <definedName name="IQ_DIVIDEND_STDDEV_EST" hidden="1">"c4301"</definedName>
    <definedName name="IQ_DIVIDEND_STDDEV_EST_CIQ" hidden="1">"c4826"</definedName>
    <definedName name="IQ_DIVIDEND_YIELD" localSheetId="12" hidden="1">"c332"</definedName>
    <definedName name="IQ_DIVIDEND_YIELD" localSheetId="7" hidden="1">"c332"</definedName>
    <definedName name="IQ_DIVIDEND_YIELD" hidden="1">"c230"</definedName>
    <definedName name="IQ_DIVIDENDS_DECLARED_COMMON_FDIC" hidden="1">"c6659"</definedName>
    <definedName name="IQ_DIVIDENDS_DECLARED_COMMON_FFIEC" hidden="1">"c12969"</definedName>
    <definedName name="IQ_DIVIDENDS_DECLARED_PREFERRED_FDIC" hidden="1">"c6658"</definedName>
    <definedName name="IQ_DIVIDENDS_DECLARED_PREFERRED_FFIEC" hidden="1">"c12968"</definedName>
    <definedName name="IQ_DIVIDENDS_FDIC" hidden="1">"c6660"</definedName>
    <definedName name="IQ_DIVIDENDS_NET_INCOME_FFIEC" hidden="1">"c13349"</definedName>
    <definedName name="IQ_DIVIDENDS_PAID_DECLARED_PERIOD_COVERED" hidden="1">"c9960"</definedName>
    <definedName name="IQ_DIVIDENDS_PAID_DECLARED_PERIOD_GROUP" hidden="1">"c9946"</definedName>
    <definedName name="IQ_DNB_OTHER_EXP_INC_TAX_US" hidden="1">"c6787"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OM_OFFICE_DEPOSITS_TOT_DEPOSITS_FFIEC" hidden="1">"c13910"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PS_ACT_OR_EST" hidden="1">"c2218"</definedName>
    <definedName name="IQ_DPS_ACT_OR_EST_CIQ" hidden="1">"c5062"</definedName>
    <definedName name="IQ_DPS_DET_EST" hidden="1">"c12052"</definedName>
    <definedName name="IQ_DPS_DET_EST_CIQ" hidden="1">"c12112"</definedName>
    <definedName name="IQ_DPS_DET_EST_CURRENCY" hidden="1">"c12459"</definedName>
    <definedName name="IQ_DPS_DET_EST_CURRENCY_CIQ" hidden="1">"c12503"</definedName>
    <definedName name="IQ_DPS_DET_EST_DATE" hidden="1">"c12205"</definedName>
    <definedName name="IQ_DPS_DET_EST_DATE_CIQ" hidden="1">"c12258"</definedName>
    <definedName name="IQ_DPS_DET_EST_INCL" hidden="1">"c12342"</definedName>
    <definedName name="IQ_DPS_DET_EST_INCL_CIQ" hidden="1">"c12386"</definedName>
    <definedName name="IQ_DPS_DET_EST_NOTE" hidden="1">"c17530"</definedName>
    <definedName name="IQ_DPS_DET_EST_NOTE_CIQ" hidden="1">"c17483"</definedName>
    <definedName name="IQ_DPS_DET_EST_ORIGIN" hidden="1">"c12578"</definedName>
    <definedName name="IQ_DPS_DET_EST_ORIGIN_CIQ" hidden="1">"c12627"</definedName>
    <definedName name="IQ_DPS_EST" hidden="1">"c1674"</definedName>
    <definedName name="IQ_DPS_EST_BOTTOM_UP" hidden="1">"c5493"</definedName>
    <definedName name="IQ_DPS_EST_BOTTOM_UP_CIQ" hidden="1">"c12030"</definedName>
    <definedName name="IQ_DPS_EST_CIQ" hidden="1">"c3682"</definedName>
    <definedName name="IQ_DPS_EST_DOWN_2MONTH" hidden="1">"c16345"</definedName>
    <definedName name="IQ_DPS_EST_DOWN_2MONTH_CIQ" hidden="1">"c16657"</definedName>
    <definedName name="IQ_DPS_EST_DOWN_3MONTH" hidden="1">"c16349"</definedName>
    <definedName name="IQ_DPS_EST_DOWN_3MONTH_CIQ" hidden="1">"c16661"</definedName>
    <definedName name="IQ_DPS_EST_DOWN_MONTH" hidden="1">"c16341"</definedName>
    <definedName name="IQ_DPS_EST_DOWN_MONTH_CIQ" hidden="1">"c16653"</definedName>
    <definedName name="IQ_DPS_EST_NOTE" hidden="1">"c17509"</definedName>
    <definedName name="IQ_DPS_EST_NOTE_CIQ" hidden="1">"c17462"</definedName>
    <definedName name="IQ_DPS_EST_NUM_ANALYSTS_2MONTH" hidden="1">"c16343"</definedName>
    <definedName name="IQ_DPS_EST_NUM_ANALYSTS_2MONTH_CIQ" hidden="1">"c16655"</definedName>
    <definedName name="IQ_DPS_EST_NUM_ANALYSTS_3MONTH" hidden="1">"c16347"</definedName>
    <definedName name="IQ_DPS_EST_NUM_ANALYSTS_3MONTH_CIQ" hidden="1">"c16659"</definedName>
    <definedName name="IQ_DPS_EST_NUM_ANALYSTS_MONTH" hidden="1">"c16339"</definedName>
    <definedName name="IQ_DPS_EST_NUM_ANALYSTS_MONTH_CIQ" hidden="1">"c16651"</definedName>
    <definedName name="IQ_DPS_EST_TOTAL_REVISED_2MONTH" hidden="1">"c16346"</definedName>
    <definedName name="IQ_DPS_EST_TOTAL_REVISED_2MONTH_CIQ" hidden="1">"c16658"</definedName>
    <definedName name="IQ_DPS_EST_TOTAL_REVISED_3MONTH" hidden="1">"c16350"</definedName>
    <definedName name="IQ_DPS_EST_TOTAL_REVISED_3MONTH_CIQ" hidden="1">"c16662"</definedName>
    <definedName name="IQ_DPS_EST_TOTAL_REVISED_MONTH" hidden="1">"c16342"</definedName>
    <definedName name="IQ_DPS_EST_TOTAL_REVISED_MONTH_CIQ" hidden="1">"c16654"</definedName>
    <definedName name="IQ_DPS_EST_UP_2MONTH" hidden="1">"c16344"</definedName>
    <definedName name="IQ_DPS_EST_UP_2MONTH_CIQ" hidden="1">"c16656"</definedName>
    <definedName name="IQ_DPS_EST_UP_3MONTH" hidden="1">"c16348"</definedName>
    <definedName name="IQ_DPS_EST_UP_3MONTH_CIQ" hidden="1">"c16660"</definedName>
    <definedName name="IQ_DPS_EST_UP_MONTH" hidden="1">"c16340"</definedName>
    <definedName name="IQ_DPS_EST_UP_MONTH_CIQ" hidden="1">"c16652"</definedName>
    <definedName name="IQ_DPS_GUIDANCE" hidden="1">"c4302"</definedName>
    <definedName name="IQ_DPS_HIGH_EST" hidden="1">"c1676"</definedName>
    <definedName name="IQ_DPS_HIGH_EST_CIQ" hidden="1">"c3684"</definedName>
    <definedName name="IQ_DPS_HIGH_GUIDANCE" hidden="1">"c4168"</definedName>
    <definedName name="IQ_DPS_LOW_EST" hidden="1">"c1677"</definedName>
    <definedName name="IQ_DPS_LOW_EST_CIQ" hidden="1">"c3685"</definedName>
    <definedName name="IQ_DPS_LOW_GUIDANCE" hidden="1">"c4208"</definedName>
    <definedName name="IQ_DPS_MEDIAN_EST" hidden="1">"c1675"</definedName>
    <definedName name="IQ_DPS_MEDIAN_EST_CIQ" hidden="1">"c3683"</definedName>
    <definedName name="IQ_DPS_NUM_EST" hidden="1">"c1678"</definedName>
    <definedName name="IQ_DPS_NUM_EST_CIQ" hidden="1">"c3686"</definedName>
    <definedName name="IQ_DPS_STDDEV_EST" hidden="1">"c1679"</definedName>
    <definedName name="IQ_DPS_STDDEV_EST_CIQ" hidden="1">"c3687"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INT_BEAR_LIABILITIES" hidden="1">"c15703"</definedName>
    <definedName name="IQ_EARNING_ASSET_YIELD" hidden="1">"c343"</definedName>
    <definedName name="IQ_EARNING_ASSETS_AVG_ASSETS_FFIEC" hidden="1">"c13354"</definedName>
    <definedName name="IQ_EARNING_ASSETS_FDIC" hidden="1">"c6360"</definedName>
    <definedName name="IQ_EARNING_ASSETS_QUARTERLY_AVG_FFIEC" hidden="1">"c13086"</definedName>
    <definedName name="IQ_EARNING_ASSETS_REPRICE_ASSETS_TOT_FFIEC" hidden="1">"c13451"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_PARENT_EXCL_EXTRA" hidden="1">"c25791"</definedName>
    <definedName name="IQ_EARNINGS_ANNOUNCE_DATE" hidden="1">"c1649"</definedName>
    <definedName name="IQ_EARNINGS_ANNOUNCE_DATE_CIQ" hidden="1">"c4656"</definedName>
    <definedName name="IQ_EARNINGS_BEFORE_TAXES_AVG_ASSETS_THRIFT" hidden="1">"c25656"</definedName>
    <definedName name="IQ_EARNINGS_CO_FFIEC" hidden="1">"c13032"</definedName>
    <definedName name="IQ_EARNINGS_CO_THRIFT" hidden="1">"c24796"</definedName>
    <definedName name="IQ_EARNINGS_CONT_OPS_HOMEBUILDING_SALES" hidden="1">"c15817"</definedName>
    <definedName name="IQ_EARNINGS_COVERAGE_LOSSES_FFIEC" hidden="1">"c13351"</definedName>
    <definedName name="IQ_EARNINGS_COVERAGE_NET_CHARGE_OFFS_FDIC" hidden="1">"c6735"</definedName>
    <definedName name="IQ_EARNINGS_COVERAGE_NET_LOSSES_THRIFT" hidden="1">"c25641"</definedName>
    <definedName name="IQ_EARNINGS_LIFE_INSURANCE_FFIEC" hidden="1">"c13041"</definedName>
    <definedName name="IQ_EARNINGS_PERIOD_COVERED" hidden="1">"c9958"</definedName>
    <definedName name="IQ_EARNINGS_PERIOD_GROUP" hidden="1">"c9944"</definedName>
    <definedName name="IQ_EBIT" localSheetId="12" hidden="1">"c352"</definedName>
    <definedName name="IQ_EBIT" localSheetId="7" hidden="1">"c352"</definedName>
    <definedName name="IQ_EBIT" hidden="1">"c22"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ACT_OR_EST" hidden="1">"c2219"</definedName>
    <definedName name="IQ_EBIT_ACT_OR_EST_CIQ" hidden="1">"c5063"</definedName>
    <definedName name="IQ_EBIT_DET_EST" hidden="1">"c12053"</definedName>
    <definedName name="IQ_EBIT_DET_EST_CIQ" hidden="1">"c12113"</definedName>
    <definedName name="IQ_EBIT_DET_EST_CURRENCY" hidden="1">"c12460"</definedName>
    <definedName name="IQ_EBIT_DET_EST_CURRENCY_CIQ" hidden="1">"c12504"</definedName>
    <definedName name="IQ_EBIT_DET_EST_DATE" hidden="1">"c12206"</definedName>
    <definedName name="IQ_EBIT_DET_EST_DATE_CIQ" hidden="1">"c12259"</definedName>
    <definedName name="IQ_EBIT_DET_EST_INCL" hidden="1">"c12343"</definedName>
    <definedName name="IQ_EBIT_DET_EST_INCL_CIQ" hidden="1">"c12387"</definedName>
    <definedName name="IQ_EBIT_DET_EST_NOTE" hidden="1">"c17531"</definedName>
    <definedName name="IQ_EBIT_DET_EST_NOTE_CIQ" hidden="1">"c17484"</definedName>
    <definedName name="IQ_EBIT_DET_EST_ORIGIN" hidden="1">"c12579"</definedName>
    <definedName name="IQ_EBIT_DET_EST_ORIGIN_CIQ" hidden="1">"c12628"</definedName>
    <definedName name="IQ_EBIT_EQ_INC" hidden="1">"c3498"</definedName>
    <definedName name="IQ_EBIT_EQ_INC_EXCL_SBC" hidden="1">"c3502"</definedName>
    <definedName name="IQ_EBIT_EST" hidden="1">"c1681"</definedName>
    <definedName name="IQ_EBIT_EST_CIQ" hidden="1">"c4674"</definedName>
    <definedName name="IQ_EBIT_EST_DOWN_2MONTH" hidden="1">"c16357"</definedName>
    <definedName name="IQ_EBIT_EST_DOWN_2MONTH_CIQ" hidden="1">"c16669"</definedName>
    <definedName name="IQ_EBIT_EST_DOWN_3MONTH" hidden="1">"c16361"</definedName>
    <definedName name="IQ_EBIT_EST_DOWN_3MONTH_CIQ" hidden="1">"c16673"</definedName>
    <definedName name="IQ_EBIT_EST_DOWN_MONTH" hidden="1">"c16353"</definedName>
    <definedName name="IQ_EBIT_EST_DOWN_MONTH_CIQ" hidden="1">"c16665"</definedName>
    <definedName name="IQ_EBIT_EST_NOTE" hidden="1">"c17510"</definedName>
    <definedName name="IQ_EBIT_EST_NOTE_CIQ" hidden="1">"c17463"</definedName>
    <definedName name="IQ_EBIT_EST_NUM_ANALYSTS_2MONTH" hidden="1">"c16355"</definedName>
    <definedName name="IQ_EBIT_EST_NUM_ANALYSTS_2MONTH_CIQ" hidden="1">"c16667"</definedName>
    <definedName name="IQ_EBIT_EST_NUM_ANALYSTS_3MONTH" hidden="1">"c16359"</definedName>
    <definedName name="IQ_EBIT_EST_NUM_ANALYSTS_3MONTH_CIQ" hidden="1">"c16671"</definedName>
    <definedName name="IQ_EBIT_EST_NUM_ANALYSTS_MONTH" hidden="1">"c16351"</definedName>
    <definedName name="IQ_EBIT_EST_NUM_ANALYSTS_MONTH_CIQ" hidden="1">"c16663"</definedName>
    <definedName name="IQ_EBIT_EST_TOTAL_REVISED_2MONTH" hidden="1">"c16358"</definedName>
    <definedName name="IQ_EBIT_EST_TOTAL_REVISED_2MONTH_CIQ" hidden="1">"c16670"</definedName>
    <definedName name="IQ_EBIT_EST_TOTAL_REVISED_3MONTH" hidden="1">"c16362"</definedName>
    <definedName name="IQ_EBIT_EST_TOTAL_REVISED_3MONTH_CIQ" hidden="1">"c16674"</definedName>
    <definedName name="IQ_EBIT_EST_TOTAL_REVISED_MONTH" hidden="1">"c16354"</definedName>
    <definedName name="IQ_EBIT_EST_TOTAL_REVISED_MONTH_CIQ" hidden="1">"c16666"</definedName>
    <definedName name="IQ_EBIT_EST_UP_2MONTH" hidden="1">"c16356"</definedName>
    <definedName name="IQ_EBIT_EST_UP_2MONTH_CIQ" hidden="1">"c16668"</definedName>
    <definedName name="IQ_EBIT_EST_UP_3MONTH" hidden="1">"c16360"</definedName>
    <definedName name="IQ_EBIT_EST_UP_3MONTH_CIQ" hidden="1">"c16672"</definedName>
    <definedName name="IQ_EBIT_EST_UP_MONTH" hidden="1">"c16352"</definedName>
    <definedName name="IQ_EBIT_EST_UP_MONTH_CIQ" hidden="1">"c16664"</definedName>
    <definedName name="IQ_EBIT_EXCL_SBC" hidden="1">"c3082"</definedName>
    <definedName name="IQ_EBIT_GUIDANCE" hidden="1">"c4303"</definedName>
    <definedName name="IQ_EBIT_GW_ACT_OR_EST" hidden="1">"c4306"</definedName>
    <definedName name="IQ_EBIT_GW_ACT_OR_EST_CIQ" hidden="1">"c4831"</definedName>
    <definedName name="IQ_EBIT_GW_EST" hidden="1">"c4305"</definedName>
    <definedName name="IQ_EBIT_GW_EST_CIQ" hidden="1">"c4830"</definedName>
    <definedName name="IQ_EBIT_GW_HIGH_EST" hidden="1">"c4308"</definedName>
    <definedName name="IQ_EBIT_GW_HIGH_EST_CIQ" hidden="1">"c4833"</definedName>
    <definedName name="IQ_EBIT_GW_LOW_EST" hidden="1">"c4309"</definedName>
    <definedName name="IQ_EBIT_GW_LOW_EST_CIQ" hidden="1">"c4834"</definedName>
    <definedName name="IQ_EBIT_GW_MEDIAN_EST" hidden="1">"c4310"</definedName>
    <definedName name="IQ_EBIT_GW_MEDIAN_EST_CIQ" hidden="1">"c4835"</definedName>
    <definedName name="IQ_EBIT_GW_NUM_EST" hidden="1">"c4311"</definedName>
    <definedName name="IQ_EBIT_GW_NUM_EST_CIQ" hidden="1">"c4836"</definedName>
    <definedName name="IQ_EBIT_GW_STDDEV_EST" hidden="1">"c4312"</definedName>
    <definedName name="IQ_EBIT_GW_STDDEV_EST_CIQ" hidden="1">"c4837"</definedName>
    <definedName name="IQ_EBIT_HIGH_EST" hidden="1">"c1683"</definedName>
    <definedName name="IQ_EBIT_HIGH_EST_CIQ" hidden="1">"c4676"</definedName>
    <definedName name="IQ_EBIT_HIGH_GUIDANCE" hidden="1">"c4172"</definedName>
    <definedName name="IQ_EBIT_HOMEBUILDING_SALES" hidden="1">"c15815"</definedName>
    <definedName name="IQ_EBIT_INT" hidden="1">"c360"</definedName>
    <definedName name="IQ_EBIT_LOW_EST" hidden="1">"c1684"</definedName>
    <definedName name="IQ_EBIT_LOW_EST_CIQ" hidden="1">"c4677"</definedName>
    <definedName name="IQ_EBIT_LOW_GUIDANCE" hidden="1">"c4212"</definedName>
    <definedName name="IQ_EBIT_MARGIN" localSheetId="12" hidden="1">"c359"</definedName>
    <definedName name="IQ_EBIT_MARGIN" localSheetId="7" hidden="1">"c359"</definedName>
    <definedName name="IQ_EBIT_MARGIN" hidden="1">"c141"</definedName>
    <definedName name="IQ_EBIT_MEDIAN_EST" hidden="1">"c1682"</definedName>
    <definedName name="IQ_EBIT_MEDIAN_EST_CIQ" hidden="1">"c4675"</definedName>
    <definedName name="IQ_EBIT_NUM_EST" hidden="1">"c1685"</definedName>
    <definedName name="IQ_EBIT_NUM_EST_CIQ" hidden="1">"c4678"</definedName>
    <definedName name="IQ_EBIT_OVER_IE" localSheetId="12" hidden="1">"c1369"</definedName>
    <definedName name="IQ_EBIT_OVER_IE" localSheetId="7" hidden="1">"c1369"</definedName>
    <definedName name="IQ_EBIT_OVER_IE" hidden="1">"c184"</definedName>
    <definedName name="IQ_EBIT_SBC_ACT_OR_EST" hidden="1">"c4316"</definedName>
    <definedName name="IQ_EBIT_SBC_ACT_OR_EST_CIQ" hidden="1">"c4841"</definedName>
    <definedName name="IQ_EBIT_SBC_EST" hidden="1">"c4315"</definedName>
    <definedName name="IQ_EBIT_SBC_EST_CIQ" hidden="1">"c4840"</definedName>
    <definedName name="IQ_EBIT_SBC_GW_ACT_OR_EST" hidden="1">"c4320"</definedName>
    <definedName name="IQ_EBIT_SBC_GW_ACT_OR_EST_CIQ" hidden="1">"c4845"</definedName>
    <definedName name="IQ_EBIT_SBC_GW_EST" hidden="1">"c4319"</definedName>
    <definedName name="IQ_EBIT_SBC_GW_EST_CIQ" hidden="1">"c4844"</definedName>
    <definedName name="IQ_EBIT_SBC_GW_HIGH_EST" hidden="1">"c4322"</definedName>
    <definedName name="IQ_EBIT_SBC_GW_HIGH_EST_CIQ" hidden="1">"c4847"</definedName>
    <definedName name="IQ_EBIT_SBC_GW_LOW_EST" hidden="1">"c4323"</definedName>
    <definedName name="IQ_EBIT_SBC_GW_LOW_EST_CIQ" hidden="1">"c4848"</definedName>
    <definedName name="IQ_EBIT_SBC_GW_MEDIAN_EST" hidden="1">"c4324"</definedName>
    <definedName name="IQ_EBIT_SBC_GW_MEDIAN_EST_CIQ" hidden="1">"c4849"</definedName>
    <definedName name="IQ_EBIT_SBC_GW_NUM_EST" hidden="1">"c4325"</definedName>
    <definedName name="IQ_EBIT_SBC_GW_NUM_EST_CIQ" hidden="1">"c4850"</definedName>
    <definedName name="IQ_EBIT_SBC_GW_STDDEV_EST" hidden="1">"c4326"</definedName>
    <definedName name="IQ_EBIT_SBC_GW_STDDEV_EST_CIQ" hidden="1">"c4851"</definedName>
    <definedName name="IQ_EBIT_SBC_HIGH_EST" hidden="1">"c4328"</definedName>
    <definedName name="IQ_EBIT_SBC_HIGH_EST_CIQ" hidden="1">"c4853"</definedName>
    <definedName name="IQ_EBIT_SBC_LOW_EST" hidden="1">"c4329"</definedName>
    <definedName name="IQ_EBIT_SBC_LOW_EST_CIQ" hidden="1">"c4854"</definedName>
    <definedName name="IQ_EBIT_SBC_MEDIAN_EST" hidden="1">"c4330"</definedName>
    <definedName name="IQ_EBIT_SBC_MEDIAN_EST_CIQ" hidden="1">"c4855"</definedName>
    <definedName name="IQ_EBIT_SBC_NUM_EST" hidden="1">"c4331"</definedName>
    <definedName name="IQ_EBIT_SBC_NUM_EST_CIQ" hidden="1">"c4856"</definedName>
    <definedName name="IQ_EBIT_SBC_STDDEV_EST" hidden="1">"c4332"</definedName>
    <definedName name="IQ_EBIT_SBC_STDDEV_EST_CIQ" hidden="1">"c4857"</definedName>
    <definedName name="IQ_EBIT_STDDEV_EST" hidden="1">"c1686"</definedName>
    <definedName name="IQ_EBIT_STDDEV_EST_CIQ" hidden="1">"c4679"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localSheetId="12" hidden="1">"c361"</definedName>
    <definedName name="IQ_EBITDA" localSheetId="7" hidden="1">"c361"</definedName>
    <definedName name="IQ_EBITDA" hidden="1">"c23"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" hidden="1">"c2215"</definedName>
    <definedName name="IQ_EBITDA_ACT_OR_EST_CIQ" hidden="1">"c5060"</definedName>
    <definedName name="IQ_EBITDA_CAPEX" hidden="1">"c19143"</definedName>
    <definedName name="IQ_EBITDA_CAPEX_INT" hidden="1">"c368"</definedName>
    <definedName name="IQ_EBITDA_CAPEX_OVER_TOTAL_IE" localSheetId="12" hidden="1">"c1370"</definedName>
    <definedName name="IQ_EBITDA_CAPEX_OVER_TOTAL_IE" localSheetId="7" hidden="1">"c1370"</definedName>
    <definedName name="IQ_EBITDA_CAPEX_OVER_TOTAL_IE" hidden="1">"c186"</definedName>
    <definedName name="IQ_EBITDA_DET_EST" hidden="1">"c12054"</definedName>
    <definedName name="IQ_EBITDA_DET_EST_CIQ" hidden="1">"c12114"</definedName>
    <definedName name="IQ_EBITDA_DET_EST_CURRENCY" hidden="1">"c12461"</definedName>
    <definedName name="IQ_EBITDA_DET_EST_CURRENCY_CIQ" hidden="1">"c12505"</definedName>
    <definedName name="IQ_EBITDA_DET_EST_DATE" hidden="1">"c12207"</definedName>
    <definedName name="IQ_EBITDA_DET_EST_DATE_CIQ" hidden="1">"c12260"</definedName>
    <definedName name="IQ_EBITDA_DET_EST_INCL" hidden="1">"c12344"</definedName>
    <definedName name="IQ_EBITDA_DET_EST_INCL_CIQ" hidden="1">"c12388"</definedName>
    <definedName name="IQ_EBITDA_DET_EST_NOTE" hidden="1">"c17526"</definedName>
    <definedName name="IQ_EBITDA_DET_EST_NOTE_CIQ" hidden="1">"c17479"</definedName>
    <definedName name="IQ_EBITDA_DET_EST_ORIGIN" hidden="1">"c12580"</definedName>
    <definedName name="IQ_EBITDA_DET_EST_ORIGIN_CIQ" hidden="1">"c12629"</definedName>
    <definedName name="IQ_EBITDA_EQ_INC" hidden="1">"c3496"</definedName>
    <definedName name="IQ_EBITDA_EQ_INC_EXCL_SBC" hidden="1">"c3500"</definedName>
    <definedName name="IQ_EBITDA_EST" hidden="1">"c252"</definedName>
    <definedName name="IQ_EBITDA_EST_CIQ" hidden="1">"c3622"</definedName>
    <definedName name="IQ_EBITDA_EST_DOWN_2MONTH" hidden="1">"c16297"</definedName>
    <definedName name="IQ_EBITDA_EST_DOWN_2MONTH_CIQ" hidden="1">"c16621"</definedName>
    <definedName name="IQ_EBITDA_EST_DOWN_3MONTH" hidden="1">"c16301"</definedName>
    <definedName name="IQ_EBITDA_EST_DOWN_3MONTH_CIQ" hidden="1">"c16625"</definedName>
    <definedName name="IQ_EBITDA_EST_DOWN_MONTH" hidden="1">"c16293"</definedName>
    <definedName name="IQ_EBITDA_EST_DOWN_MONTH_CIQ" hidden="1">"c16617"</definedName>
    <definedName name="IQ_EBITDA_EST_NOTE" hidden="1">"c17503"</definedName>
    <definedName name="IQ_EBITDA_EST_NOTE_CIQ" hidden="1">"c17456"</definedName>
    <definedName name="IQ_EBITDA_EST_NUM_ANALYSTS_2MONTH" hidden="1">"c16295"</definedName>
    <definedName name="IQ_EBITDA_EST_NUM_ANALYSTS_2MONTH_CIQ" hidden="1">"c16619"</definedName>
    <definedName name="IQ_EBITDA_EST_NUM_ANALYSTS_3MONTH" hidden="1">"c16299"</definedName>
    <definedName name="IQ_EBITDA_EST_NUM_ANALYSTS_3MONTH_CIQ" hidden="1">"c16623"</definedName>
    <definedName name="IQ_EBITDA_EST_NUM_ANALYSTS_MONTH" hidden="1">"c16291"</definedName>
    <definedName name="IQ_EBITDA_EST_NUM_ANALYSTS_MONTH_CIQ" hidden="1">"c16615"</definedName>
    <definedName name="IQ_EBITDA_EST_TOTAL_REVISED_2MONTH" hidden="1">"c16298"</definedName>
    <definedName name="IQ_EBITDA_EST_TOTAL_REVISED_2MONTH_CIQ" hidden="1">"c16622"</definedName>
    <definedName name="IQ_EBITDA_EST_TOTAL_REVISED_3MONTH" hidden="1">"c16302"</definedName>
    <definedName name="IQ_EBITDA_EST_TOTAL_REVISED_3MONTH_CIQ" hidden="1">"c16626"</definedName>
    <definedName name="IQ_EBITDA_EST_TOTAL_REVISED_MONTH" hidden="1">"c16294"</definedName>
    <definedName name="IQ_EBITDA_EST_TOTAL_REVISED_MONTH_CIQ" hidden="1">"c16618"</definedName>
    <definedName name="IQ_EBITDA_EST_UP_2MONTH" hidden="1">"c16296"</definedName>
    <definedName name="IQ_EBITDA_EST_UP_2MONTH_CIQ" hidden="1">"c16620"</definedName>
    <definedName name="IQ_EBITDA_EST_UP_3MONTH" hidden="1">"c16300"</definedName>
    <definedName name="IQ_EBITDA_EST_UP_3MONTH_CIQ" hidden="1">"c16624"</definedName>
    <definedName name="IQ_EBITDA_EST_UP_MONTH" hidden="1">"c16292"</definedName>
    <definedName name="IQ_EBITDA_EST_UP_MONTH_CIQ" hidden="1">"c16616"</definedName>
    <definedName name="IQ_EBITDA_EXCL_SBC" hidden="1">"c3081"</definedName>
    <definedName name="IQ_EBITDA_GUIDANCE" hidden="1">"c4334"</definedName>
    <definedName name="IQ_EBITDA_HIGH_EST" hidden="1">"c265"</definedName>
    <definedName name="IQ_EBITDA_HIGH_EST_CIQ" hidden="1">"c3624"</definedName>
    <definedName name="IQ_EBITDA_HIGH_GUIDANCE" hidden="1">"c4170"</definedName>
    <definedName name="IQ_EBITDA_HOMEBUILDING_SALES" hidden="1">"c15814"</definedName>
    <definedName name="IQ_EBITDA_INT" hidden="1">"c373"</definedName>
    <definedName name="IQ_EBITDA_LOW_EST" hidden="1">"c266"</definedName>
    <definedName name="IQ_EBITDA_LOW_EST_CIQ" hidden="1">"c3625"</definedName>
    <definedName name="IQ_EBITDA_LOW_GUIDANCE" hidden="1">"c4210"</definedName>
    <definedName name="IQ_EBITDA_MARGIN" localSheetId="12" hidden="1">"c372"</definedName>
    <definedName name="IQ_EBITDA_MARGIN" localSheetId="7" hidden="1">"c372"</definedName>
    <definedName name="IQ_EBITDA_MARGIN" hidden="1">"c140"</definedName>
    <definedName name="IQ_EBITDA_MEDIAN_EST" hidden="1">"c1663"</definedName>
    <definedName name="IQ_EBITDA_MEDIAN_EST_CIQ" hidden="1">"c3623"</definedName>
    <definedName name="IQ_EBITDA_NUM_EST" hidden="1">"c267"</definedName>
    <definedName name="IQ_EBITDA_NUM_EST_CIQ" hidden="1">"c3626"</definedName>
    <definedName name="IQ_EBITDA_OVER_TOTAL_IE" localSheetId="12" hidden="1">"c1371"</definedName>
    <definedName name="IQ_EBITDA_OVER_TOTAL_IE" localSheetId="7" hidden="1">"c1371"</definedName>
    <definedName name="IQ_EBITDA_OVER_TOTAL_IE" hidden="1">"c185"</definedName>
    <definedName name="IQ_EBITDA_SBC_ACT_OR_EST" hidden="1">"c4337"</definedName>
    <definedName name="IQ_EBITDA_SBC_ACT_OR_EST_CIQ" hidden="1">"c4862"</definedName>
    <definedName name="IQ_EBITDA_SBC_EST" hidden="1">"c4336"</definedName>
    <definedName name="IQ_EBITDA_SBC_EST_CIQ" hidden="1">"c4861"</definedName>
    <definedName name="IQ_EBITDA_SBC_HIGH_EST" hidden="1">"c4339"</definedName>
    <definedName name="IQ_EBITDA_SBC_HIGH_EST_CIQ" hidden="1">"c4864"</definedName>
    <definedName name="IQ_EBITDA_SBC_LOW_EST" hidden="1">"c4340"</definedName>
    <definedName name="IQ_EBITDA_SBC_LOW_EST_CIQ" hidden="1">"c4865"</definedName>
    <definedName name="IQ_EBITDA_SBC_MEDIAN_EST" hidden="1">"c4341"</definedName>
    <definedName name="IQ_EBITDA_SBC_MEDIAN_EST_CIQ" hidden="1">"c4866"</definedName>
    <definedName name="IQ_EBITDA_SBC_NUM_EST" hidden="1">"c4342"</definedName>
    <definedName name="IQ_EBITDA_SBC_NUM_EST_CIQ" hidden="1">"c4867"</definedName>
    <definedName name="IQ_EBITDA_SBC_STDDEV_EST" hidden="1">"c4343"</definedName>
    <definedName name="IQ_EBITDA_SBC_STDDEV_EST_CIQ" hidden="1">"c4868"</definedName>
    <definedName name="IQ_EBITDA_STDDEV_EST" hidden="1">"c268"</definedName>
    <definedName name="IQ_EBITDA_STDDEV_EST_CIQ" hidden="1">"c3627"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CM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CM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FIEC" hidden="1">"c13029"</definedName>
    <definedName name="IQ_EBT_FIN" hidden="1">"c386"</definedName>
    <definedName name="IQ_EBT_FTE_FFIEC" hidden="1">"c13037"</definedName>
    <definedName name="IQ_EBT_GAAP_GUIDANCE" hidden="1">"c4345"</definedName>
    <definedName name="IQ_EBT_GAAP_HIGH_GUIDANCE" hidden="1">"c4174"</definedName>
    <definedName name="IQ_EBT_GAAP_LOW_GUIDANCE" hidden="1">"c4214"</definedName>
    <definedName name="IQ_EBT_GUIDANCE" hidden="1">"c4346"</definedName>
    <definedName name="IQ_EBT_GW_GUIDANCE" hidden="1">"c4347"</definedName>
    <definedName name="IQ_EBT_GW_HIGH_GUIDANCE" hidden="1">"c4175"</definedName>
    <definedName name="IQ_EBT_GW_LOW_GUIDANCE" hidden="1">"c4215"</definedName>
    <definedName name="IQ_EBT_HIGH_GUIDANCE" hidden="1">"c4173"</definedName>
    <definedName name="IQ_EBT_HOMEBUILDING_SALES" hidden="1">"c15816"</definedName>
    <definedName name="IQ_EBT_INCL_MARGIN" hidden="1">"c387"</definedName>
    <definedName name="IQ_EBT_INS" hidden="1">"c388"</definedName>
    <definedName name="IQ_EBT_LOW_GUIDANCE" hidden="1">"c4213"</definedName>
    <definedName name="IQ_EBT_RE" hidden="1">"c6215"</definedName>
    <definedName name="IQ_EBT_REIT" hidden="1">"c389"</definedName>
    <definedName name="IQ_EBT_SBC_ACT_OR_EST" hidden="1">"c4350"</definedName>
    <definedName name="IQ_EBT_SBC_ACT_OR_EST_CIQ" hidden="1">"c4875"</definedName>
    <definedName name="IQ_EBT_SBC_EST" hidden="1">"c4349"</definedName>
    <definedName name="IQ_EBT_SBC_EST_CIQ" hidden="1">"c4874"</definedName>
    <definedName name="IQ_EBT_SBC_GW_ACT_OR_EST" hidden="1">"c4354"</definedName>
    <definedName name="IQ_EBT_SBC_GW_ACT_OR_EST_CIQ" hidden="1">"c4879"</definedName>
    <definedName name="IQ_EBT_SBC_GW_EST" hidden="1">"c4353"</definedName>
    <definedName name="IQ_EBT_SBC_GW_EST_CIQ" hidden="1">"c4878"</definedName>
    <definedName name="IQ_EBT_SBC_GW_HIGH_EST" hidden="1">"c4356"</definedName>
    <definedName name="IQ_EBT_SBC_GW_HIGH_EST_CIQ" hidden="1">"c4881"</definedName>
    <definedName name="IQ_EBT_SBC_GW_LOW_EST" hidden="1">"c4357"</definedName>
    <definedName name="IQ_EBT_SBC_GW_LOW_EST_CIQ" hidden="1">"c4882"</definedName>
    <definedName name="IQ_EBT_SBC_GW_MEDIAN_EST" hidden="1">"c4358"</definedName>
    <definedName name="IQ_EBT_SBC_GW_MEDIAN_EST_CIQ" hidden="1">"c4883"</definedName>
    <definedName name="IQ_EBT_SBC_GW_NUM_EST" hidden="1">"c4359"</definedName>
    <definedName name="IQ_EBT_SBC_GW_NUM_EST_CIQ" hidden="1">"c4884"</definedName>
    <definedName name="IQ_EBT_SBC_GW_STDDEV_EST" hidden="1">"c4360"</definedName>
    <definedName name="IQ_EBT_SBC_GW_STDDEV_EST_CIQ" hidden="1">"c4885"</definedName>
    <definedName name="IQ_EBT_SBC_HIGH_EST" hidden="1">"c4362"</definedName>
    <definedName name="IQ_EBT_SBC_HIGH_EST_CIQ" hidden="1">"c4887"</definedName>
    <definedName name="IQ_EBT_SBC_LOW_EST" hidden="1">"c4363"</definedName>
    <definedName name="IQ_EBT_SBC_LOW_EST_CIQ" hidden="1">"c4888"</definedName>
    <definedName name="IQ_EBT_SBC_MEDIAN_EST" hidden="1">"c4364"</definedName>
    <definedName name="IQ_EBT_SBC_MEDIAN_EST_CIQ" hidden="1">"c4889"</definedName>
    <definedName name="IQ_EBT_SBC_NUM_EST" hidden="1">"c4365"</definedName>
    <definedName name="IQ_EBT_SBC_NUM_EST_CIQ" hidden="1">"c4890"</definedName>
    <definedName name="IQ_EBT_SBC_STDDEV_EST" hidden="1">"c4366"</definedName>
    <definedName name="IQ_EBT_SBC_STDDEV_EST_CIQ" hidden="1">"c4891"</definedName>
    <definedName name="IQ_EBT_SUBTOTAL_AP" hidden="1">"c8982"</definedName>
    <definedName name="IQ_EBT_THRIFT" hidden="1">"c24794"</definedName>
    <definedName name="IQ_EBT_UTI" hidden="1">"c390"</definedName>
    <definedName name="IQ_ECO_METRIC_6825_UNUSED" hidden="1">"c6825"</definedName>
    <definedName name="IQ_ECO_METRIC_6825_UNUSED_UNUSED_UNUSED" hidden="1">"c6825"</definedName>
    <definedName name="IQ_ECO_METRIC_6839_UNUSED" hidden="1">"c6839"</definedName>
    <definedName name="IQ_ECO_METRIC_6839_UNUSED_UNUSED_UNUSED" hidden="1">"c6839"</definedName>
    <definedName name="IQ_ECO_METRIC_6896_UNUSED" hidden="1">"c6896"</definedName>
    <definedName name="IQ_ECO_METRIC_6896_UNUSED_UNUSED_UNUSED" hidden="1">"c6896"</definedName>
    <definedName name="IQ_ECO_METRIC_6897_UNUSED" hidden="1">"c6897"</definedName>
    <definedName name="IQ_ECO_METRIC_6897_UNUSED_UNUSED_UNUSED" hidden="1">"c6897"</definedName>
    <definedName name="IQ_ECO_METRIC_6927" hidden="1">"c6927"</definedName>
    <definedName name="IQ_ECO_METRIC_6988_UNUSED" hidden="1">"c6988"</definedName>
    <definedName name="IQ_ECO_METRIC_6988_UNUSED_UNUSED_UNUSED" hidden="1">"c6988"</definedName>
    <definedName name="IQ_ECO_METRIC_7045_UNUSED" hidden="1">"c7045"</definedName>
    <definedName name="IQ_ECO_METRIC_7045_UNUSED_UNUSED_UNUSED" hidden="1">"c7045"</definedName>
    <definedName name="IQ_ECO_METRIC_7059_UNUSED" hidden="1">"c7059"</definedName>
    <definedName name="IQ_ECO_METRIC_7059_UNUSED_UNUSED_UNUSED" hidden="1">"c7059"</definedName>
    <definedName name="IQ_ECO_METRIC_7116_UNUSED" hidden="1">"c7116"</definedName>
    <definedName name="IQ_ECO_METRIC_7116_UNUSED_UNUSED_UNUSED" hidden="1">"c7116"</definedName>
    <definedName name="IQ_ECO_METRIC_7117_UNUSED" hidden="1">"c7117"</definedName>
    <definedName name="IQ_ECO_METRIC_7117_UNUSED_UNUSED_UNUSED" hidden="1">"c7117"</definedName>
    <definedName name="IQ_ECO_METRIC_7147" hidden="1">"c7147"</definedName>
    <definedName name="IQ_ECO_METRIC_7208_UNUSED" hidden="1">"c7208"</definedName>
    <definedName name="IQ_ECO_METRIC_7208_UNUSED_UNUSED_UNUSED" hidden="1">"c7208"</definedName>
    <definedName name="IQ_ECO_METRIC_7265_UNUSED" hidden="1">"c7265"</definedName>
    <definedName name="IQ_ECO_METRIC_7265_UNUSED_UNUSED_UNUSED" hidden="1">"c7265"</definedName>
    <definedName name="IQ_ECO_METRIC_7279_UNUSED" hidden="1">"c7279"</definedName>
    <definedName name="IQ_ECO_METRIC_7279_UNUSED_UNUSED_UNUSED" hidden="1">"c7279"</definedName>
    <definedName name="IQ_ECO_METRIC_7336_UNUSED" hidden="1">"c7336"</definedName>
    <definedName name="IQ_ECO_METRIC_7336_UNUSED_UNUSED_UNUSED" hidden="1">"c7336"</definedName>
    <definedName name="IQ_ECO_METRIC_7337_UNUSED" hidden="1">"c7337"</definedName>
    <definedName name="IQ_ECO_METRIC_7337_UNUSED_UNUSED_UNUSED" hidden="1">"c7337"</definedName>
    <definedName name="IQ_ECO_METRIC_7367" hidden="1">"c7367"</definedName>
    <definedName name="IQ_ECO_METRIC_7428_UNUSED" hidden="1">"c7428"</definedName>
    <definedName name="IQ_ECO_METRIC_7428_UNUSED_UNUSED_UNUSED" hidden="1">"c7428"</definedName>
    <definedName name="IQ_ECO_METRIC_7556_UNUSED" hidden="1">"c7556"</definedName>
    <definedName name="IQ_ECO_METRIC_7556_UNUSED_UNUSED_UNUSED" hidden="1">"c7556"</definedName>
    <definedName name="IQ_ECO_METRIC_7557_UNUSED" hidden="1">"c7557"</definedName>
    <definedName name="IQ_ECO_METRIC_7557_UNUSED_UNUSED_UNUSED" hidden="1">"c7557"</definedName>
    <definedName name="IQ_ECO_METRIC_7587" hidden="1">"c7587"</definedName>
    <definedName name="IQ_ECO_METRIC_7648_UNUSED" hidden="1">"c7648"</definedName>
    <definedName name="IQ_ECO_METRIC_7648_UNUSED_UNUSED_UNUSED" hidden="1">"c7648"</definedName>
    <definedName name="IQ_ECO_METRIC_7704" hidden="1">"c7704"</definedName>
    <definedName name="IQ_ECO_METRIC_7705_UNUSED" hidden="1">"c7705"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" hidden="1">"c7719"</definedName>
    <definedName name="IQ_ECO_METRIC_7719_UNUSED_UNUSED_UNUSED" hidden="1">"c7719"</definedName>
    <definedName name="IQ_ECO_METRIC_7776_UNUSED" hidden="1">"c7776"</definedName>
    <definedName name="IQ_ECO_METRIC_7776_UNUSED_UNUSED_UNUSED" hidden="1">"c7776"</definedName>
    <definedName name="IQ_ECO_METRIC_7777_UNUSED" hidden="1">"c7777"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" hidden="1">"c7868"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" hidden="1">"c7925"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" hidden="1">"c7939"</definedName>
    <definedName name="IQ_ECO_METRIC_7939_UNUSED_UNUSED_UNUSED" hidden="1">"c7939"</definedName>
    <definedName name="IQ_ECO_METRIC_7996_UNUSED" hidden="1">"c7996"</definedName>
    <definedName name="IQ_ECO_METRIC_7996_UNUSED_UNUSED_UNUSED" hidden="1">"c7996"</definedName>
    <definedName name="IQ_ECO_METRIC_7997_UNUSED" hidden="1">"c7997"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" hidden="1">"c8088"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" hidden="1">"c8145"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" hidden="1">"c8159"</definedName>
    <definedName name="IQ_ECO_METRIC_8159_UNUSED_UNUSED_UNUSED" hidden="1">"c8159"</definedName>
    <definedName name="IQ_ECO_METRIC_8216_UNUSED" hidden="1">"c8216"</definedName>
    <definedName name="IQ_ECO_METRIC_8216_UNUSED_UNUSED_UNUSED" hidden="1">"c8216"</definedName>
    <definedName name="IQ_ECO_METRIC_8217_UNUSED" hidden="1">"c8217"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" hidden="1">"c8308"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" hidden="1">"c8436"</definedName>
    <definedName name="IQ_ECO_METRIC_8436_UNUSED_UNUSED_UNUSED" hidden="1">"c8436"</definedName>
    <definedName name="IQ_ECO_METRIC_8437_UNUSED" hidden="1">"c8437"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" hidden="1">"c8528"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AUTHORIZED_SHARES_OTHER" hidden="1">"c15613"</definedName>
    <definedName name="IQ_ECS_AUTHORIZED_SHARES_OTHER_ABS" hidden="1">"c15630"</definedName>
    <definedName name="IQ_ECS_CONVERT_FACTOR" hidden="1">"c5581"</definedName>
    <definedName name="IQ_ECS_CONVERT_FACTOR_ABS" hidden="1">"c5595"</definedName>
    <definedName name="IQ_ECS_CONVERT_FACTOR_OTHER" hidden="1">"c15611"</definedName>
    <definedName name="IQ_ECS_CONVERT_FACTOR_OTHER_ABS" hidden="1">"c15628"</definedName>
    <definedName name="IQ_ECS_CONVERT_INTO" hidden="1">"c5580"</definedName>
    <definedName name="IQ_ECS_CONVERT_INTO_ABS" hidden="1">"c5594"</definedName>
    <definedName name="IQ_ECS_CONVERT_INTO_OTHER" hidden="1">"c15610"</definedName>
    <definedName name="IQ_ECS_CONVERT_INTO_OTHER_ABS" hidden="1">"c15627"</definedName>
    <definedName name="IQ_ECS_CONVERT_PRIMARY_FACTOR" hidden="1">"c15592"</definedName>
    <definedName name="IQ_ECS_CONVERT_PRIMARY_FACTOR_ABS" hidden="1">"c15596"</definedName>
    <definedName name="IQ_ECS_CONVERT_TYPE" hidden="1">"c5579"</definedName>
    <definedName name="IQ_ECS_CONVERT_TYPE_ABS" hidden="1">"c5593"</definedName>
    <definedName name="IQ_ECS_CONVERT_TYPE_OTHER" hidden="1">"c15609"</definedName>
    <definedName name="IQ_ECS_CONVERT_TYPE_OTHER_ABS" hidden="1">"c15626"</definedName>
    <definedName name="IQ_ECS_INACTIVE_DATE" hidden="1">"c5576"</definedName>
    <definedName name="IQ_ECS_INACTIVE_DATE_ABS" hidden="1">"c5590"</definedName>
    <definedName name="IQ_ECS_INACTIVE_DATE_OTHER" hidden="1">"c15606"</definedName>
    <definedName name="IQ_ECS_INACTIVE_DATE_OTHER_ABS" hidden="1">"c15623"</definedName>
    <definedName name="IQ_ECS_NAME" hidden="1">"c5571"</definedName>
    <definedName name="IQ_ECS_NAME_ABS" hidden="1">"c5585"</definedName>
    <definedName name="IQ_ECS_NAME_OTHER" hidden="1">"c15599"</definedName>
    <definedName name="IQ_ECS_NAME_OTHER_ABS" hidden="1">"c15616"</definedName>
    <definedName name="IQ_ECS_NUM_SHAREHOLDERS" hidden="1">"c16242"</definedName>
    <definedName name="IQ_ECS_NUM_SHAREHOLDERS_ABS" hidden="1">"c16243"</definedName>
    <definedName name="IQ_ECS_NUM_SHAREHOLDERS_BENEFICIAL_BS_DATE" hidden="1">"c16234"</definedName>
    <definedName name="IQ_ECS_NUM_SHAREHOLDERS_BENEFICIAL_BS_DATE_ABS" hidden="1">"c16235"</definedName>
    <definedName name="IQ_ECS_NUM_SHAREHOLDERS_BENEFICIAL_BS_DATE_OTHER" hidden="1">"c16236"</definedName>
    <definedName name="IQ_ECS_NUM_SHAREHOLDERS_BENEFICIAL_BS_DATE_OTHER_ABS" hidden="1">"c16237"</definedName>
    <definedName name="IQ_ECS_NUM_SHAREHOLDERS_BENEFICIAL_FILING_DATE" hidden="1">"c16230"</definedName>
    <definedName name="IQ_ECS_NUM_SHAREHOLDERS_BENEFICIAL_FILING_DATE_ABS" hidden="1">"c16231"</definedName>
    <definedName name="IQ_ECS_NUM_SHAREHOLDERS_BENEFICIAL_FILING_DATE_OTHER" hidden="1">"c16232"</definedName>
    <definedName name="IQ_ECS_NUM_SHAREHOLDERS_BENEFICIAL_FILING_DATE_OTHER_ABS" hidden="1">"c16233"</definedName>
    <definedName name="IQ_ECS_NUM_SHAREHOLDERS_BS_DATE" hidden="1">"c16238"</definedName>
    <definedName name="IQ_ECS_NUM_SHAREHOLDERS_BS_DATE_ABS" hidden="1">"c16239"</definedName>
    <definedName name="IQ_ECS_NUM_SHAREHOLDERS_BS_DATE_OTHER" hidden="1">"c16240"</definedName>
    <definedName name="IQ_ECS_NUM_SHAREHOLDERS_BS_DATE_OTHER_ABS" hidden="1">"c16241"</definedName>
    <definedName name="IQ_ECS_NUM_SHAREHOLDERS_FILING_DATE" hidden="1">"c5584"</definedName>
    <definedName name="IQ_ECS_NUM_SHAREHOLDERS_FILING_DATE_ABS" hidden="1">"c5598"</definedName>
    <definedName name="IQ_ECS_NUM_SHAREHOLDERS_FILING_DATE_OTHER" hidden="1">"c15615"</definedName>
    <definedName name="IQ_ECS_NUM_SHAREHOLDERS_FILING_DATE_OTHER_ABS" hidden="1">"c15632"</definedName>
    <definedName name="IQ_ECS_NUM_SHAREHOLDERS_OTHER" hidden="1">"c16244"</definedName>
    <definedName name="IQ_ECS_NUM_SHAREHOLDERS_OTHER_ABS" hidden="1">"c16245"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PAR_VALUE_CURRENCY_OTHER" hidden="1">"c15608"</definedName>
    <definedName name="IQ_ECS_PAR_VALUE_CURRENCY_OTHER_ABS" hidden="1">"c15625"</definedName>
    <definedName name="IQ_ECS_PAR_VALUE_OTHER" hidden="1">"c15607"</definedName>
    <definedName name="IQ_ECS_PAR_VALUE_OTHER_ABS" hidden="1">"c15624"</definedName>
    <definedName name="IQ_ECS_PARTICIPATE_FLAG" hidden="1">"c15591"</definedName>
    <definedName name="IQ_ECS_PARTICIPATE_FLAG_ABS" hidden="1">"c15595"</definedName>
    <definedName name="IQ_ECS_PARTICIPATE_FLAG_OTHER" hidden="1">"c15614"</definedName>
    <definedName name="IQ_ECS_PARTICIPATE_FLAG_OTHER_ABS" hidden="1">"c15631"</definedName>
    <definedName name="IQ_ECS_SHARES_OUT_BS_DATE" hidden="1">"c5572"</definedName>
    <definedName name="IQ_ECS_SHARES_OUT_BS_DATE_ABS" hidden="1">"c5586"</definedName>
    <definedName name="IQ_ECS_SHARES_OUT_BS_DATE_OTHER" hidden="1">"c15600"</definedName>
    <definedName name="IQ_ECS_SHARES_OUT_BS_DATE_OTHER_ABS" hidden="1">"c15617"</definedName>
    <definedName name="IQ_ECS_SHARES_OUT_FILING_DATE" hidden="1">"c5573"</definedName>
    <definedName name="IQ_ECS_SHARES_OUT_FILING_DATE_ABS" hidden="1">"c5587"</definedName>
    <definedName name="IQ_ECS_SHARES_OUT_FILING_DATE_OTHER" hidden="1">"c15601"</definedName>
    <definedName name="IQ_ECS_SHARES_OUT_FILING_DATE_OTHER_ABS" hidden="1">"c15618"</definedName>
    <definedName name="IQ_ECS_START_DATE" hidden="1">"c5575"</definedName>
    <definedName name="IQ_ECS_START_DATE_ABS" hidden="1">"c5589"</definedName>
    <definedName name="IQ_ECS_START_DATE_OTHER" hidden="1">"c15605"</definedName>
    <definedName name="IQ_ECS_START_DATE_OTHER_ABS" hidden="1">"c15622"</definedName>
    <definedName name="IQ_ECS_TICKER" hidden="1">"c15594"</definedName>
    <definedName name="IQ_ECS_TICKER_ABS" hidden="1">"c15598"</definedName>
    <definedName name="IQ_ECS_TICKER_OTHER" hidden="1">"c15603"</definedName>
    <definedName name="IQ_ECS_TICKER_OTHER_ABS" hidden="1">"c15620"</definedName>
    <definedName name="IQ_ECS_TRADING_ITEM_CIQID" hidden="1">"c15593"</definedName>
    <definedName name="IQ_ECS_TRADING_ITEM_CIQID_ABS" hidden="1">"c15597"</definedName>
    <definedName name="IQ_ECS_TRADING_ITEM_CIQID_OTHER" hidden="1">"c15602"</definedName>
    <definedName name="IQ_ECS_TRADING_ITEM_CIQID_OTHER_ABS" hidden="1">"c15619"</definedName>
    <definedName name="IQ_ECS_TYPE" hidden="1">"c5574"</definedName>
    <definedName name="IQ_ECS_TYPE_ABS" hidden="1">"c5588"</definedName>
    <definedName name="IQ_ECS_TYPE_OTHER" hidden="1">"c15604"</definedName>
    <definedName name="IQ_ECS_TYPE_OTHER_ABS" hidden="1">"c15621"</definedName>
    <definedName name="IQ_ECS_VOTING" hidden="1">"c5582"</definedName>
    <definedName name="IQ_ECS_VOTING_ABS" hidden="1">"c5596"</definedName>
    <definedName name="IQ_ECS_VOTING_OTHER" hidden="1">"c15612"</definedName>
    <definedName name="IQ_ECS_VOTING_OTHER_ABS" hidden="1">"c15629"</definedName>
    <definedName name="IQ_EDUCATION_LOANS_THRIFT" hidden="1">"c24861"</definedName>
    <definedName name="IQ_EFFECT_SPECIAL_CHARGE" localSheetId="12" hidden="1">"c1595"</definedName>
    <definedName name="IQ_EFFECT_SPECIAL_CHARGE" localSheetId="7" hidden="1">"c1595"</definedName>
    <definedName name="IQ_EFFECT_SPECIAL_CHARGE" hidden="1">"c61"</definedName>
    <definedName name="IQ_EFFECT_TAX_RATE" hidden="1">"c1899"</definedName>
    <definedName name="IQ_EFFECTIVE_DATE" hidden="1">"c8966"</definedName>
    <definedName name="IQ_EFFECTIVE_TAX_ACT_OR_EST" hidden="1">"c18266"</definedName>
    <definedName name="IQ_EFFECTIVE_TAX_ACT_OR_EST_CIQ" hidden="1">"c18272"</definedName>
    <definedName name="IQ_EFFECTIVE_TAX_DET_EST" hidden="1">"c18174"</definedName>
    <definedName name="IQ_EFFECTIVE_TAX_DET_EST_CIQ" hidden="1">"c18223"</definedName>
    <definedName name="IQ_EFFECTIVE_TAX_DET_EST_CURRENCY" hidden="1">"c18307"</definedName>
    <definedName name="IQ_EFFECTIVE_TAX_DET_EST_CURRENCY_CIQ" hidden="1">"c18346"</definedName>
    <definedName name="IQ_EFFECTIVE_TAX_DET_EST_DATE" hidden="1">"c18281"</definedName>
    <definedName name="IQ_EFFECTIVE_TAX_DET_EST_DATE_CIQ" hidden="1">"c18325"</definedName>
    <definedName name="IQ_EFFECTIVE_TAX_DET_EST_INCL" hidden="1">"c18363"</definedName>
    <definedName name="IQ_EFFECTIVE_TAX_DET_EST_INCL_CIQ" hidden="1">"c18332"</definedName>
    <definedName name="IQ_EFFECTIVE_TAX_DET_EST_NOTE" hidden="1">"c18296"</definedName>
    <definedName name="IQ_EFFECTIVE_TAX_DET_EST_NOTE_CIQ" hidden="1">"c18339"</definedName>
    <definedName name="IQ_EFFECTIVE_TAX_DET_EST_ORIGIN" hidden="1">"c18318"</definedName>
    <definedName name="IQ_EFFECTIVE_TAX_DET_EST_ORIGIN_CIQ" hidden="1">"c18353"</definedName>
    <definedName name="IQ_EFFECTIVE_TAX_EST" hidden="1">"c18113"</definedName>
    <definedName name="IQ_EFFECTIVE_TAX_EST_CIQ" hidden="1">"c18181"</definedName>
    <definedName name="IQ_EFFECTIVE_TAX_EST_NOTE" hidden="1">"c18234"</definedName>
    <definedName name="IQ_EFFECTIVE_TAX_EST_NOTE_CIQ" hidden="1">"c18241"</definedName>
    <definedName name="IQ_EFFECTIVE_TAX_GUIDANCE" hidden="1">"c18403"</definedName>
    <definedName name="IQ_EFFECTIVE_TAX_HIGH_EST" hidden="1">"c18133"</definedName>
    <definedName name="IQ_EFFECTIVE_TAX_HIGH_EST_CIQ" hidden="1">"c18195"</definedName>
    <definedName name="IQ_EFFECTIVE_TAX_HIGH_GUIDANCE" hidden="1">"c18404"</definedName>
    <definedName name="IQ_EFFECTIVE_TAX_LOW_EST" hidden="1">"c18143"</definedName>
    <definedName name="IQ_EFFECTIVE_TAX_LOW_EST_CIQ" hidden="1">"c18202"</definedName>
    <definedName name="IQ_EFFECTIVE_TAX_LOW_GUIDANCE" hidden="1">"c18405"</definedName>
    <definedName name="IQ_EFFECTIVE_TAX_MEDIAN_EST" hidden="1">"c18123"</definedName>
    <definedName name="IQ_EFFECTIVE_TAX_MEDIAN_EST_CIQ" hidden="1">"c18188"</definedName>
    <definedName name="IQ_EFFECTIVE_TAX_NUM_EST" hidden="1">"c18163"</definedName>
    <definedName name="IQ_EFFECTIVE_TAX_NUM_EST_CIQ" hidden="1">"c18216"</definedName>
    <definedName name="IQ_EFFECTIVE_TAX_STDDEV_EST" hidden="1">"c18153"</definedName>
    <definedName name="IQ_EFFECTIVE_TAX_STDDEV_EST_CIQ" hidden="1">"c18209"</definedName>
    <definedName name="IQ_EFFICIENCY_RATIO" hidden="1">"c391"</definedName>
    <definedName name="IQ_EFFICIENCY_RATIO_FDIC" hidden="1">"c6736"</definedName>
    <definedName name="IQ_ELIMINATIONS_CONSOL_OFFICES_FOREIGN_FFIEC" hidden="1">"c15395"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localSheetId="12" hidden="1">"c392"</definedName>
    <definedName name="IQ_EMPLOYEES" localSheetId="7" hidden="1">"c392"</definedName>
    <definedName name="IQ_EMPLOYEES" hidden="1">"c221"</definedName>
    <definedName name="IQ_EMPLOYEES_FFIEC" hidden="1">"c13035"</definedName>
    <definedName name="IQ_EMPLOYEES_UNDER_UNION_CONTRACTS" hidden="1">"c16109"</definedName>
    <definedName name="IQ_EMPLOYMENT_YOY" hidden="1">"c20643"</definedName>
    <definedName name="IQ_ENDING_BALANCE_GVA_THRIFT" hidden="1">"c25097"</definedName>
    <definedName name="IQ_ENDING_BALANCE_SVA_THRIFT" hidden="1">"c25104"</definedName>
    <definedName name="IQ_ENDING_BALANCE_TVA_THRIFT" hidden="1">"c25111"</definedName>
    <definedName name="IQ_ENERGY_CRUDE_STOCK" hidden="1">"c20644"</definedName>
    <definedName name="IQ_ENERGY_FUEL_OIL_STOCK" hidden="1">"c20645"</definedName>
    <definedName name="IQ_ENERGY_GASOLINE_AVERAGE" hidden="1">"c20646"</definedName>
    <definedName name="IQ_ENERGY_GASOLINE_STOCK" hidden="1">"c20647"</definedName>
    <definedName name="IQ_ENERGY_PROPANE_STOCK" hidden="1">"c20648"</definedName>
    <definedName name="IQ_ENERGY_WTI_SPOT" hidden="1">"c20649"</definedName>
    <definedName name="IQ_ENTERPRISE_VALUE" localSheetId="12" hidden="1">"c1348"</definedName>
    <definedName name="IQ_ENTERPRISE_VALUE" localSheetId="7" hidden="1">"c1348"</definedName>
    <definedName name="IQ_ENTERPRISE_VALUE" hidden="1">"c2"</definedName>
    <definedName name="IQ_ENTITLEMENT_DET_EST" hidden="1">"c12044"</definedName>
    <definedName name="IQ_ENTITLEMENT_DET_EST_CIQ" hidden="1">"c12104"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" hidden="1">"IQ_EPS"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" hidden="1">"c2213"</definedName>
    <definedName name="IQ_EPS_ACT_OR_EST_CIQ" hidden="1">"c5058"</definedName>
    <definedName name="IQ_EPS_AP" hidden="1">"c8880"</definedName>
    <definedName name="IQ_EPS_AP_ABS" hidden="1">"c8899"</definedName>
    <definedName name="IQ_EPS_DET_EST" hidden="1">"c13571"</definedName>
    <definedName name="IQ_EPS_DET_EST_CIQ" hidden="1">"c13573"</definedName>
    <definedName name="IQ_EPS_DET_EST_CURRENCY" hidden="1">"c13583"</definedName>
    <definedName name="IQ_EPS_DET_EST_CURRENCY_CIQ" hidden="1">"c13585"</definedName>
    <definedName name="IQ_EPS_DET_EST_DATE" hidden="1">"c13575"</definedName>
    <definedName name="IQ_EPS_DET_EST_DATE_CIQ" hidden="1">"c13577"</definedName>
    <definedName name="IQ_EPS_DET_EST_INCL" hidden="1">"c13587"</definedName>
    <definedName name="IQ_EPS_DET_EST_INCL_CIQ" hidden="1">"c13589"</definedName>
    <definedName name="IQ_EPS_DET_EST_NOTE" hidden="1">"c17527"</definedName>
    <definedName name="IQ_EPS_DET_EST_NOTE_CIQ" hidden="1">"c17480"</definedName>
    <definedName name="IQ_EPS_DET_EST_ORIGIN" hidden="1">"c13579"</definedName>
    <definedName name="IQ_EPS_DET_EST_ORIGIN_CIQ" hidden="1">"c13581"</definedName>
    <definedName name="IQ_EPS_EST" localSheetId="12" hidden="1">"c399"</definedName>
    <definedName name="IQ_EPS_EST" localSheetId="7" hidden="1">"c399"</definedName>
    <definedName name="IQ_EPS_EST" hidden="1">"c187"</definedName>
    <definedName name="IQ_EPS_EST_BOTTOM_UP" hidden="1">"c5489"</definedName>
    <definedName name="IQ_EPS_EST_BOTTOM_UP_CIQ" hidden="1">"c12026"</definedName>
    <definedName name="IQ_EPS_EST_CIQ" hidden="1">"c4994"</definedName>
    <definedName name="IQ_EPS_EST_DOWN_2MONTH" hidden="1">"c16309"</definedName>
    <definedName name="IQ_EPS_EST_DOWN_2MONTH_CIQ" hidden="1">"c16633"</definedName>
    <definedName name="IQ_EPS_EST_DOWN_3MONTH" hidden="1">"c16313"</definedName>
    <definedName name="IQ_EPS_EST_DOWN_3MONTH_CIQ" hidden="1">"c16637"</definedName>
    <definedName name="IQ_EPS_EST_DOWN_MONTH" hidden="1">"c16305"</definedName>
    <definedName name="IQ_EPS_EST_DOWN_MONTH_CIQ" hidden="1">"c16629"</definedName>
    <definedName name="IQ_EPS_EST_NOTE" hidden="1">"c17504"</definedName>
    <definedName name="IQ_EPS_EST_NOTE_CIQ" hidden="1">"c17457"</definedName>
    <definedName name="IQ_EPS_EST_NUM_ANALYSTS_2MONTH" hidden="1">"c16307"</definedName>
    <definedName name="IQ_EPS_EST_NUM_ANALYSTS_2MONTH_CIQ" hidden="1">"c16631"</definedName>
    <definedName name="IQ_EPS_EST_NUM_ANALYSTS_3MONTH" hidden="1">"c16311"</definedName>
    <definedName name="IQ_EPS_EST_NUM_ANALYSTS_3MONTH_CIQ" hidden="1">"c16635"</definedName>
    <definedName name="IQ_EPS_EST_NUM_ANALYSTS_MONTH" hidden="1">"c16303"</definedName>
    <definedName name="IQ_EPS_EST_NUM_ANALYSTS_MONTH_CIQ" hidden="1">"c16627"</definedName>
    <definedName name="IQ_EPS_EST_TOTAL_REVISED_2MONTH" hidden="1">"c16310"</definedName>
    <definedName name="IQ_EPS_EST_TOTAL_REVISED_2MONTH_CIQ" hidden="1">"c16634"</definedName>
    <definedName name="IQ_EPS_EST_TOTAL_REVISED_3MONTH" hidden="1">"c16314"</definedName>
    <definedName name="IQ_EPS_EST_TOTAL_REVISED_3MONTH_CIQ" hidden="1">"c16638"</definedName>
    <definedName name="IQ_EPS_EST_TOTAL_REVISED_MONTH" hidden="1">"c16306"</definedName>
    <definedName name="IQ_EPS_EST_TOTAL_REVISED_MONTH_CIQ" hidden="1">"c16630"</definedName>
    <definedName name="IQ_EPS_EST_UP_2MONTH" hidden="1">"c16308"</definedName>
    <definedName name="IQ_EPS_EST_UP_2MONTH_CIQ" hidden="1">"c16632"</definedName>
    <definedName name="IQ_EPS_EST_UP_3MONTH" hidden="1">"c16312"</definedName>
    <definedName name="IQ_EPS_EST_UP_3MONTH_CIQ" hidden="1">"c16636"</definedName>
    <definedName name="IQ_EPS_EST_UP_MONTH" hidden="1">"c16304"</definedName>
    <definedName name="IQ_EPS_EST_UP_MONTH_CIQ" hidden="1">"c16628"</definedName>
    <definedName name="IQ_EPS_EXCL_GUIDANCE" hidden="1">"c4368"</definedName>
    <definedName name="IQ_EPS_EXCL_HIGH_GUIDANCE" hidden="1">"c4369"</definedName>
    <definedName name="IQ_EPS_EXCL_LOW_GUIDANCE" hidden="1">"c4204"</definedName>
    <definedName name="IQ_EPS_GAAP_GUIDANCE" hidden="1">"c4370"</definedName>
    <definedName name="IQ_EPS_GAAP_HIGH_GUIDANCE" hidden="1">"c4371"</definedName>
    <definedName name="IQ_EPS_GAAP_LOW_GUIDANCE" hidden="1">"c4205"</definedName>
    <definedName name="IQ_EPS_GROWTH_GUIDANCE" hidden="1">"c13495"</definedName>
    <definedName name="IQ_EPS_GROWTH_HIGH_GUIDANCE" hidden="1">"c13496"</definedName>
    <definedName name="IQ_EPS_GROWTH_LOW_GUIDANCE" hidden="1">"c13497"</definedName>
    <definedName name="IQ_EPS_GW_ACT_OR_EST" hidden="1">"c2223"</definedName>
    <definedName name="IQ_EPS_GW_ACT_OR_EST_CIQ" hidden="1">"c5066"</definedName>
    <definedName name="IQ_EPS_GW_DET_EST" hidden="1">"c12056"</definedName>
    <definedName name="IQ_EPS_GW_DET_EST_CIQ" hidden="1">"c12118"</definedName>
    <definedName name="IQ_EPS_GW_DET_EST_CURRENCY" hidden="1">"c12463"</definedName>
    <definedName name="IQ_EPS_GW_DET_EST_CURRENCY_CIQ" hidden="1">"c12509"</definedName>
    <definedName name="IQ_EPS_GW_DET_EST_DATE" hidden="1">"c12209"</definedName>
    <definedName name="IQ_EPS_GW_DET_EST_DATE_CIQ" hidden="1">"c12264"</definedName>
    <definedName name="IQ_EPS_GW_DET_EST_INCL" hidden="1">"c12346"</definedName>
    <definedName name="IQ_EPS_GW_DET_EST_INCL_CIQ" hidden="1">"c12392"</definedName>
    <definedName name="IQ_EPS_GW_DET_EST_NOTE" hidden="1">"c17538"</definedName>
    <definedName name="IQ_EPS_GW_DET_EST_NOTE_CIQ" hidden="1">"c17491"</definedName>
    <definedName name="IQ_EPS_GW_DET_EST_ORIGIN" hidden="1">"c12582"</definedName>
    <definedName name="IQ_EPS_GW_DET_EST_ORIGIN_CIQ" hidden="1">"c12633"</definedName>
    <definedName name="IQ_EPS_GW_EST" hidden="1">"c1737"</definedName>
    <definedName name="IQ_EPS_GW_EST_BOTTOM_UP" hidden="1">"c5491"</definedName>
    <definedName name="IQ_EPS_GW_EST_BOTTOM_UP_CIQ" hidden="1">"c12028"</definedName>
    <definedName name="IQ_EPS_GW_EST_CIQ" hidden="1">"c4723"</definedName>
    <definedName name="IQ_EPS_GW_EST_DOWN_2MONTH" hidden="1">"c16465"</definedName>
    <definedName name="IQ_EPS_GW_EST_DOWN_2MONTH_CIQ" hidden="1">"c16753"</definedName>
    <definedName name="IQ_EPS_GW_EST_DOWN_3MONTH" hidden="1">"c16469"</definedName>
    <definedName name="IQ_EPS_GW_EST_DOWN_3MONTH_CIQ" hidden="1">"c16757"</definedName>
    <definedName name="IQ_EPS_GW_EST_DOWN_MONTH" hidden="1">"c16461"</definedName>
    <definedName name="IQ_EPS_GW_EST_DOWN_MONTH_CIQ" hidden="1">"c16749"</definedName>
    <definedName name="IQ_EPS_GW_EST_NOTE" hidden="1">"c17524"</definedName>
    <definedName name="IQ_EPS_GW_EST_NOTE_CIQ" hidden="1">"c17477"</definedName>
    <definedName name="IQ_EPS_GW_EST_NUM_ANALYSTS_2MONTH" hidden="1">"c16463"</definedName>
    <definedName name="IQ_EPS_GW_EST_NUM_ANALYSTS_2MONTH_CIQ" hidden="1">"c16751"</definedName>
    <definedName name="IQ_EPS_GW_EST_NUM_ANALYSTS_3MONTH" hidden="1">"c16467"</definedName>
    <definedName name="IQ_EPS_GW_EST_NUM_ANALYSTS_3MONTH_CIQ" hidden="1">"c16755"</definedName>
    <definedName name="IQ_EPS_GW_EST_NUM_ANALYSTS_MONTH" hidden="1">"c16459"</definedName>
    <definedName name="IQ_EPS_GW_EST_NUM_ANALYSTS_MONTH_CIQ" hidden="1">"c16747"</definedName>
    <definedName name="IQ_EPS_GW_EST_TOTAL_REVISED_2MONTH" hidden="1">"c16466"</definedName>
    <definedName name="IQ_EPS_GW_EST_TOTAL_REVISED_2MONTH_CIQ" hidden="1">"c16754"</definedName>
    <definedName name="IQ_EPS_GW_EST_TOTAL_REVISED_3MONTH" hidden="1">"c16470"</definedName>
    <definedName name="IQ_EPS_GW_EST_TOTAL_REVISED_3MONTH_CIQ" hidden="1">"c16758"</definedName>
    <definedName name="IQ_EPS_GW_EST_TOTAL_REVISED_MONTH" hidden="1">"c16462"</definedName>
    <definedName name="IQ_EPS_GW_EST_TOTAL_REVISED_MONTH_CIQ" hidden="1">"c16750"</definedName>
    <definedName name="IQ_EPS_GW_EST_UP_2MONTH" hidden="1">"c16464"</definedName>
    <definedName name="IQ_EPS_GW_EST_UP_2MONTH_CIQ" hidden="1">"c16752"</definedName>
    <definedName name="IQ_EPS_GW_EST_UP_3MONTH" hidden="1">"c16468"</definedName>
    <definedName name="IQ_EPS_GW_EST_UP_3MONTH_CIQ" hidden="1">"c16756"</definedName>
    <definedName name="IQ_EPS_GW_EST_UP_MONTH" hidden="1">"c16460"</definedName>
    <definedName name="IQ_EPS_GW_EST_UP_MONTH_CIQ" hidden="1">"c16748"</definedName>
    <definedName name="IQ_EPS_GW_GUIDANCE" hidden="1">"c4372"</definedName>
    <definedName name="IQ_EPS_GW_HIGH_EST" hidden="1">"c1739"</definedName>
    <definedName name="IQ_EPS_GW_HIGH_EST_CIQ" hidden="1">"c4725"</definedName>
    <definedName name="IQ_EPS_GW_HIGH_GUIDANCE" hidden="1">"c4373"</definedName>
    <definedName name="IQ_EPS_GW_LOW_EST" hidden="1">"c1740"</definedName>
    <definedName name="IQ_EPS_GW_LOW_EST_CIQ" hidden="1">"c4726"</definedName>
    <definedName name="IQ_EPS_GW_LOW_GUIDANCE" hidden="1">"c4206"</definedName>
    <definedName name="IQ_EPS_GW_MEDIAN_EST" hidden="1">"c1738"</definedName>
    <definedName name="IQ_EPS_GW_MEDIAN_EST_CIQ" hidden="1">"c4724"</definedName>
    <definedName name="IQ_EPS_GW_NUM_EST" hidden="1">"c1741"</definedName>
    <definedName name="IQ_EPS_GW_NUM_EST_CIQ" hidden="1">"c4727"</definedName>
    <definedName name="IQ_EPS_GW_STDDEV_EST" hidden="1">"c1742"</definedName>
    <definedName name="IQ_EPS_GW_STDDEV_EST_CIQ" hidden="1">"c4728"</definedName>
    <definedName name="IQ_EPS_HIGH_EST" localSheetId="12" hidden="1">"c400"</definedName>
    <definedName name="IQ_EPS_HIGH_EST" localSheetId="7" hidden="1">"c400"</definedName>
    <definedName name="IQ_EPS_HIGH_EST" hidden="1">"c269"</definedName>
    <definedName name="IQ_EPS_HIGH_EST_CIQ" hidden="1">"c4995"</definedName>
    <definedName name="IQ_EPS_LOW_EST" localSheetId="12" hidden="1">"c401"</definedName>
    <definedName name="IQ_EPS_LOW_EST" localSheetId="7" hidden="1">"c401"</definedName>
    <definedName name="IQ_EPS_LOW_EST" hidden="1">"c270"</definedName>
    <definedName name="IQ_EPS_LOW_EST_CIQ" hidden="1">"c4996"</definedName>
    <definedName name="IQ_EPS_MEDIAN_EST" hidden="1">"c1661"</definedName>
    <definedName name="IQ_EPS_MEDIAN_EST_CIQ" hidden="1">"c4997"</definedName>
    <definedName name="IQ_EPS_NAME_AP" hidden="1">"c8918"</definedName>
    <definedName name="IQ_EPS_NAME_AP_ABS" hidden="1">"c8937"</definedName>
    <definedName name="IQ_EPS_NORM" hidden="1">"c1902"</definedName>
    <definedName name="IQ_EPS_NORM_DET_EST" hidden="1">"c12058"</definedName>
    <definedName name="IQ_EPS_NORM_DET_EST_CIQ" hidden="1">"c12120"</definedName>
    <definedName name="IQ_EPS_NORM_DET_EST_CURRENCY" hidden="1">"c12465"</definedName>
    <definedName name="IQ_EPS_NORM_DET_EST_CURRENCY_CIQ" hidden="1">"c12511"</definedName>
    <definedName name="IQ_EPS_NORM_DET_EST_DATE" hidden="1">"c12211"</definedName>
    <definedName name="IQ_EPS_NORM_DET_EST_DATE_CIQ" hidden="1">"c12266"</definedName>
    <definedName name="IQ_EPS_NORM_DET_EST_INCL" hidden="1">"c12348"</definedName>
    <definedName name="IQ_EPS_NORM_DET_EST_INCL_CIQ" hidden="1">"c12394"</definedName>
    <definedName name="IQ_EPS_NORM_DET_EST_NOTE" hidden="1">"c17528"</definedName>
    <definedName name="IQ_EPS_NORM_DET_EST_NOTE_CIQ" hidden="1">"c17481"</definedName>
    <definedName name="IQ_EPS_NORM_DET_EST_ORIGIN" hidden="1">"c12583"</definedName>
    <definedName name="IQ_EPS_NORM_DET_EST_ORIGIN_CIQ" hidden="1">"c12635"</definedName>
    <definedName name="IQ_EPS_NORM_EST" hidden="1">"c2226"</definedName>
    <definedName name="IQ_EPS_NORM_EST_BOTTOM_UP" hidden="1">"c5490"</definedName>
    <definedName name="IQ_EPS_NORM_EST_BOTTOM_UP_CIQ" hidden="1">"c12027"</definedName>
    <definedName name="IQ_EPS_NORM_EST_CIQ" hidden="1">"c4667"</definedName>
    <definedName name="IQ_EPS_NORM_EST_DOWN_2MONTH" hidden="1">"c16597"</definedName>
    <definedName name="IQ_EPS_NORM_EST_DOWN_2MONTH_CIQ" hidden="1">"c16861"</definedName>
    <definedName name="IQ_EPS_NORM_EST_DOWN_3MONTH" hidden="1">"c16601"</definedName>
    <definedName name="IQ_EPS_NORM_EST_DOWN_3MONTH_CIQ" hidden="1">"c16865"</definedName>
    <definedName name="IQ_EPS_NORM_EST_DOWN_MONTH" hidden="1">"c16593"</definedName>
    <definedName name="IQ_EPS_NORM_EST_DOWN_MONTH_CIQ" hidden="1">"c16857"</definedName>
    <definedName name="IQ_EPS_NORM_EST_NOTE" hidden="1">"c17505"</definedName>
    <definedName name="IQ_EPS_NORM_EST_NOTE_CIQ" hidden="1">"c17458"</definedName>
    <definedName name="IQ_EPS_NORM_EST_NUM_ANALYSTS_2MONTH" hidden="1">"c16595"</definedName>
    <definedName name="IQ_EPS_NORM_EST_NUM_ANALYSTS_2MONTH_CIQ" hidden="1">"c16859"</definedName>
    <definedName name="IQ_EPS_NORM_EST_NUM_ANALYSTS_3MONTH" hidden="1">"c16599"</definedName>
    <definedName name="IQ_EPS_NORM_EST_NUM_ANALYSTS_3MONTH_CIQ" hidden="1">"c16863"</definedName>
    <definedName name="IQ_EPS_NORM_EST_NUM_ANALYSTS_MONTH" hidden="1">"c16591"</definedName>
    <definedName name="IQ_EPS_NORM_EST_NUM_ANALYSTS_MONTH_CIQ" hidden="1">"c16855"</definedName>
    <definedName name="IQ_EPS_NORM_EST_TOTAL_REVISED_2MONTH" hidden="1">"c16598"</definedName>
    <definedName name="IQ_EPS_NORM_EST_TOTAL_REVISED_2MONTH_CIQ" hidden="1">"c16862"</definedName>
    <definedName name="IQ_EPS_NORM_EST_TOTAL_REVISED_3MONTH" hidden="1">"c16602"</definedName>
    <definedName name="IQ_EPS_NORM_EST_TOTAL_REVISED_3MONTH_CIQ" hidden="1">"c16866"</definedName>
    <definedName name="IQ_EPS_NORM_EST_TOTAL_REVISED_MONTH" hidden="1">"c16594"</definedName>
    <definedName name="IQ_EPS_NORM_EST_TOTAL_REVISED_MONTH_CIQ" hidden="1">"c16858"</definedName>
    <definedName name="IQ_EPS_NORM_EST_UP_2MONTH" hidden="1">"c16596"</definedName>
    <definedName name="IQ_EPS_NORM_EST_UP_2MONTH_CIQ" hidden="1">"c16860"</definedName>
    <definedName name="IQ_EPS_NORM_EST_UP_3MONTH" hidden="1">"c16600"</definedName>
    <definedName name="IQ_EPS_NORM_EST_UP_3MONTH_CIQ" hidden="1">"c16864"</definedName>
    <definedName name="IQ_EPS_NORM_EST_UP_MONTH" hidden="1">"c16592"</definedName>
    <definedName name="IQ_EPS_NORM_EST_UP_MONTH_CIQ" hidden="1">"c16856"</definedName>
    <definedName name="IQ_EPS_NORM_HIGH_EST" hidden="1">"c2228"</definedName>
    <definedName name="IQ_EPS_NORM_HIGH_EST_CIQ" hidden="1">"c4669"</definedName>
    <definedName name="IQ_EPS_NORM_LOW_EST" hidden="1">"c2229"</definedName>
    <definedName name="IQ_EPS_NORM_LOW_EST_CIQ" hidden="1">"c4670"</definedName>
    <definedName name="IQ_EPS_NORM_MEDIAN_EST" hidden="1">"c2227"</definedName>
    <definedName name="IQ_EPS_NORM_MEDIAN_EST_CIQ" hidden="1">"c4668"</definedName>
    <definedName name="IQ_EPS_NORM_NUM_EST" hidden="1">"c2230"</definedName>
    <definedName name="IQ_EPS_NORM_NUM_EST_CIQ" hidden="1">"c4671"</definedName>
    <definedName name="IQ_EPS_NORM_STDDEV_EST" hidden="1">"c2231"</definedName>
    <definedName name="IQ_EPS_NORM_STDDEV_EST_CIQ" hidden="1">"c4672"</definedName>
    <definedName name="IQ_EPS_NUM_EST" localSheetId="12" hidden="1">"c402"</definedName>
    <definedName name="IQ_EPS_NUM_EST" localSheetId="7" hidden="1">"c402"</definedName>
    <definedName name="IQ_EPS_NUM_EST" hidden="1">"c271"</definedName>
    <definedName name="IQ_EPS_NUM_EST_CIQ" hidden="1">"c4992"</definedName>
    <definedName name="IQ_EPS_REPORT_ACT_OR_EST" hidden="1">"c2224"</definedName>
    <definedName name="IQ_EPS_REPORT_ACT_OR_EST_CIQ" hidden="1">"c5067"</definedName>
    <definedName name="IQ_EPS_REPORTED_DET_EST" hidden="1">"c12057"</definedName>
    <definedName name="IQ_EPS_REPORTED_DET_EST_CIQ" hidden="1">"c12119"</definedName>
    <definedName name="IQ_EPS_REPORTED_DET_EST_CURRENCY" hidden="1">"c12464"</definedName>
    <definedName name="IQ_EPS_REPORTED_DET_EST_CURRENCY_CIQ" hidden="1">"c12510"</definedName>
    <definedName name="IQ_EPS_REPORTED_DET_EST_DATE" hidden="1">"c12210"</definedName>
    <definedName name="IQ_EPS_REPORTED_DET_EST_DATE_CIQ" hidden="1">"c12265"</definedName>
    <definedName name="IQ_EPS_REPORTED_DET_EST_INCL" hidden="1">"c12347"</definedName>
    <definedName name="IQ_EPS_REPORTED_DET_EST_INCL_CIQ" hidden="1">"c12393"</definedName>
    <definedName name="IQ_EPS_REPORTED_DET_EST_NOTE" hidden="1">"c17539"</definedName>
    <definedName name="IQ_EPS_REPORTED_DET_EST_NOTE_CIQ" hidden="1">"c17492"</definedName>
    <definedName name="IQ_EPS_REPORTED_DET_EST_ORIGIN" hidden="1">"c12772"</definedName>
    <definedName name="IQ_EPS_REPORTED_DET_EST_ORIGIN_CIQ" hidden="1">"c12634"</definedName>
    <definedName name="IQ_EPS_REPORTED_EST" hidden="1">"c1744"</definedName>
    <definedName name="IQ_EPS_REPORTED_EST_BOTTOM_UP" hidden="1">"c5492"</definedName>
    <definedName name="IQ_EPS_REPORTED_EST_BOTTOM_UP_CIQ" hidden="1">"c12029"</definedName>
    <definedName name="IQ_EPS_REPORTED_EST_CIQ" hidden="1">"c4730"</definedName>
    <definedName name="IQ_EPS_REPORTED_EST_DOWN_2MONTH" hidden="1">"c16477"</definedName>
    <definedName name="IQ_EPS_REPORTED_EST_DOWN_2MONTH_CIQ" hidden="1">"c16765"</definedName>
    <definedName name="IQ_EPS_REPORTED_EST_DOWN_3MONTH" hidden="1">"c16481"</definedName>
    <definedName name="IQ_EPS_REPORTED_EST_DOWN_3MONTH_CIQ" hidden="1">"c16769"</definedName>
    <definedName name="IQ_EPS_REPORTED_EST_DOWN_MONTH" hidden="1">"c16473"</definedName>
    <definedName name="IQ_EPS_REPORTED_EST_DOWN_MONTH_CIQ" hidden="1">"c16761"</definedName>
    <definedName name="IQ_EPS_REPORTED_EST_NOTE" hidden="1">"c17517"</definedName>
    <definedName name="IQ_EPS_REPORTED_EST_NOTE_CIQ" hidden="1">"c17470"</definedName>
    <definedName name="IQ_EPS_REPORTED_EST_NUM_ANALYSTS_2MONTH" hidden="1">"c16475"</definedName>
    <definedName name="IQ_EPS_REPORTED_EST_NUM_ANALYSTS_2MONTH_CIQ" hidden="1">"c16763"</definedName>
    <definedName name="IQ_EPS_REPORTED_EST_NUM_ANALYSTS_3MONTH" hidden="1">"c16479"</definedName>
    <definedName name="IQ_EPS_REPORTED_EST_NUM_ANALYSTS_3MONTH_CIQ" hidden="1">"c16767"</definedName>
    <definedName name="IQ_EPS_REPORTED_EST_NUM_ANALYSTS_MONTH" hidden="1">"c16471"</definedName>
    <definedName name="IQ_EPS_REPORTED_EST_NUM_ANALYSTS_MONTH_CIQ" hidden="1">"c16759"</definedName>
    <definedName name="IQ_EPS_REPORTED_EST_TOTAL_REVISED_2MONTH" hidden="1">"c16478"</definedName>
    <definedName name="IQ_EPS_REPORTED_EST_TOTAL_REVISED_2MONTH_CIQ" hidden="1">"c16766"</definedName>
    <definedName name="IQ_EPS_REPORTED_EST_TOTAL_REVISED_3MONTH" hidden="1">"c16482"</definedName>
    <definedName name="IQ_EPS_REPORTED_EST_TOTAL_REVISED_3MONTH_CIQ" hidden="1">"c16770"</definedName>
    <definedName name="IQ_EPS_REPORTED_EST_TOTAL_REVISED_MONTH" hidden="1">"c16474"</definedName>
    <definedName name="IQ_EPS_REPORTED_EST_TOTAL_REVISED_MONTH_CIQ" hidden="1">"c16762"</definedName>
    <definedName name="IQ_EPS_REPORTED_EST_UP_2MONTH" hidden="1">"c16476"</definedName>
    <definedName name="IQ_EPS_REPORTED_EST_UP_2MONTH_CIQ" hidden="1">"c16764"</definedName>
    <definedName name="IQ_EPS_REPORTED_EST_UP_3MONTH" hidden="1">"c16480"</definedName>
    <definedName name="IQ_EPS_REPORTED_EST_UP_3MONTH_CIQ" hidden="1">"c16768"</definedName>
    <definedName name="IQ_EPS_REPORTED_EST_UP_MONTH" hidden="1">"c16472"</definedName>
    <definedName name="IQ_EPS_REPORTED_EST_UP_MONTH_CIQ" hidden="1">"c16760"</definedName>
    <definedName name="IQ_EPS_REPORTED_HIGH_EST" hidden="1">"c1746"</definedName>
    <definedName name="IQ_EPS_REPORTED_HIGH_EST_CIQ" hidden="1">"c4732"</definedName>
    <definedName name="IQ_EPS_REPORTED_LOW_EST" hidden="1">"c1747"</definedName>
    <definedName name="IQ_EPS_REPORTED_LOW_EST_CIQ" hidden="1">"c4733"</definedName>
    <definedName name="IQ_EPS_REPORTED_MEDIAN_EST" hidden="1">"c1745"</definedName>
    <definedName name="IQ_EPS_REPORTED_MEDIAN_EST_CIQ" hidden="1">"c4731"</definedName>
    <definedName name="IQ_EPS_REPORTED_NUM_EST" hidden="1">"c1748"</definedName>
    <definedName name="IQ_EPS_REPORTED_NUM_EST_CIQ" hidden="1">"c4734"</definedName>
    <definedName name="IQ_EPS_REPORTED_STDDEV_EST" hidden="1">"c1749"</definedName>
    <definedName name="IQ_EPS_REPORTED_STDDEV_EST_CIQ" hidden="1">"c4735"</definedName>
    <definedName name="IQ_EPS_SBC_ACT_OR_EST" hidden="1">"c4376"</definedName>
    <definedName name="IQ_EPS_SBC_ACT_OR_EST_CIQ" hidden="1">"c4901"</definedName>
    <definedName name="IQ_EPS_SBC_EST" hidden="1">"c4375"</definedName>
    <definedName name="IQ_EPS_SBC_EST_CIQ" hidden="1">"c4900"</definedName>
    <definedName name="IQ_EPS_SBC_GW_ACT_OR_EST" hidden="1">"c4380"</definedName>
    <definedName name="IQ_EPS_SBC_GW_ACT_OR_EST_CIQ" hidden="1">"c4905"</definedName>
    <definedName name="IQ_EPS_SBC_GW_EST" hidden="1">"c4379"</definedName>
    <definedName name="IQ_EPS_SBC_GW_EST_CIQ" hidden="1">"c4904"</definedName>
    <definedName name="IQ_EPS_SBC_GW_HIGH_EST" hidden="1">"c4382"</definedName>
    <definedName name="IQ_EPS_SBC_GW_HIGH_EST_CIQ" hidden="1">"c4907"</definedName>
    <definedName name="IQ_EPS_SBC_GW_LOW_EST" hidden="1">"c4383"</definedName>
    <definedName name="IQ_EPS_SBC_GW_LOW_EST_CIQ" hidden="1">"c4908"</definedName>
    <definedName name="IQ_EPS_SBC_GW_MEDIAN_EST" hidden="1">"c4384"</definedName>
    <definedName name="IQ_EPS_SBC_GW_MEDIAN_EST_CIQ" hidden="1">"c4909"</definedName>
    <definedName name="IQ_EPS_SBC_GW_NUM_EST" hidden="1">"c4385"</definedName>
    <definedName name="IQ_EPS_SBC_GW_NUM_EST_CIQ" hidden="1">"c4910"</definedName>
    <definedName name="IQ_EPS_SBC_GW_STDDEV_EST" hidden="1">"c4386"</definedName>
    <definedName name="IQ_EPS_SBC_GW_STDDEV_EST_CIQ" hidden="1">"c4911"</definedName>
    <definedName name="IQ_EPS_SBC_HIGH_EST" hidden="1">"c4388"</definedName>
    <definedName name="IQ_EPS_SBC_HIGH_EST_CIQ" hidden="1">"c4913"</definedName>
    <definedName name="IQ_EPS_SBC_LOW_EST" hidden="1">"c4389"</definedName>
    <definedName name="IQ_EPS_SBC_LOW_EST_CIQ" hidden="1">"c4914"</definedName>
    <definedName name="IQ_EPS_SBC_MEDIAN_EST" hidden="1">"c4390"</definedName>
    <definedName name="IQ_EPS_SBC_MEDIAN_EST_CIQ" hidden="1">"c4915"</definedName>
    <definedName name="IQ_EPS_SBC_NUM_EST" hidden="1">"c4391"</definedName>
    <definedName name="IQ_EPS_SBC_NUM_EST_CIQ" hidden="1">"c4916"</definedName>
    <definedName name="IQ_EPS_SBC_STDDEV_EST" hidden="1">"c4392"</definedName>
    <definedName name="IQ_EPS_SBC_STDDEV_EST_CIQ" hidden="1">"c4917"</definedName>
    <definedName name="IQ_EPS_STDDEV_EST" localSheetId="12" hidden="1">"c403"</definedName>
    <definedName name="IQ_EPS_STDDEV_EST" localSheetId="7" hidden="1">"c403"</definedName>
    <definedName name="IQ_EPS_STDDEV_EST" hidden="1">"c272"</definedName>
    <definedName name="IQ_EPS_STDDEV_EST_CIQ" hidden="1">"c4993"</definedName>
    <definedName name="IQ_EQUITY_AFFIL" localSheetId="12" hidden="1">"c1451"</definedName>
    <definedName name="IQ_EQUITY_AFFIL" localSheetId="7" hidden="1">"c1451"</definedName>
    <definedName name="IQ_EQUITY_AFFIL" hidden="1">"c33"</definedName>
    <definedName name="IQ_EQUITY_AP" hidden="1">"c8887"</definedName>
    <definedName name="IQ_EQUITY_AP_ABS" hidden="1">"c8906"</definedName>
    <definedName name="IQ_EQUITY_ASKPRICE" hidden="1">"c17798"</definedName>
    <definedName name="IQ_EQUITY_ASSETS_TOT_FFIEC" hidden="1">"c13436"</definedName>
    <definedName name="IQ_EQUITY_BEG_EXCL_FFIEC" hidden="1">"c12957"</definedName>
    <definedName name="IQ_EQUITY_BEG_FFIEC" hidden="1">"c12959"</definedName>
    <definedName name="IQ_EQUITY_BIDPRICE" hidden="1">"c17797"</definedName>
    <definedName name="IQ_EQUITY_CAPITAL_ASSETS_FDIC" hidden="1">"c6744"</definedName>
    <definedName name="IQ_EQUITY_CAPITAL_QUARTERLY_AVG_FFIEC" hidden="1">"c13092"</definedName>
    <definedName name="IQ_EQUITY_ENDING_FFIEC" hidden="1">"c12973"</definedName>
    <definedName name="IQ_EQUITY_FDIC" hidden="1">"c6353"</definedName>
    <definedName name="IQ_EQUITY_INDEX_EXPOSURE_FFIEC" hidden="1">"c13060"</definedName>
    <definedName name="IQ_EQUITY_INV_NOT_CARRIED_FV_ADJUSTED_NCOS_THRIFT" hidden="1">"c25226"</definedName>
    <definedName name="IQ_EQUITY_INV_NOT_CARRIED_FV_SVA_PROVISIONS_TRANSFERS_FROM_GVA_THRIFT" hidden="1">"c25195"</definedName>
    <definedName name="IQ_EQUITY_INV_NOT_SUBJECT_SFAS_NO115_GVA_CHARGE_OFFS_THRIFT" hidden="1">"c25141"</definedName>
    <definedName name="IQ_EQUITY_INV_NOT_SUBJECT_SFAS_NO115_GVA_RECOVERIES_THRIFT" hidden="1">"c25164"</definedName>
    <definedName name="IQ_EQUITY_LIST" hidden="1">"c15158"</definedName>
    <definedName name="IQ_EQUITY_METHOD" hidden="1">"c404"</definedName>
    <definedName name="IQ_EQUITY_MIDPRICE" hidden="1">"c17799"</definedName>
    <definedName name="IQ_EQUITY_NAME_AP" hidden="1">"c8925"</definedName>
    <definedName name="IQ_EQUITY_NAME_AP_ABS" hidden="1">"c8944"</definedName>
    <definedName name="IQ_EQUITY_SEC_FAIR_VALUE_AFS_AMORT_COST_FFIEC" hidden="1">"c20505"</definedName>
    <definedName name="IQ_EQUITY_SEC_FAIR_VALUE_AFS_FAIR_VAL_FFIEC" hidden="1">"c20470"</definedName>
    <definedName name="IQ_EQUITY_SEC_FAIR_VALUE_FFIEC" hidden="1">"c12805"</definedName>
    <definedName name="IQ_EQUITY_SEC_FV_THRIFT" hidden="1">"c24823"</definedName>
    <definedName name="IQ_EQUITY_SEC_INVEST_SECURITIES_FFIEC" hidden="1">"c13463"</definedName>
    <definedName name="IQ_EQUITY_SECURITIES_FDIC" hidden="1">"c6304"</definedName>
    <definedName name="IQ_EQUITY_SECURITIES_QUARTERLY_AVG_FFIEC" hidden="1">"c15474"</definedName>
    <definedName name="IQ_EQUITY_SECURITIES_WITHOUT_FAIR_VALUES_FFIEC" hidden="1">"c12846"</definedName>
    <definedName name="IQ_EQUITY_SECURITY_EXPOSURES_FDIC" hidden="1">"c6664"</definedName>
    <definedName name="IQ_EQUITY_TIER_ONE_CAPITAL" hidden="1">"c15246"</definedName>
    <definedName name="IQ_EQUITY_TIER_ONE_CAPITAL_RATIO" hidden="1">"c15242"</definedName>
    <definedName name="IQ_EQV_OVER_BV" localSheetId="12" hidden="1">"c1596"</definedName>
    <definedName name="IQ_EQV_OVER_BV" localSheetId="7" hidden="1">"c1596"</definedName>
    <definedName name="IQ_EQV_OVER_BV" hidden="1">"c173"</definedName>
    <definedName name="IQ_EQV_OVER_LTM_PRETAX_INC" localSheetId="12" hidden="1">"c1390"</definedName>
    <definedName name="IQ_EQV_OVER_LTM_PRETAX_INC" localSheetId="7" hidden="1">"c1390"</definedName>
    <definedName name="IQ_EQV_OVER_LTM_PRETAX_INC" hidden="1">"c178"</definedName>
    <definedName name="IQ_ESCROWS_THRIFT" hidden="1">"c24897"</definedName>
    <definedName name="IQ_ESOP_DEBT" localSheetId="12" hidden="1">"c1597"</definedName>
    <definedName name="IQ_ESOP_DEBT" localSheetId="7" hidden="1">"c1597"</definedName>
    <definedName name="IQ_ESOP_DEBT" hidden="1">"c112"</definedName>
    <definedName name="IQ_ESOP_DEBT_GUARANTEED_FFIEC" hidden="1">"c12971"</definedName>
    <definedName name="IQ_ESOP_OVER_TOTAL" hidden="1">"c24734"</definedName>
    <definedName name="IQ_EST_ACT_AFFO_PER_SHARE" hidden="1">"c18250"</definedName>
    <definedName name="IQ_EST_ACT_AFFO_PER_SHARE_CIQ" hidden="1">"c18256"</definedName>
    <definedName name="IQ_EST_ACT_BV" hidden="1">"c5630"</definedName>
    <definedName name="IQ_EST_ACT_BV_CIQ" hidden="1">"c4743"</definedName>
    <definedName name="IQ_EST_ACT_BV_SHARE" hidden="1">"c3549"</definedName>
    <definedName name="IQ_EST_ACT_BV_SHARE_CIQ" hidden="1">"c3806"</definedName>
    <definedName name="IQ_EST_ACT_CAPEX" hidden="1">"c3546"</definedName>
    <definedName name="IQ_EST_ACT_CAPEX_CIQ" hidden="1">"c3813"</definedName>
    <definedName name="IQ_EST_ACT_CASH_EPS" hidden="1">"c5637"</definedName>
    <definedName name="IQ_EST_ACT_CASH_EPS_CIQ" hidden="1">"c18249"</definedName>
    <definedName name="IQ_EST_ACT_CASH_FLOW" hidden="1">"c4394"</definedName>
    <definedName name="IQ_EST_ACT_CASH_FLOW_CIQ" hidden="1">"c4919"</definedName>
    <definedName name="IQ_EST_ACT_CASH_OPER" hidden="1">"c4395"</definedName>
    <definedName name="IQ_EST_ACT_CASH_OPER_CIQ" hidden="1">"c4920"</definedName>
    <definedName name="IQ_EST_ACT_CFPS" hidden="1">"c1673"</definedName>
    <definedName name="IQ_EST_ACT_CFPS_CIQ" hidden="1">"c3681"</definedName>
    <definedName name="IQ_EST_ACT_DA" hidden="1">"c18253"</definedName>
    <definedName name="IQ_EST_ACT_DA_CIQ" hidden="1">"c18259"</definedName>
    <definedName name="IQ_EST_ACT_DISTRIBUTABLE_CASH" hidden="1">"c4396"</definedName>
    <definedName name="IQ_EST_ACT_DISTRIBUTABLE_CASH_CIQ" hidden="1">"c4921"</definedName>
    <definedName name="IQ_EST_ACT_DISTRIBUTABLE_CASH_SHARE" hidden="1">"c4397"</definedName>
    <definedName name="IQ_EST_ACT_DISTRIBUTABLE_CASH_SHARE_CIQ" hidden="1">"c4922"</definedName>
    <definedName name="IQ_EST_ACT_DPS" hidden="1">"c1680"</definedName>
    <definedName name="IQ_EST_ACT_DPS_CIQ" hidden="1">"c3688"</definedName>
    <definedName name="IQ_EST_ACT_EBIT" hidden="1">"c1687"</definedName>
    <definedName name="IQ_EST_ACT_EBIT_CIQ" hidden="1">"c4680"</definedName>
    <definedName name="IQ_EST_ACT_EBIT_GW" hidden="1">"c4398"</definedName>
    <definedName name="IQ_EST_ACT_EBIT_GW_CIQ" hidden="1">"c4923"</definedName>
    <definedName name="IQ_EST_ACT_EBIT_SBC" hidden="1">"c4399"</definedName>
    <definedName name="IQ_EST_ACT_EBIT_SBC_CIQ" hidden="1">"c4924"</definedName>
    <definedName name="IQ_EST_ACT_EBIT_SBC_GW" hidden="1">"c4400"</definedName>
    <definedName name="IQ_EST_ACT_EBIT_SBC_GW_CIQ" hidden="1">"c4925"</definedName>
    <definedName name="IQ_EST_ACT_EBITDA" hidden="1">"c1664"</definedName>
    <definedName name="IQ_EST_ACT_EBITDA_CIQ" hidden="1">"c3667"</definedName>
    <definedName name="IQ_EST_ACT_EBITDA_SBC" hidden="1">"c4401"</definedName>
    <definedName name="IQ_EST_ACT_EBITDA_SBC_CIQ" hidden="1">"c4926"</definedName>
    <definedName name="IQ_EST_ACT_EBT_SBC" hidden="1">"c4402"</definedName>
    <definedName name="IQ_EST_ACT_EBT_SBC_CIQ" hidden="1">"c4927"</definedName>
    <definedName name="IQ_EST_ACT_EBT_SBC_GW" hidden="1">"c4403"</definedName>
    <definedName name="IQ_EST_ACT_EBT_SBC_GW_CIQ" hidden="1">"c4928"</definedName>
    <definedName name="IQ_EST_ACT_EFFECTIVE_TAX" hidden="1">"c18251"</definedName>
    <definedName name="IQ_EST_ACT_EFFECTIVE_TAX_CIQ" hidden="1">"c18257"</definedName>
    <definedName name="IQ_EST_ACT_EPS" hidden="1">"c1648"</definedName>
    <definedName name="IQ_EST_ACT_EPS_CIQ" hidden="1">"c4998"</definedName>
    <definedName name="IQ_EST_ACT_EPS_GW" hidden="1">"c1743"</definedName>
    <definedName name="IQ_EST_ACT_EPS_GW_CIQ" hidden="1">"c4729"</definedName>
    <definedName name="IQ_EST_ACT_EPS_NORM" hidden="1">"c2232"</definedName>
    <definedName name="IQ_EST_ACT_EPS_NORM_CIQ" hidden="1">"c4673"</definedName>
    <definedName name="IQ_EST_ACT_EPS_REPORTED" hidden="1">"c1750"</definedName>
    <definedName name="IQ_EST_ACT_EPS_REPORTED_CIQ" hidden="1">"c4736"</definedName>
    <definedName name="IQ_EST_ACT_EPS_SBC" hidden="1">"c4404"</definedName>
    <definedName name="IQ_EST_ACT_EPS_SBC_CIQ" hidden="1">"c4929"</definedName>
    <definedName name="IQ_EST_ACT_EPS_SBC_GW" hidden="1">"c4405"</definedName>
    <definedName name="IQ_EST_ACT_EPS_SBC_GW_CIQ" hidden="1">"c4930"</definedName>
    <definedName name="IQ_EST_ACT_FCF" hidden="1">"c18255"</definedName>
    <definedName name="IQ_EST_ACT_FCF_CIQ" hidden="1">"c18261"</definedName>
    <definedName name="IQ_EST_ACT_FFO" hidden="1">"c1666"</definedName>
    <definedName name="IQ_EST_ACT_FFO_ADJ" hidden="1">"c4406"</definedName>
    <definedName name="IQ_EST_ACT_FFO_ADJ_CIQ" hidden="1">"c4931"</definedName>
    <definedName name="IQ_EST_ACT_FFO_CIQ" hidden="1">"c4932"</definedName>
    <definedName name="IQ_EST_ACT_FFO_SHARE" hidden="1">"c1666"</definedName>
    <definedName name="IQ_EST_ACT_FFO_SHARE_CIQ" hidden="1">"c3674"</definedName>
    <definedName name="IQ_EST_ACT_GROSS_MARGIN" hidden="1">"c5553"</definedName>
    <definedName name="IQ_EST_ACT_GROSS_MARGIN_CIQ" hidden="1">"c18248"</definedName>
    <definedName name="IQ_EST_ACT_INTEREST_EXP" hidden="1">"c18252"</definedName>
    <definedName name="IQ_EST_ACT_INTEREST_EXP_CIQ" hidden="1">"c18258"</definedName>
    <definedName name="IQ_EST_ACT_MAINT_CAPEX" hidden="1">"c4408"</definedName>
    <definedName name="IQ_EST_ACT_MAINT_CAPEX_CIQ" hidden="1">"c4933"</definedName>
    <definedName name="IQ_EST_ACT_NAV" hidden="1">"c1757"</definedName>
    <definedName name="IQ_EST_ACT_NAV_CIQ" hidden="1">"c18247"</definedName>
    <definedName name="IQ_EST_ACT_NAV_SHARE" hidden="1">"c5608"</definedName>
    <definedName name="IQ_EST_ACT_NAV_SHARE_CIQ" hidden="1">"c12031"</definedName>
    <definedName name="IQ_EST_ACT_NET_DEBT" hidden="1">"c3545"</definedName>
    <definedName name="IQ_EST_ACT_NET_DEBT_CIQ" hidden="1">"c3820"</definedName>
    <definedName name="IQ_EST_ACT_NI" hidden="1">"c1722"</definedName>
    <definedName name="IQ_EST_ACT_NI_CIQ" hidden="1">"c4708"</definedName>
    <definedName name="IQ_EST_ACT_NI_GW" hidden="1">"c1729"</definedName>
    <definedName name="IQ_EST_ACT_NI_GW_CIQ" hidden="1">"c4715"</definedName>
    <definedName name="IQ_EST_ACT_NI_REPORTED" hidden="1">"c1736"</definedName>
    <definedName name="IQ_EST_ACT_NI_REPORTED_CIQ" hidden="1">"c4722"</definedName>
    <definedName name="IQ_EST_ACT_NI_SBC" hidden="1">"c4409"</definedName>
    <definedName name="IQ_EST_ACT_NI_SBC_CIQ" hidden="1">"c4934"</definedName>
    <definedName name="IQ_EST_ACT_NI_SBC_GW" hidden="1">"c4410"</definedName>
    <definedName name="IQ_EST_ACT_NI_SBC_GW_CIQ" hidden="1">"c4935"</definedName>
    <definedName name="IQ_EST_ACT_OPER_INC" hidden="1">"c1694"</definedName>
    <definedName name="IQ_EST_ACT_OPER_INC_CIQ" hidden="1">"c12016"</definedName>
    <definedName name="IQ_EST_ACT_PRETAX_GW_INC" hidden="1">"c1708"</definedName>
    <definedName name="IQ_EST_ACT_PRETAX_GW_INC_CIQ" hidden="1">"c4694"</definedName>
    <definedName name="IQ_EST_ACT_PRETAX_INC" hidden="1">"c1701"</definedName>
    <definedName name="IQ_EST_ACT_PRETAX_INC_CIQ" hidden="1">"c4687"</definedName>
    <definedName name="IQ_EST_ACT_PRETAX_REPORT_INC" hidden="1">"c1715"</definedName>
    <definedName name="IQ_EST_ACT_PRETAX_REPORT_INC_CIQ" hidden="1">"c4701"</definedName>
    <definedName name="IQ_EST_ACT_RECURRING_PROFIT" hidden="1">"c4411"</definedName>
    <definedName name="IQ_EST_ACT_RECURRING_PROFIT_CIQ" hidden="1">"c4936"</definedName>
    <definedName name="IQ_EST_ACT_RECURRING_PROFIT_SHARE" hidden="1">"c4412"</definedName>
    <definedName name="IQ_EST_ACT_RECURRING_PROFIT_SHARE_CIQ" hidden="1">"c4937"</definedName>
    <definedName name="IQ_EST_ACT_RETURN_ASSETS" hidden="1">"c3547"</definedName>
    <definedName name="IQ_EST_ACT_RETURN_ASSETS_CIQ" hidden="1">"c3834"</definedName>
    <definedName name="IQ_EST_ACT_RETURN_EQUITY" hidden="1">"c3548"</definedName>
    <definedName name="IQ_EST_ACT_RETURN_EQUITY_CIQ" hidden="1">"c3827"</definedName>
    <definedName name="IQ_EST_ACT_REV" hidden="1">"c2113"</definedName>
    <definedName name="IQ_EST_ACT_REV_CIQ" hidden="1">"c3666"</definedName>
    <definedName name="IQ_EST_ACT_SAME_STORE" hidden="1">"c18254"</definedName>
    <definedName name="IQ_EST_ACT_SAME_STORE_CIQ" hidden="1">"c18260"</definedName>
    <definedName name="IQ_EST_BV_SHARE_DIFF" hidden="1">"c4147"</definedName>
    <definedName name="IQ_EST_BV_SHARE_DIFF_CIQ" hidden="1">"c4559"</definedName>
    <definedName name="IQ_EST_BV_SHARE_SURPRISE_PERCENT" hidden="1">"c4148"</definedName>
    <definedName name="IQ_EST_BV_SHARE_SURPRISE_PERCENT_CIQ" hidden="1">"c4560"</definedName>
    <definedName name="IQ_EST_CAPEX_DIFF" hidden="1">"c4149"</definedName>
    <definedName name="IQ_EST_CAPEX_DIFF_CIQ" hidden="1">"c4561"</definedName>
    <definedName name="IQ_EST_CAPEX_GROWTH_1YR" hidden="1">"c3588"</definedName>
    <definedName name="IQ_EST_CAPEX_GROWTH_1YR_CIQ" hidden="1">"c4972"</definedName>
    <definedName name="IQ_EST_CAPEX_GROWTH_2YR" hidden="1">"c3589"</definedName>
    <definedName name="IQ_EST_CAPEX_GROWTH_2YR_CIQ" hidden="1">"c4973"</definedName>
    <definedName name="IQ_EST_CAPEX_GROWTH_Q_1YR" hidden="1">"c3590"</definedName>
    <definedName name="IQ_EST_CAPEX_GROWTH_Q_1YR_CIQ" hidden="1">"c4974"</definedName>
    <definedName name="IQ_EST_CAPEX_SEQ_GROWTH_Q" hidden="1">"c3591"</definedName>
    <definedName name="IQ_EST_CAPEX_SEQ_GROWTH_Q_CIQ" hidden="1">"c4975"</definedName>
    <definedName name="IQ_EST_CAPEX_SURPRISE_PERCENT" hidden="1">"c4151"</definedName>
    <definedName name="IQ_EST_CAPEX_SURPRISE_PERCENT_CIQ" hidden="1">"c4563"</definedName>
    <definedName name="IQ_EST_CASH_FLOW_DIFF" hidden="1">"c4152"</definedName>
    <definedName name="IQ_EST_CASH_FLOW_DIFF_CIQ" hidden="1">"c4564"</definedName>
    <definedName name="IQ_EST_CASH_FLOW_SURPRISE_PERCENT" hidden="1">"c4161"</definedName>
    <definedName name="IQ_EST_CASH_FLOW_SURPRISE_PERCENT_CIQ" hidden="1">"c4573"</definedName>
    <definedName name="IQ_EST_CASH_OPER_DIFF" hidden="1">"c4162"</definedName>
    <definedName name="IQ_EST_CASH_OPER_DIFF_CIQ" hidden="1">"c4574"</definedName>
    <definedName name="IQ_EST_CASH_OPER_SURPRISE_PERCENT" hidden="1">"c4248"</definedName>
    <definedName name="IQ_EST_CASH_OPER_SURPRISE_PERCENT_CIQ" hidden="1">"c4774"</definedName>
    <definedName name="IQ_EST_CFPS_DIFF" hidden="1">"c1871"</definedName>
    <definedName name="IQ_EST_CFPS_DIFF_CIQ" hidden="1">"c3723"</definedName>
    <definedName name="IQ_EST_CFPS_GROWTH_1YR" hidden="1">"c1774"</definedName>
    <definedName name="IQ_EST_CFPS_GROWTH_1YR_CIQ" hidden="1">"c3709"</definedName>
    <definedName name="IQ_EST_CFPS_GROWTH_2YR" hidden="1">"c1775"</definedName>
    <definedName name="IQ_EST_CFPS_GROWTH_2YR_CIQ" hidden="1">"c3710"</definedName>
    <definedName name="IQ_EST_CFPS_GROWTH_Q_1YR" hidden="1">"c1776"</definedName>
    <definedName name="IQ_EST_CFPS_GROWTH_Q_1YR_CIQ" hidden="1">"c3711"</definedName>
    <definedName name="IQ_EST_CFPS_SEQ_GROWTH_Q" hidden="1">"c1777"</definedName>
    <definedName name="IQ_EST_CFPS_SEQ_GROWTH_Q_CIQ" hidden="1">"c3712"</definedName>
    <definedName name="IQ_EST_CFPS_SURPRISE_PERCENT" hidden="1">"c1872"</definedName>
    <definedName name="IQ_EST_CFPS_SURPRISE_PERCENT_CIQ" hidden="1">"c3724"</definedName>
    <definedName name="IQ_EST_CURRENCY" hidden="1">"c2140"</definedName>
    <definedName name="IQ_EST_CURRENCY_CIQ" hidden="1">"c4769"</definedName>
    <definedName name="IQ_EST_DATE" hidden="1">"c1634"</definedName>
    <definedName name="IQ_EST_DATE_CIQ" hidden="1">"c4770"</definedName>
    <definedName name="IQ_EST_DISTRIBUTABLE_CASH_DIFF" hidden="1">"c4276"</definedName>
    <definedName name="IQ_EST_DISTRIBUTABLE_CASH_DIFF_CIQ" hidden="1">"c4801"</definedName>
    <definedName name="IQ_EST_DISTRIBUTABLE_CASH_GROWTH_1YR" hidden="1">"c4413"</definedName>
    <definedName name="IQ_EST_DISTRIBUTABLE_CASH_GROWTH_1YR_CIQ" hidden="1">"c4938"</definedName>
    <definedName name="IQ_EST_DISTRIBUTABLE_CASH_GROWTH_2YR" hidden="1">"c4414"</definedName>
    <definedName name="IQ_EST_DISTRIBUTABLE_CASH_GROWTH_2YR_CIQ" hidden="1">"c4939"</definedName>
    <definedName name="IQ_EST_DISTRIBUTABLE_CASH_GROWTH_Q_1YR" hidden="1">"c4415"</definedName>
    <definedName name="IQ_EST_DISTRIBUTABLE_CASH_GROWTH_Q_1YR_CIQ" hidden="1">"c4940"</definedName>
    <definedName name="IQ_EST_DISTRIBUTABLE_CASH_SEQ_GROWTH_Q" hidden="1">"c4416"</definedName>
    <definedName name="IQ_EST_DISTRIBUTABLE_CASH_SEQ_GROWTH_Q_CIQ" hidden="1">"c4941"</definedName>
    <definedName name="IQ_EST_DISTRIBUTABLE_CASH_SHARE_DIFF" hidden="1">"c4284"</definedName>
    <definedName name="IQ_EST_DISTRIBUTABLE_CASH_SHARE_DIFF_CIQ" hidden="1">"c4809"</definedName>
    <definedName name="IQ_EST_DISTRIBUTABLE_CASH_SHARE_GROWTH_1YR" hidden="1">"c4417"</definedName>
    <definedName name="IQ_EST_DISTRIBUTABLE_CASH_SHARE_GROWTH_1YR_CIQ" hidden="1">"c4942"</definedName>
    <definedName name="IQ_EST_DISTRIBUTABLE_CASH_SHARE_GROWTH_2YR" hidden="1">"c4418"</definedName>
    <definedName name="IQ_EST_DISTRIBUTABLE_CASH_SHARE_GROWTH_2YR_CIQ" hidden="1">"c4943"</definedName>
    <definedName name="IQ_EST_DISTRIBUTABLE_CASH_SHARE_GROWTH_Q_1YR" hidden="1">"c4419"</definedName>
    <definedName name="IQ_EST_DISTRIBUTABLE_CASH_SHARE_GROWTH_Q_1YR_CIQ" hidden="1">"c4944"</definedName>
    <definedName name="IQ_EST_DISTRIBUTABLE_CASH_SHARE_SEQ_GROWTH_Q" hidden="1">"c4420"</definedName>
    <definedName name="IQ_EST_DISTRIBUTABLE_CASH_SHARE_SEQ_GROWTH_Q_CIQ" hidden="1">"c4945"</definedName>
    <definedName name="IQ_EST_DISTRIBUTABLE_CASH_SHARE_SURPRISE_PERCENT" hidden="1">"c4293"</definedName>
    <definedName name="IQ_EST_DISTRIBUTABLE_CASH_SHARE_SURPRISE_PERCENT_CIQ" hidden="1">"c4818"</definedName>
    <definedName name="IQ_EST_DISTRIBUTABLE_CASH_SURPRISE_PERCENT" hidden="1">"c4295"</definedName>
    <definedName name="IQ_EST_DISTRIBUTABLE_CASH_SURPRISE_PERCENT_CIQ" hidden="1">"c4820"</definedName>
    <definedName name="IQ_EST_DPS_DIFF" hidden="1">"c1873"</definedName>
    <definedName name="IQ_EST_DPS_DIFF_CIQ" hidden="1">"c3725"</definedName>
    <definedName name="IQ_EST_DPS_GROWTH_1YR" hidden="1">"c1778"</definedName>
    <definedName name="IQ_EST_DPS_GROWTH_1YR_CIQ" hidden="1">"c3713"</definedName>
    <definedName name="IQ_EST_DPS_GROWTH_2YR" hidden="1">"c1779"</definedName>
    <definedName name="IQ_EST_DPS_GROWTH_2YR_CIQ" hidden="1">"c3714"</definedName>
    <definedName name="IQ_EST_DPS_GROWTH_Q_1YR" hidden="1">"c1780"</definedName>
    <definedName name="IQ_EST_DPS_GROWTH_Q_1YR_CIQ" hidden="1">"c3715"</definedName>
    <definedName name="IQ_EST_DPS_SEQ_GROWTH_Q" hidden="1">"c1781"</definedName>
    <definedName name="IQ_EST_DPS_SEQ_GROWTH_Q_CIQ" hidden="1">"c3716"</definedName>
    <definedName name="IQ_EST_DPS_SURPRISE_PERCENT" hidden="1">"c1874"</definedName>
    <definedName name="IQ_EST_DPS_SURPRISE_PERCENT_CIQ" hidden="1">"c3726"</definedName>
    <definedName name="IQ_EST_EBIT_DIFF" hidden="1">"c1875"</definedName>
    <definedName name="IQ_EST_EBIT_DIFF_CIQ" hidden="1">"c4747"</definedName>
    <definedName name="IQ_EST_EBIT_GW_DIFF" hidden="1">"c4304"</definedName>
    <definedName name="IQ_EST_EBIT_GW_DIFF_CIQ" hidden="1">"c4829"</definedName>
    <definedName name="IQ_EST_EBIT_GW_SURPRISE_PERCENT" hidden="1">"c4313"</definedName>
    <definedName name="IQ_EST_EBIT_GW_SURPRISE_PERCENT_CIQ" hidden="1">"c4838"</definedName>
    <definedName name="IQ_EST_EBIT_SBC_DIFF" hidden="1">"c4314"</definedName>
    <definedName name="IQ_EST_EBIT_SBC_DIFF_CIQ" hidden="1">"c4839"</definedName>
    <definedName name="IQ_EST_EBIT_SBC_GW_DIFF" hidden="1">"c4318"</definedName>
    <definedName name="IQ_EST_EBIT_SBC_GW_DIFF_CIQ" hidden="1">"c4843"</definedName>
    <definedName name="IQ_EST_EBIT_SBC_GW_SURPRISE_PERCENT" hidden="1">"c4327"</definedName>
    <definedName name="IQ_EST_EBIT_SBC_GW_SURPRISE_PERCENT_CIQ" hidden="1">"c4852"</definedName>
    <definedName name="IQ_EST_EBIT_SBC_SURPRISE_PERCENT" hidden="1">"c4333"</definedName>
    <definedName name="IQ_EST_EBIT_SBC_SURPRISE_PERCENT_CIQ" hidden="1">"c4858"</definedName>
    <definedName name="IQ_EST_EBIT_SURPRISE_PERCENT" hidden="1">"c1876"</definedName>
    <definedName name="IQ_EST_EBIT_SURPRISE_PERCENT_CIQ" hidden="1">"c4748"</definedName>
    <definedName name="IQ_EST_EBITDA_DIFF" hidden="1">"c1867"</definedName>
    <definedName name="IQ_EST_EBITDA_DIFF_CIQ" hidden="1">"c3719"</definedName>
    <definedName name="IQ_EST_EBITDA_GROWTH_1YR" hidden="1">"c1766"</definedName>
    <definedName name="IQ_EST_EBITDA_GROWTH_1YR_CIQ" hidden="1">"c3695"</definedName>
    <definedName name="IQ_EST_EBITDA_GROWTH_2YR" hidden="1">"c1767"</definedName>
    <definedName name="IQ_EST_EBITDA_GROWTH_2YR_CIQ" hidden="1">"c3696"</definedName>
    <definedName name="IQ_EST_EBITDA_GROWTH_Q_1YR" hidden="1">"c1768"</definedName>
    <definedName name="IQ_EST_EBITDA_GROWTH_Q_1YR_CIQ" hidden="1">"c3697"</definedName>
    <definedName name="IQ_EST_EBITDA_SBC_DIFF" hidden="1">"c4335"</definedName>
    <definedName name="IQ_EST_EBITDA_SBC_DIFF_CIQ" hidden="1">"c4860"</definedName>
    <definedName name="IQ_EST_EBITDA_SBC_SURPRISE_PERCENT" hidden="1">"c4344"</definedName>
    <definedName name="IQ_EST_EBITDA_SBC_SURPRISE_PERCENT_CIQ" hidden="1">"c4869"</definedName>
    <definedName name="IQ_EST_EBITDA_SEQ_GROWTH_Q" hidden="1">"c1769"</definedName>
    <definedName name="IQ_EST_EBITDA_SEQ_GROWTH_Q_CIQ" hidden="1">"c3698"</definedName>
    <definedName name="IQ_EST_EBITDA_SURPRISE_PERCENT" hidden="1">"c1868"</definedName>
    <definedName name="IQ_EST_EBITDA_SURPRISE_PERCENT_CIQ" hidden="1">"c3720"</definedName>
    <definedName name="IQ_EST_EBT_SBC_DIFF" hidden="1">"c4348"</definedName>
    <definedName name="IQ_EST_EBT_SBC_DIFF_CIQ" hidden="1">"c4873"</definedName>
    <definedName name="IQ_EST_EBT_SBC_GW_DIFF" hidden="1">"c4352"</definedName>
    <definedName name="IQ_EST_EBT_SBC_GW_DIFF_CIQ" hidden="1">"c4877"</definedName>
    <definedName name="IQ_EST_EBT_SBC_GW_SURPRISE_PERCENT" hidden="1">"c4361"</definedName>
    <definedName name="IQ_EST_EBT_SBC_GW_SURPRISE_PERCENT_CIQ" hidden="1">"c4886"</definedName>
    <definedName name="IQ_EST_EBT_SBC_SURPRISE_PERCENT" hidden="1">"c4367"</definedName>
    <definedName name="IQ_EST_EBT_SBC_SURPRISE_PERCENT_CIQ" hidden="1">"c4892"</definedName>
    <definedName name="IQ_EST_EPS_DIFF" hidden="1">"c1864"</definedName>
    <definedName name="IQ_EST_EPS_DIFF_CIQ" hidden="1">"c4999"</definedName>
    <definedName name="IQ_EST_EPS_GROWTH_1YR" hidden="1">"c1636"</definedName>
    <definedName name="IQ_EST_EPS_GROWTH_1YR_CIQ" hidden="1">"c3628"</definedName>
    <definedName name="IQ_EST_EPS_GROWTH_2YR" hidden="1">"c1637"</definedName>
    <definedName name="IQ_EST_EPS_GROWTH_2YR_CIQ" hidden="1">"c3689"</definedName>
    <definedName name="IQ_EST_EPS_GROWTH_5YR" hidden="1">"c1655"</definedName>
    <definedName name="IQ_EST_EPS_GROWTH_5YR_BOTTOM_UP" hidden="1">"c5487"</definedName>
    <definedName name="IQ_EST_EPS_GROWTH_5YR_BOTTOM_UP_CIQ" hidden="1">"c12024"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LOW" hidden="1">"c1658"</definedName>
    <definedName name="IQ_EST_EPS_GROWTH_5YR_LOW_CIQ" hidden="1">"c4664"</definedName>
    <definedName name="IQ_EST_EPS_GROWTH_5YR_MEDIAN" hidden="1">"c1656"</definedName>
    <definedName name="IQ_EST_EPS_GROWTH_5YR_MEDIAN_CIQ" hidden="1">"c5480"</definedName>
    <definedName name="IQ_EST_EPS_GROWTH_5YR_NUM" hidden="1">"c1659"</definedName>
    <definedName name="IQ_EST_EPS_GROWTH_5YR_NUM_CIQ" hidden="1">"c4665"</definedName>
    <definedName name="IQ_EST_EPS_GROWTH_5YR_STDDEV" hidden="1">"c1660"</definedName>
    <definedName name="IQ_EST_EPS_GROWTH_5YR_STDDEV_CIQ" hidden="1">"c4666"</definedName>
    <definedName name="IQ_EST_EPS_GROWTH_Q_1YR" hidden="1">"c1641"</definedName>
    <definedName name="IQ_EST_EPS_GROWTH_Q_1YR_CIQ" hidden="1">"c4744"</definedName>
    <definedName name="IQ_EST_EPS_GW_DIFF" hidden="1">"c1891"</definedName>
    <definedName name="IQ_EST_EPS_GW_DIFF_CIQ" hidden="1">"c4761"</definedName>
    <definedName name="IQ_EST_EPS_GW_SURPRISE_PERCENT" hidden="1">"c1892"</definedName>
    <definedName name="IQ_EST_EPS_GW_SURPRISE_PERCENT_CIQ" hidden="1">"c4762"</definedName>
    <definedName name="IQ_EST_EPS_NORM_DIFF" hidden="1">"c2247"</definedName>
    <definedName name="IQ_EST_EPS_NORM_DIFF_CIQ" hidden="1">"c4745"</definedName>
    <definedName name="IQ_EST_EPS_NORM_SURPRISE_PERCENT" hidden="1">"c2248"</definedName>
    <definedName name="IQ_EST_EPS_NORM_SURPRISE_PERCENT_CIQ" hidden="1">"c4746"</definedName>
    <definedName name="IQ_EST_EPS_REPORT_DIFF" hidden="1">"c1893"</definedName>
    <definedName name="IQ_EST_EPS_REPORT_DIFF_CIQ" hidden="1">"c4763"</definedName>
    <definedName name="IQ_EST_EPS_REPORT_SURPRISE_PERCENT" hidden="1">"c1894"</definedName>
    <definedName name="IQ_EST_EPS_REPORT_SURPRISE_PERCENT_CIQ" hidden="1">"c4764"</definedName>
    <definedName name="IQ_EST_EPS_SBC_DIFF" hidden="1">"c4374"</definedName>
    <definedName name="IQ_EST_EPS_SBC_DIFF_CIQ" hidden="1">"c4899"</definedName>
    <definedName name="IQ_EST_EPS_SBC_GW_DIFF" hidden="1">"c4378"</definedName>
    <definedName name="IQ_EST_EPS_SBC_GW_DIFF_CIQ" hidden="1">"c4903"</definedName>
    <definedName name="IQ_EST_EPS_SBC_GW_SURPRISE_PERCENT" hidden="1">"c4387"</definedName>
    <definedName name="IQ_EST_EPS_SBC_GW_SURPRISE_PERCENT_CIQ" hidden="1">"c4912"</definedName>
    <definedName name="IQ_EST_EPS_SBC_SURPRISE_PERCENT" hidden="1">"c4393"</definedName>
    <definedName name="IQ_EST_EPS_SBC_SURPRISE_PERCENT_CIQ" hidden="1">"c4918"</definedName>
    <definedName name="IQ_EST_EPS_SEQ_GROWTH_Q" hidden="1">"c1764"</definedName>
    <definedName name="IQ_EST_EPS_SEQ_GROWTH_Q_CIQ" hidden="1">"c3690"</definedName>
    <definedName name="IQ_EST_EPS_SURPRISE" hidden="1">"c1635"</definedName>
    <definedName name="IQ_EST_EPS_SURPRISE_PERCENT" hidden="1">"c1635"</definedName>
    <definedName name="IQ_EST_EPS_SURPRISE_PERCENT_CIQ" hidden="1">"c5000"</definedName>
    <definedName name="IQ_EST_FAIR_VALUE_MORT_SERVICING_ASSETS_FFIEC" hidden="1">"c12956"</definedName>
    <definedName name="IQ_EST_FFO_ADJ_DIFF" hidden="1">"c4433"</definedName>
    <definedName name="IQ_EST_FFO_ADJ_DIFF_CIQ" hidden="1">"c4958"</definedName>
    <definedName name="IQ_EST_FFO_ADJ_GROWTH_1YR" hidden="1">"c4421"</definedName>
    <definedName name="IQ_EST_FFO_ADJ_GROWTH_1YR_CIQ" hidden="1">"c4946"</definedName>
    <definedName name="IQ_EST_FFO_ADJ_GROWTH_2YR" hidden="1">"c4422"</definedName>
    <definedName name="IQ_EST_FFO_ADJ_GROWTH_2YR_CIQ" hidden="1">"c4947"</definedName>
    <definedName name="IQ_EST_FFO_ADJ_GROWTH_Q_1YR" hidden="1">"c4423"</definedName>
    <definedName name="IQ_EST_FFO_ADJ_GROWTH_Q_1YR_CIQ" hidden="1">"c4948"</definedName>
    <definedName name="IQ_EST_FFO_ADJ_SEQ_GROWTH_Q" hidden="1">"c4424"</definedName>
    <definedName name="IQ_EST_FFO_ADJ_SEQ_GROWTH_Q_CIQ" hidden="1">"c4949"</definedName>
    <definedName name="IQ_EST_FFO_ADJ_SURPRISE_PERCENT" hidden="1">"c4442"</definedName>
    <definedName name="IQ_EST_FFO_ADJ_SURPRISE_PERCENT_CIQ" hidden="1">"c4967"</definedName>
    <definedName name="IQ_EST_FFO_DIFF" hidden="1">"c1869"</definedName>
    <definedName name="IQ_EST_FFO_DIFF_CIQ" hidden="1">"c4969"</definedName>
    <definedName name="IQ_EST_FFO_GROWTH_1YR" hidden="1">"c1770"</definedName>
    <definedName name="IQ_EST_FFO_GROWTH_1YR_CIQ" hidden="1">"c4950"</definedName>
    <definedName name="IQ_EST_FFO_GROWTH_2YR" hidden="1">"c1771"</definedName>
    <definedName name="IQ_EST_FFO_GROWTH_2YR_CIQ" hidden="1">"c4951"</definedName>
    <definedName name="IQ_EST_FFO_GROWTH_Q_1YR" hidden="1">"c1772"</definedName>
    <definedName name="IQ_EST_FFO_GROWTH_Q_1YR_CIQ" hidden="1">"c4952"</definedName>
    <definedName name="IQ_EST_FFO_SEQ_GROWTH_Q" hidden="1">"c1773"</definedName>
    <definedName name="IQ_EST_FFO_SEQ_GROWTH_Q_CIQ" hidden="1">"c4953"</definedName>
    <definedName name="IQ_EST_FFO_SHARE_DIFF" hidden="1">"c1869"</definedName>
    <definedName name="IQ_EST_FFO_SHARE_DIFF_CIQ" hidden="1">"c3721"</definedName>
    <definedName name="IQ_EST_FFO_SHARE_GROWTH_1YR" hidden="1">"c1770"</definedName>
    <definedName name="IQ_EST_FFO_SHARE_GROWTH_1YR_CIQ" hidden="1">"c3705"</definedName>
    <definedName name="IQ_EST_FFO_SHARE_GROWTH_2YR" hidden="1">"c1771"</definedName>
    <definedName name="IQ_EST_FFO_SHARE_GROWTH_2YR_CIQ" hidden="1">"c3706"</definedName>
    <definedName name="IQ_EST_FFO_SHARE_GROWTH_Q_1YR" hidden="1">"c1772"</definedName>
    <definedName name="IQ_EST_FFO_SHARE_GROWTH_Q_1YR_CIQ" hidden="1">"c3707"</definedName>
    <definedName name="IQ_EST_FFO_SHARE_SEQ_GROWTH_Q" hidden="1">"c1773"</definedName>
    <definedName name="IQ_EST_FFO_SHARE_SEQ_GROWTH_Q_CIQ" hidden="1">"c3708"</definedName>
    <definedName name="IQ_EST_FFO_SHARE_SURPRISE_PERCENT" hidden="1">"c1870"</definedName>
    <definedName name="IQ_EST_FFO_SHARE_SURPRISE_PERCENT_CIQ" hidden="1">"c3722"</definedName>
    <definedName name="IQ_EST_FFO_SURPRISE_PERCENT" hidden="1">"c1870"</definedName>
    <definedName name="IQ_EST_FFO_SURPRISE_PERCENT_CIQ" hidden="1">"c4982"</definedName>
    <definedName name="IQ_EST_FOOTNOTE" hidden="1">"c4540"</definedName>
    <definedName name="IQ_EST_FOOTNOTE_CIQ" hidden="1">"c12022"</definedName>
    <definedName name="IQ_EST_MAINT_CAPEX_DIFF" hidden="1">"c4456"</definedName>
    <definedName name="IQ_EST_MAINT_CAPEX_DIFF_CIQ" hidden="1">"c4985"</definedName>
    <definedName name="IQ_EST_MAINT_CAPEX_GROWTH_1YR" hidden="1">"c4429"</definedName>
    <definedName name="IQ_EST_MAINT_CAPEX_GROWTH_1YR_CIQ" hidden="1">"c4954"</definedName>
    <definedName name="IQ_EST_MAINT_CAPEX_GROWTH_2YR" hidden="1">"c4430"</definedName>
    <definedName name="IQ_EST_MAINT_CAPEX_GROWTH_2YR_CIQ" hidden="1">"c4955"</definedName>
    <definedName name="IQ_EST_MAINT_CAPEX_GROWTH_Q_1YR" hidden="1">"c4431"</definedName>
    <definedName name="IQ_EST_MAINT_CAPEX_GROWTH_Q_1YR_CIQ" hidden="1">"c4956"</definedName>
    <definedName name="IQ_EST_MAINT_CAPEX_SEQ_GROWTH_Q" hidden="1">"c4432"</definedName>
    <definedName name="IQ_EST_MAINT_CAPEX_SEQ_GROWTH_Q_CIQ" hidden="1">"c4957"</definedName>
    <definedName name="IQ_EST_MAINT_CAPEX_SURPRISE_PERCENT" hidden="1">"c4465"</definedName>
    <definedName name="IQ_EST_MAINT_CAPEX_SURPRISE_PERCENT_CIQ" hidden="1">"c5003"</definedName>
    <definedName name="IQ_EST_NAV_DIFF" hidden="1">"c1895"</definedName>
    <definedName name="IQ_EST_NAV_SHARE_SURPRISE_PERCENT" hidden="1">"c1896"</definedName>
    <definedName name="IQ_EST_NAV_SURPRISE_PERCENT" hidden="1">"c1896"</definedName>
    <definedName name="IQ_EST_NET_DEBT_DIFF" hidden="1">"c4466"</definedName>
    <definedName name="IQ_EST_NET_DEBT_DIFF_CIQ" hidden="1">"c5004"</definedName>
    <definedName name="IQ_EST_NET_DEBT_SURPRISE_PERCENT" hidden="1">"c4468"</definedName>
    <definedName name="IQ_EST_NET_DEBT_SURPRISE_PERCENT_CIQ" hidden="1">"c5006"</definedName>
    <definedName name="IQ_EST_NEXT_EARNINGS_DATE" hidden="1">"c13591"</definedName>
    <definedName name="IQ_EST_NI_DIFF" hidden="1">"c1885"</definedName>
    <definedName name="IQ_EST_NI_DIFF_CIQ" hidden="1">"c4755"</definedName>
    <definedName name="IQ_EST_NI_GW_DIFF" hidden="1">"c1887"</definedName>
    <definedName name="IQ_EST_NI_GW_DIFF_CIQ" hidden="1">"c4757"</definedName>
    <definedName name="IQ_EST_NI_GW_SURPRISE_PERCENT" hidden="1">"c1888"</definedName>
    <definedName name="IQ_EST_NI_GW_SURPRISE_PERCENT_CIQ" hidden="1">"c4758"</definedName>
    <definedName name="IQ_EST_NI_REPORT_DIFF" hidden="1">"c1889"</definedName>
    <definedName name="IQ_EST_NI_REPORT_DIFF_CIQ" hidden="1">"c4759"</definedName>
    <definedName name="IQ_EST_NI_REPORT_SURPRISE_PERCENT" hidden="1">"c1890"</definedName>
    <definedName name="IQ_EST_NI_REPORT_SURPRISE_PERCENT_CIQ" hidden="1">"c4760"</definedName>
    <definedName name="IQ_EST_NI_SBC_DIFF" hidden="1">"c4472"</definedName>
    <definedName name="IQ_EST_NI_SBC_DIFF_CIQ" hidden="1">"c5010"</definedName>
    <definedName name="IQ_EST_NI_SBC_GW_DIFF" hidden="1">"c4476"</definedName>
    <definedName name="IQ_EST_NI_SBC_GW_DIFF_CIQ" hidden="1">"c5014"</definedName>
    <definedName name="IQ_EST_NI_SBC_GW_SURPRISE_PERCENT" hidden="1">"c4485"</definedName>
    <definedName name="IQ_EST_NI_SBC_GW_SURPRISE_PERCENT_CIQ" hidden="1">"c5023"</definedName>
    <definedName name="IQ_EST_NI_SBC_SURPRISE_PERCENT" hidden="1">"c4491"</definedName>
    <definedName name="IQ_EST_NI_SBC_SURPRISE_PERCENT_CIQ" hidden="1">"c5029"</definedName>
    <definedName name="IQ_EST_NI_SURPRISE_PERCENT" hidden="1">"c1886"</definedName>
    <definedName name="IQ_EST_NI_SURPRISE_PERCENT_CIQ" hidden="1">"c4756"</definedName>
    <definedName name="IQ_EST_NUM_BUY" hidden="1">"c1759"</definedName>
    <definedName name="IQ_EST_NUM_HIGH_REC" hidden="1">"c5649"</definedName>
    <definedName name="IQ_EST_NUM_HIGH_REC_CIQ" hidden="1">"c3701"</definedName>
    <definedName name="IQ_EST_NUM_HIGHEST_REC" hidden="1">"c5648"</definedName>
    <definedName name="IQ_EST_NUM_HIGHEST_REC_CIQ" hidden="1">"c3700"</definedName>
    <definedName name="IQ_EST_NUM_HOLD" hidden="1">"c1761"</definedName>
    <definedName name="IQ_EST_NUM_LOW_REC" hidden="1">"c5651"</definedName>
    <definedName name="IQ_EST_NUM_LOW_REC_CIQ" hidden="1">"c3703"</definedName>
    <definedName name="IQ_EST_NUM_LOWEST_REC" hidden="1">"c5652"</definedName>
    <definedName name="IQ_EST_NUM_LOWEST_REC_CIQ" hidden="1">"c3704"</definedName>
    <definedName name="IQ_EST_NUM_NEUTRAL_REC" hidden="1">"c5650"</definedName>
    <definedName name="IQ_EST_NUM_NEUTRAL_REC_CIQ" hidden="1">"c3702"</definedName>
    <definedName name="IQ_EST_NUM_NO_OPINION" hidden="1">"c1758"</definedName>
    <definedName name="IQ_EST_NUM_NO_OPINION_CIQ" hidden="1">"c3699"</definedName>
    <definedName name="IQ_EST_NUM_OUTPERFORM" hidden="1">"c1760"</definedName>
    <definedName name="IQ_EST_NUM_SELL" hidden="1">"c1763"</definedName>
    <definedName name="IQ_EST_NUM_UNDERPERFORM" hidden="1">"c1762"</definedName>
    <definedName name="IQ_EST_OPER_INC_DIFF" hidden="1">"c1877"</definedName>
    <definedName name="IQ_EST_OPER_INC_DIFF_CIQ" hidden="1">"c12017"</definedName>
    <definedName name="IQ_EST_OPER_INC_SURPRISE_PERCENT" hidden="1">"c1878"</definedName>
    <definedName name="IQ_EST_OPER_INC_SURPRISE_PERCENT_CIQ" hidden="1">"c12018"</definedName>
    <definedName name="IQ_EST_PRE_TAX_DIFF" hidden="1">"c1879"</definedName>
    <definedName name="IQ_EST_PRE_TAX_DIFF_CIQ" hidden="1">"c4749"</definedName>
    <definedName name="IQ_EST_PRE_TAX_GW_DIFF" hidden="1">"c1881"</definedName>
    <definedName name="IQ_EST_PRE_TAX_GW_DIFF_CIQ" hidden="1">"c4751"</definedName>
    <definedName name="IQ_EST_PRE_TAX_GW_SURPRISE_PERCENT" hidden="1">"c1882"</definedName>
    <definedName name="IQ_EST_PRE_TAX_GW_SURPRISE_PERCENT_CIQ" hidden="1">"c4752"</definedName>
    <definedName name="IQ_EST_PRE_TAX_REPORT_DIFF" hidden="1">"c1883"</definedName>
    <definedName name="IQ_EST_PRE_TAX_REPORT_DIFF_CIQ" hidden="1">"c4753"</definedName>
    <definedName name="IQ_EST_PRE_TAX_REPORT_SURPRISE_PERCENT" hidden="1">"c1884"</definedName>
    <definedName name="IQ_EST_PRE_TAX_REPORT_SURPRISE_PERCENT_CIQ" hidden="1">"c4754"</definedName>
    <definedName name="IQ_EST_PRE_TAX_SURPRISE_PERCENT" hidden="1">"c1880"</definedName>
    <definedName name="IQ_EST_PRE_TAX_SURPRISE_PERCENT_CIQ" hidden="1">"c4750"</definedName>
    <definedName name="IQ_EST_RECURRING_PROFIT_SHARE_DIFF" hidden="1">"c4505"</definedName>
    <definedName name="IQ_EST_RECURRING_PROFIT_SHARE_DIFF_CIQ" hidden="1">"c5043"</definedName>
    <definedName name="IQ_EST_RECURRING_PROFIT_SHARE_SURPRISE_PERCENT" hidden="1">"c4515"</definedName>
    <definedName name="IQ_EST_RECURRING_PROFIT_SHARE_SURPRISE_PERCENT_CIQ" hidden="1">"c5053"</definedName>
    <definedName name="IQ_EST_REV_DIFF" hidden="1">"c1865"</definedName>
    <definedName name="IQ_EST_REV_DIFF_CIQ" hidden="1">"c3717"</definedName>
    <definedName name="IQ_EST_REV_GROWTH_1YR" hidden="1">"c1638"</definedName>
    <definedName name="IQ_EST_REV_GROWTH_1YR_CIQ" hidden="1">"c3691"</definedName>
    <definedName name="IQ_EST_REV_GROWTH_2YR" hidden="1">"c1639"</definedName>
    <definedName name="IQ_EST_REV_GROWTH_2YR_CIQ" hidden="1">"c3692"</definedName>
    <definedName name="IQ_EST_REV_GROWTH_Q_1YR" hidden="1">"c1640"</definedName>
    <definedName name="IQ_EST_REV_GROWTH_Q_1YR_CIQ" hidden="1">"c3693"</definedName>
    <definedName name="IQ_EST_REV_SEQ_GROWTH_Q" hidden="1">"c1765"</definedName>
    <definedName name="IQ_EST_REV_SEQ_GROWTH_Q_CIQ" hidden="1">"c3694"</definedName>
    <definedName name="IQ_EST_REV_SURPRISE_PERCENT" hidden="1">"c1866"</definedName>
    <definedName name="IQ_EST_REV_SURPRISE_PERCENT_CIQ" hidden="1">"c3718"</definedName>
    <definedName name="IQ_EST_VENDOR" hidden="1">"c5564"</definedName>
    <definedName name="IQ_ESTIMATED_ASSESSABLE_DEPOSITS_FDIC" hidden="1">"c6490"</definedName>
    <definedName name="IQ_ESTIMATED_INSURED_DEPOSITS_FDIC" hidden="1">"c6491"</definedName>
    <definedName name="IQ_EV_OVER_EMPLOYEE" localSheetId="12" hidden="1">"c1428"</definedName>
    <definedName name="IQ_EV_OVER_EMPLOYEE" localSheetId="7" hidden="1">"c1428"</definedName>
    <definedName name="IQ_EV_OVER_EMPLOYEE" hidden="1">"c172"</definedName>
    <definedName name="IQ_EV_OVER_LTM_EBIT" localSheetId="12" hidden="1">"c1426"</definedName>
    <definedName name="IQ_EV_OVER_LTM_EBIT" localSheetId="7" hidden="1">"c1426"</definedName>
    <definedName name="IQ_EV_OVER_LTM_EBIT" hidden="1">"c167"</definedName>
    <definedName name="IQ_EV_OVER_LTM_EBITDA" localSheetId="12" hidden="1">"c1427"</definedName>
    <definedName name="IQ_EV_OVER_LTM_EBITDA" localSheetId="7" hidden="1">"c1427"</definedName>
    <definedName name="IQ_EV_OVER_LTM_EBITDA" hidden="1">"c168"</definedName>
    <definedName name="IQ_EV_OVER_LTM_REVENUE" localSheetId="12" hidden="1">"c1429"</definedName>
    <definedName name="IQ_EV_OVER_LTM_REVENUE" localSheetId="7" hidden="1">"c1429"</definedName>
    <definedName name="IQ_EV_OVER_LTM_REVENUE" hidden="1">"c169"</definedName>
    <definedName name="IQ_EVAL_DATE" hidden="1">"c2180"</definedName>
    <definedName name="IQ_EVENT_ADDRESS" hidden="1">"c19167"</definedName>
    <definedName name="IQ_EVENT_ADVISORS" hidden="1">"c19147"</definedName>
    <definedName name="IQ_EVENT_AGENDA" hidden="1">"c19168"</definedName>
    <definedName name="IQ_EVENT_CALL_DESCRIPTION" hidden="1">"c19154"</definedName>
    <definedName name="IQ_EVENT_CONTACT" hidden="1">"c19160"</definedName>
    <definedName name="IQ_EVENT_DATE" hidden="1">"c13819"</definedName>
    <definedName name="IQ_EVENT_EMAIL" hidden="1">"c19162"</definedName>
    <definedName name="IQ_EVENT_ID" hidden="1">"c13818"</definedName>
    <definedName name="IQ_EVENT_LIVE_AUDIO_DETAILS_WEBCAST_URL" hidden="1">"c19153"</definedName>
    <definedName name="IQ_EVENT_LIVE_OTHER_PASSCODE" hidden="1">"c19152"</definedName>
    <definedName name="IQ_EVENT_LIVE_OTHER_PHONE_NUMBER" hidden="1">"c19151"</definedName>
    <definedName name="IQ_EVENT_LIVE_PASSCODE" hidden="1">"c19150"</definedName>
    <definedName name="IQ_EVENT_LIVE_PHONE_NUMBER" hidden="1">"c19149"</definedName>
    <definedName name="IQ_EVENT_MARKETINDICATOR" hidden="1">"c19166"</definedName>
    <definedName name="IQ_EVENT_OTHER_CONTACT" hidden="1">"c19163"</definedName>
    <definedName name="IQ_EVENT_OTHER_CONTACT_EMAIL" hidden="1">"c19165"</definedName>
    <definedName name="IQ_EVENT_OTHER_CONTACT_PHONE" hidden="1">"c19164"</definedName>
    <definedName name="IQ_EVENT_PHONE" hidden="1">"c19161"</definedName>
    <definedName name="IQ_EVENT_REPLAY_AUDIO_DETAILS_WEBCAST_URL" hidden="1">"c19159"</definedName>
    <definedName name="IQ_EVENT_REPLAY_BEGINS" hidden="1">"c19157"</definedName>
    <definedName name="IQ_EVENT_REPLAY_ENDS" hidden="1">"c19158"</definedName>
    <definedName name="IQ_EVENT_REPLAY_PASSCODE" hidden="1">"c19156"</definedName>
    <definedName name="IQ_EVENT_REPLAY_PHONE_NUMBER" hidden="1">"c19155"</definedName>
    <definedName name="IQ_EVENT_SITUATION" hidden="1">"c19148"</definedName>
    <definedName name="IQ_EVENT_SOURCE" hidden="1">"c19146"</definedName>
    <definedName name="IQ_EVENT_TIME" hidden="1">"c13820"</definedName>
    <definedName name="IQ_EVENT_TYPE" hidden="1">"c13821"</definedName>
    <definedName name="IQ_EXCEL_DATA_METHOD" hidden="1">"c16229"</definedName>
    <definedName name="IQ_EXCESS_ALLOWANCE_LL_LOSSES_THRIFT" hidden="1">"c25078"</definedName>
    <definedName name="IQ_EXCHANGE" localSheetId="12" hidden="1">"c405"</definedName>
    <definedName name="IQ_EXCHANGE" localSheetId="7" hidden="1">"c405"</definedName>
    <definedName name="IQ_EXCHANGE" hidden="1">"c210"</definedName>
    <definedName name="IQ_EXCHANGE_CODE_RT" hidden="1">"EXCHANGE"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IMBURSE_RENTAL_REVENUE" hidden="1">"c16064"</definedName>
    <definedName name="IQ_EXP_RETURN_PENSION_DOMESTIC" hidden="1">"c407"</definedName>
    <definedName name="IQ_EXP_RETURN_PENSION_FOREIGN" hidden="1">"c408"</definedName>
    <definedName name="IQ_EXPENSE_REIMBURSEMENTS" hidden="1">"c16020"</definedName>
    <definedName name="IQ_EXPENSES_AP" hidden="1">"c8875"</definedName>
    <definedName name="IQ_EXPENSES_AP_ABS" hidden="1">"c8894"</definedName>
    <definedName name="IQ_EXPENSES_FIXED_ASSETS_FFIEC" hidden="1">"c13024"</definedName>
    <definedName name="IQ_EXPENSES_NAME_AP" hidden="1">"c8913"</definedName>
    <definedName name="IQ_EXPENSES_NAME_AP_ABS" hidden="1">"c8932"</definedName>
    <definedName name="IQ_EXPIRATION_DATE" hidden="1">"c13930"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LORE_DRILL_EXP_TOTAL" hidden="1">"c13850"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_USD" hidden="1">"c20650"</definedName>
    <definedName name="IQ_EXPORTS_APR_FC_UNUSED" hidden="1">"c8401"</definedName>
    <definedName name="IQ_EXPORTS_APR_FC_UNUSED_UNUSED_UNUSED" hidden="1">"c8401"</definedName>
    <definedName name="IQ_EXPORTS_APR_UNUSED" hidden="1">"c7521"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" hidden="1">"c7741"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" hidden="1">"c8512"</definedName>
    <definedName name="IQ_EXPORTS_GOODS_REAL_SAAR_APR_FC_UNUSED_UNUSED_UNUSED" hidden="1">"c8512"</definedName>
    <definedName name="IQ_EXPORTS_GOODS_REAL_SAAR_APR_UNUSED" hidden="1">"c7632"</definedName>
    <definedName name="IQ_EXPORTS_GOODS_REAL_SAAR_APR_UNUSED_UNUSED_UNUSED" hidden="1">"c7632"</definedName>
    <definedName name="IQ_EXPORTS_GOODS_REAL_SAAR_FC_UNUSED" hidden="1">"c7852"</definedName>
    <definedName name="IQ_EXPORTS_GOODS_REAL_SAAR_FC_UNUSED_UNUSED_UNUSED" hidden="1">"c7852"</definedName>
    <definedName name="IQ_EXPORTS_GOODS_REAL_SAAR_POP" hidden="1">"c11931"</definedName>
    <definedName name="IQ_EXPORTS_GOODS_REAL_SAAR_POP_FC_UNUSED" hidden="1">"c8072"</definedName>
    <definedName name="IQ_EXPORTS_GOODS_REAL_SAAR_POP_FC_UNUSED_UNUSED_UNUSED" hidden="1">"c8072"</definedName>
    <definedName name="IQ_EXPORTS_GOODS_REAL_SAAR_POP_UNUSED" hidden="1">"c7192"</definedName>
    <definedName name="IQ_EXPORTS_GOODS_REAL_SAAR_POP_UNUSED_UNUSED_UNUSED" hidden="1">"c7192"</definedName>
    <definedName name="IQ_EXPORTS_GOODS_REAL_SAAR_UNUSED" hidden="1">"c6972"</definedName>
    <definedName name="IQ_EXPORTS_GOODS_REAL_SAAR_UNUSED_UNUSED_UNUSED" hidden="1">"c6972"</definedName>
    <definedName name="IQ_EXPORTS_GOODS_REAL_SAAR_YOY" hidden="1">"c11932"</definedName>
    <definedName name="IQ_EXPORTS_GOODS_REAL_SAAR_YOY_FC_UNUSED" hidden="1">"c8292"</definedName>
    <definedName name="IQ_EXPORTS_GOODS_REAL_SAAR_YOY_FC_UNUSED_UNUSED_UNUSED" hidden="1">"c8292"</definedName>
    <definedName name="IQ_EXPORTS_GOODS_REAL_SAAR_YOY_UNUSED" hidden="1">"c7412"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" hidden="1">"c7961"</definedName>
    <definedName name="IQ_EXPORTS_POP_FC_UNUSED_UNUSED_UNUSED" hidden="1">"c7961"</definedName>
    <definedName name="IQ_EXPORTS_POP_UNUSED" hidden="1">"c7081"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" hidden="1">"c8516"</definedName>
    <definedName name="IQ_EXPORTS_SERVICES_REAL_SAAR_APR_FC_UNUSED_UNUSED_UNUSED" hidden="1">"c8516"</definedName>
    <definedName name="IQ_EXPORTS_SERVICES_REAL_SAAR_APR_UNUSED" hidden="1">"c7636"</definedName>
    <definedName name="IQ_EXPORTS_SERVICES_REAL_SAAR_APR_UNUSED_UNUSED_UNUSED" hidden="1">"c7636"</definedName>
    <definedName name="IQ_EXPORTS_SERVICES_REAL_SAAR_FC_UNUSED" hidden="1">"c7856"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" hidden="1">"c8076"</definedName>
    <definedName name="IQ_EXPORTS_SERVICES_REAL_SAAR_POP_FC_UNUSED_UNUSED_UNUSED" hidden="1">"c8076"</definedName>
    <definedName name="IQ_EXPORTS_SERVICES_REAL_SAAR_POP_UNUSED" hidden="1">"c7196"</definedName>
    <definedName name="IQ_EXPORTS_SERVICES_REAL_SAAR_POP_UNUSED_UNUSED_UNUSED" hidden="1">"c7196"</definedName>
    <definedName name="IQ_EXPORTS_SERVICES_REAL_SAAR_UNUSED" hidden="1">"c6976"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" hidden="1">"c8296"</definedName>
    <definedName name="IQ_EXPORTS_SERVICES_REAL_SAAR_YOY_FC_UNUSED_UNUSED_UNUSED" hidden="1">"c8296"</definedName>
    <definedName name="IQ_EXPORTS_SERVICES_REAL_SAAR_YOY_UNUSED" hidden="1">"c7416"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" hidden="1">"c6861"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" hidden="1">"c8181"</definedName>
    <definedName name="IQ_EXPORTS_YOY_FC_UNUSED_UNUSED_UNUSED" hidden="1">"c8181"</definedName>
    <definedName name="IQ_EXPORTS_YOY_UNUSED" hidden="1">"c7301"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CM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AVG_ASSETS_FFIEC" hidden="1">"c13369"</definedName>
    <definedName name="IQ_EXTRA_ITEMS" localSheetId="12" hidden="1">"c1459"</definedName>
    <definedName name="IQ_EXTRA_ITEMS" localSheetId="7" hidden="1">"c1459"</definedName>
    <definedName name="IQ_EXTRA_ITEMS" hidden="1">"c38"</definedName>
    <definedName name="IQ_EXTRA_ITEMS_OTHER_ADJUSTMENTS_FOREIGN_FFIEC" hidden="1">"c15392"</definedName>
    <definedName name="IQ_EXTRAORDINARY_GAINS_FDIC" hidden="1">"c6586"</definedName>
    <definedName name="IQ_EXTRAORDINARY_ITEMS_AVG_ASSETS_THRIFT" hidden="1">"c25659"</definedName>
    <definedName name="IQ_EXTRAORDINARY_ITEMS_FFIEC" hidden="1">"c13033"</definedName>
    <definedName name="IQ_EXTRAORDINARY_ITEMS_THRIFT" hidden="1">"c24797"</definedName>
    <definedName name="IQ_FAD" hidden="1">"c8757"</definedName>
    <definedName name="IQ_FAD_PAYOUT_RATIO" hidden="1">"c8872"</definedName>
    <definedName name="IQ_FAIR_VALUE_CHANGE_INCL_EARNINGS" hidden="1">"c13849"</definedName>
    <definedName name="IQ_FAIR_VALUE_DEBT" hidden="1">"c16007"</definedName>
    <definedName name="IQ_FAIR_VALUE_FDIC" hidden="1">"c6427"</definedName>
    <definedName name="IQ_FAIR_VALUE_FIN_INSTRUMENTS_NAV" hidden="1">"c16002"</definedName>
    <definedName name="IQ_FAIR_VALUE_FIN_INSTRUMENTS_NNAV" hidden="1">"c16006"</definedName>
    <definedName name="IQ_FAIR_VALUE_TRADING_PROP" hidden="1">"c16001"</definedName>
    <definedName name="IQ_FARM_LOANS_NET_FDIC" hidden="1">"c6316"</definedName>
    <definedName name="IQ_FARM_LOANS_TOT_LOANS_FFIEC" hidden="1">"c13870"</definedName>
    <definedName name="IQ_FARM_LOANS_TOTAL_LOANS_FOREIGN_FDIC" hidden="1">"c6450"</definedName>
    <definedName name="IQ_FARMLAND_DOM_FFIEC" hidden="1">"c15268"</definedName>
    <definedName name="IQ_FARMLAND_LOANS_FDIC" hidden="1">"c6314"</definedName>
    <definedName name="IQ_FCF_ACT_OR_EST" hidden="1">"c18270"</definedName>
    <definedName name="IQ_FCF_ACT_OR_EST_CIQ" hidden="1">"c18276"</definedName>
    <definedName name="IQ_FCF_DET_EST" hidden="1">"c18179"</definedName>
    <definedName name="IQ_FCF_DET_EST_CIQ" hidden="1">"c18228"</definedName>
    <definedName name="IQ_FCF_DET_EST_CURRENCY" hidden="1">"c18312"</definedName>
    <definedName name="IQ_FCF_DET_EST_CURRENCY_CIQ" hidden="1">"c18351"</definedName>
    <definedName name="IQ_FCF_DET_EST_DATE" hidden="1">"c18286"</definedName>
    <definedName name="IQ_FCF_DET_EST_DATE_CIQ" hidden="1">"c18330"</definedName>
    <definedName name="IQ_FCF_DET_EST_INCL" hidden="1">"c18290"</definedName>
    <definedName name="IQ_FCF_DET_EST_INCL_CIQ" hidden="1">"c18337"</definedName>
    <definedName name="IQ_FCF_DET_EST_NOTE" hidden="1">"c18301"</definedName>
    <definedName name="IQ_FCF_DET_EST_NOTE_CIQ" hidden="1">"c18344"</definedName>
    <definedName name="IQ_FCF_DET_EST_ORIGIN" hidden="1">"c18323"</definedName>
    <definedName name="IQ_FCF_DET_EST_ORIGIN_CIQ" hidden="1">"c18358"</definedName>
    <definedName name="IQ_FCF_EST" hidden="1">"c18118"</definedName>
    <definedName name="IQ_FCF_EST_CIQ" hidden="1">"c18186"</definedName>
    <definedName name="IQ_FCF_EST_NOTE" hidden="1">"c18239"</definedName>
    <definedName name="IQ_FCF_EST_NOTE_CIQ" hidden="1">"c18246"</definedName>
    <definedName name="IQ_FCF_GUIDANCE" hidden="1">"c18415"</definedName>
    <definedName name="IQ_FCF_HIGH_EST" hidden="1">"c18138"</definedName>
    <definedName name="IQ_FCF_HIGH_EST_CIQ" hidden="1">"c18200"</definedName>
    <definedName name="IQ_FCF_HIGH_GUIDANCE" hidden="1">"c18416"</definedName>
    <definedName name="IQ_FCF_LOW_EST" hidden="1">"c18148"</definedName>
    <definedName name="IQ_FCF_LOW_EST_CIQ" hidden="1">"c18207"</definedName>
    <definedName name="IQ_FCF_LOW_GUIDANCE" hidden="1">"c18417"</definedName>
    <definedName name="IQ_FCF_MEDIAN_EST" hidden="1">"c18128"</definedName>
    <definedName name="IQ_FCF_MEDIAN_EST_CIQ" hidden="1">"c18193"</definedName>
    <definedName name="IQ_FCF_NUM_EST" hidden="1">"c18168"</definedName>
    <definedName name="IQ_FCF_NUM_EST_CIQ" hidden="1">"c18221"</definedName>
    <definedName name="IQ_FCF_STDDEV_EST" hidden="1">"c18158"</definedName>
    <definedName name="IQ_FCF_STDDEV_EST_CIQ" hidden="1">"c18214"</definedName>
    <definedName name="IQ_FDI_INFLOWS" hidden="1">"c20651"</definedName>
    <definedName name="IQ_FDI_NET" hidden="1">"c20652"</definedName>
    <definedName name="IQ_FDI_OUTFLOWS" hidden="1">"c20653"</definedName>
    <definedName name="IQ_FDIC" hidden="1">"c417"</definedName>
    <definedName name="IQ_FDIC_CERT_NUMBER_FFIEC" hidden="1">"c20507"</definedName>
    <definedName name="IQ_FDIC_DEPOSIT_INSURANCE_FFIEC" hidden="1">"c13053"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_PURCHASED_SEC_SOLD_REPURCHASE_FFIEC" hidden="1">"c15489"</definedName>
    <definedName name="IQ_FED_FUND_PURCHASED_SEC_SOLD_REPURCHASE_THRIFT" hidden="1">"c24901"</definedName>
    <definedName name="IQ_FED_FUND_SOLD_SEC_PURCHASED_RESELL_FFIEC" hidden="1">"c15488"</definedName>
    <definedName name="IQ_FED_FUND_SOLD_SEC_PURCHASED_RESELL_THRIFT" hidden="1">"c24821"</definedName>
    <definedName name="IQ_FED_FUNDS_PURCH_SEC_SOLD_FAIR_VALUE_TOT_FFIEC" hidden="1">"c15406"</definedName>
    <definedName name="IQ_FED_FUNDS_PURCH_SEC_SOLD_LEVEL_1_FFIEC" hidden="1">"c15428"</definedName>
    <definedName name="IQ_FED_FUNDS_PURCH_SEC_SOLD_LEVEL_2_FFIEC" hidden="1">"c15441"</definedName>
    <definedName name="IQ_FED_FUNDS_PURCH_SEC_SOLD_LEVEL_3_FFIEC" hidden="1">"c15454"</definedName>
    <definedName name="IQ_FED_FUNDS_PURCHASED_DOM_FFIEC" hidden="1">"c12856"</definedName>
    <definedName name="IQ_FED_FUNDS_PURCHASED_FDIC" hidden="1">"c6343"</definedName>
    <definedName name="IQ_FED_FUNDS_PURCHASED_QUARTERLY_AVG_FFIEC" hidden="1">"c13090"</definedName>
    <definedName name="IQ_FED_FUNDS_PURCHASED_REPOS_TOTAL_ASSETS_THRIFT" hidden="1">"c25702"</definedName>
    <definedName name="IQ_FED_FUNDS_SOLD_DOM_FFIEC" hidden="1">"c12806"</definedName>
    <definedName name="IQ_FED_FUNDS_SOLD_FDIC" hidden="1">"c6307"</definedName>
    <definedName name="IQ_FED_FUNDS_SOLD_QUARTERLY_AVG_FFIEC" hidden="1">"c13080"</definedName>
    <definedName name="IQ_FED_FUNDS_SOLD_SEC_PURCH_FAIR_VALUE_TOT_FFIEC" hidden="1">"c15402"</definedName>
    <definedName name="IQ_FED_FUNDS_SOLD_SEC_PURCH_LEVEL_1_FFIEC" hidden="1">"c15424"</definedName>
    <definedName name="IQ_FED_FUNDS_SOLD_SEC_PURCH_LEVEL_2_FFIEC" hidden="1">"c15437"</definedName>
    <definedName name="IQ_FED_FUNDS_SOLD_SEC_PURCH_LEVEL_3_FFIEC" hidden="1">"c15450"</definedName>
    <definedName name="IQ_FEDERAL_FUNDS_PURCHASED_SEC_SOLD_UNDER_AGREEMENTS_REPURCHASE_AMOUNTS_NETTED_THRIFT" hidden="1">"c25528"</definedName>
    <definedName name="IQ_FEDERAL_FUNDS_PURCHASED_SEC_SOLD_UNDER_AGREEMENTS_REPURCHASE_LEVEL_1_THRIFT" hidden="1">"c25524"</definedName>
    <definedName name="IQ_FEDERAL_FUNDS_PURCHASED_SEC_SOLD_UNDER_AGREEMENTS_REPURCHASE_LEVEL_2_THRIFT" hidden="1">"c25525"</definedName>
    <definedName name="IQ_FEDERAL_FUNDS_PURCHASED_SEC_SOLD_UNDER_AGREEMENTS_REPURCHASE_LEVEL_3_THRIFT" hidden="1">"c25526"</definedName>
    <definedName name="IQ_FEDERAL_FUNDS_PURCHASED_SEC_SOLD_UNDER_AGREEMENTS_REPURCHASE_TOTAL_AFTER_NETTING_THRIFT" hidden="1">"c25529"</definedName>
    <definedName name="IQ_FEDERAL_FUNDS_PURCHASED_SEC_SOLD_UNDER_AGREEMENTS_REPURCHASE_TOTAL_BEFORE_NETTING_THRIFT" hidden="1">"c25527"</definedName>
    <definedName name="IQ_FEDERAL_FUNDS_SOLD_SEC_PURCHASED_UNDER_AGREEMENTS_RESELL_AMOUNTS_NETTED_THRIFT" hidden="1">"c25480"</definedName>
    <definedName name="IQ_FEDERAL_FUNDS_SOLD_SEC_PURCHASED_UNDER_AGREEMENTS_RESELL_LEVEL_1_THRIFT" hidden="1">"c25476"</definedName>
    <definedName name="IQ_FEDERAL_FUNDS_SOLD_SEC_PURCHASED_UNDER_AGREEMENTS_RESELL_LEVEL_2_THRIFT" hidden="1">"c25477"</definedName>
    <definedName name="IQ_FEDERAL_FUNDS_SOLD_SEC_PURCHASED_UNDER_AGREEMENTS_RESELL_LEVEL_3_THRIFT" hidden="1">"c25478"</definedName>
    <definedName name="IQ_FEDERAL_FUNDS_SOLD_SEC_PURCHASED_UNDER_AGREEMENTS_RESELL_TOTAL_AFTER_NETTING_THRIFT" hidden="1">"c25481"</definedName>
    <definedName name="IQ_FEDERAL_FUNDS_SOLD_SEC_PURCHASED_UNDER_AGREEMENTS_RESELL_TOTAL_BEFORE_NETTING_THRIFT" hidden="1">"c25479"</definedName>
    <definedName name="IQ_FEDERAL_INC_TAXES_THRIFT" hidden="1">"c24816"</definedName>
    <definedName name="IQ_FEDFUNDS_PURCHASED_RELATED" hidden="1">"c19132"</definedName>
    <definedName name="IQ_FEDFUNDS_SOLD" hidden="1">"c2256"</definedName>
    <definedName name="IQ_FEDFUNDS_SOLD_RELATED" hidden="1">"c19130"</definedName>
    <definedName name="IQ_FEE_INCOME_COMM_LOANS_THRIFT" hidden="1">"c24751"</definedName>
    <definedName name="IQ_FEE_INCOME_CONSUMER_LOANS_THRIFT" hidden="1">"c24752"</definedName>
    <definedName name="IQ_FEE_INCOME_MORTGAGE_LOANS_THRIFT" hidden="1">"c24750"</definedName>
    <definedName name="IQ_FEES_COMMISSIONS_BROKERAGE_FFIEC" hidden="1">"c13005"</definedName>
    <definedName name="IQ_FEES_OTHER_INCOME" hidden="1">"c15257"</definedName>
    <definedName name="IQ_FFO" hidden="1">"c1574"</definedName>
    <definedName name="IQ_FFO_ACT_OR_EST" hidden="1">"c4446"</definedName>
    <definedName name="IQ_FFO_ADJ_ACT_OR_EST" hidden="1">"c4435"</definedName>
    <definedName name="IQ_FFO_ADJ_ACT_OR_EST_CIQ" hidden="1">"c4960"</definedName>
    <definedName name="IQ_FFO_ADJ_EST" hidden="1">"c4434"</definedName>
    <definedName name="IQ_FFO_ADJ_GUIDANCE" hidden="1">"c4436"</definedName>
    <definedName name="IQ_FFO_ADJ_HIGH_EST" hidden="1">"c4437"</definedName>
    <definedName name="IQ_FFO_ADJ_HIGH_GUIDANCE" hidden="1">"c4202"</definedName>
    <definedName name="IQ_FFO_ADJ_LOW_EST" hidden="1">"c4438"</definedName>
    <definedName name="IQ_FFO_ADJ_LOW_GUIDANCE" hidden="1">"c4242"</definedName>
    <definedName name="IQ_FFO_ADJ_MEDIAN_EST" hidden="1">"c4439"</definedName>
    <definedName name="IQ_FFO_ADJ_NUM_EST" hidden="1">"c4440"</definedName>
    <definedName name="IQ_FFO_ADJ_REIT_DET_EST_CIQ" hidden="1">"c24650"</definedName>
    <definedName name="IQ_FFO_ADJ_REIT_DET_EST_CURRENCY_CIQ" hidden="1">"c24654"</definedName>
    <definedName name="IQ_FFO_ADJ_REIT_DET_EST_DATE_CIQ" hidden="1">"c24651"</definedName>
    <definedName name="IQ_FFO_ADJ_REIT_DET_EST_INCL_CIQ" hidden="1">"c24652"</definedName>
    <definedName name="IQ_FFO_ADJ_REIT_DET_EST_NOTE_CIQ" hidden="1">"c24653"</definedName>
    <definedName name="IQ_FFO_ADJ_REIT_DET_EST_ORIGIN_CIQ" hidden="1">"c24655"</definedName>
    <definedName name="IQ_FFO_ADJ_REIT_EST_CIQ" hidden="1">"c4959"</definedName>
    <definedName name="IQ_FFO_ADJ_REIT_EST_DOWN_2MONTH_CIQ" hidden="1">"c24662"</definedName>
    <definedName name="IQ_FFO_ADJ_REIT_EST_DOWN_3MONTH_CIQ" hidden="1">"c24666"</definedName>
    <definedName name="IQ_FFO_ADJ_REIT_EST_DOWN_MONTH_CIQ" hidden="1">"c24658"</definedName>
    <definedName name="IQ_FFO_ADJ_REIT_EST_NOTE_CIQ" hidden="1">"c24649"</definedName>
    <definedName name="IQ_FFO_ADJ_REIT_EST_NUM_ANALYSTS_2MONTH_CIQ" hidden="1">"c24660"</definedName>
    <definedName name="IQ_FFO_ADJ_REIT_EST_NUM_ANALYSTS_3MONTH_CIQ" hidden="1">"c24664"</definedName>
    <definedName name="IQ_FFO_ADJ_REIT_EST_NUM_ANALYSTS_MONTH_CIQ" hidden="1">"c24656"</definedName>
    <definedName name="IQ_FFO_ADJ_REIT_EST_TOTAL_REVISED_2MONTH_CIQ" hidden="1">"c24663"</definedName>
    <definedName name="IQ_FFO_ADJ_REIT_EST_TOTAL_REVISED_3MONTH_CIQ" hidden="1">"c24667"</definedName>
    <definedName name="IQ_FFO_ADJ_REIT_EST_TOTAL_REVISED_MONTH_CIQ" hidden="1">"c24659"</definedName>
    <definedName name="IQ_FFO_ADJ_REIT_EST_UP_2MONTH_CIQ" hidden="1">"c24661"</definedName>
    <definedName name="IQ_FFO_ADJ_REIT_EST_UP_3MONTH_CIQ" hidden="1">"c24665"</definedName>
    <definedName name="IQ_FFO_ADJ_REIT_EST_UP_MONTH_CIQ" hidden="1">"c24657"</definedName>
    <definedName name="IQ_FFO_ADJ_REIT_HIGH_EST_CIQ" hidden="1">"c4962"</definedName>
    <definedName name="IQ_FFO_ADJ_REIT_LOW_EST_CIQ" hidden="1">"c4963"</definedName>
    <definedName name="IQ_FFO_ADJ_REIT_MEDIAN_EST_CIQ" hidden="1">"c4964"</definedName>
    <definedName name="IQ_FFO_ADJ_REIT_NUM_EST_CIQ" hidden="1">"c4965"</definedName>
    <definedName name="IQ_FFO_ADJ_REIT_STDDEV_EST_CIQ" hidden="1">"c4966"</definedName>
    <definedName name="IQ_FFO_ADJ_STDDEV_EST" hidden="1">"c4441"</definedName>
    <definedName name="IQ_FFO_DILUTED" hidden="1">"c16186"</definedName>
    <definedName name="IQ_FFO_EST" hidden="1">"c273"</definedName>
    <definedName name="IQ_FFO_GUIDANCE" hidden="1">"c4443"</definedName>
    <definedName name="IQ_FFO_HIGH_EST" hidden="1">"c274"</definedName>
    <definedName name="IQ_FFO_HIGH_GUIDANCE" hidden="1">"c4184"</definedName>
    <definedName name="IQ_FFO_LOW_EST" hidden="1">"c275"</definedName>
    <definedName name="IQ_FFO_LOW_GUIDANCE" hidden="1">"c4224"</definedName>
    <definedName name="IQ_FFO_MEDIAN_EST" hidden="1">"c1665"</definedName>
    <definedName name="IQ_FFO_NUM_EST" hidden="1">"c276"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REIT_DET_EST_CIQ" hidden="1">"c24631"</definedName>
    <definedName name="IQ_FFO_REIT_DET_EST_CURRENCY_CIQ" hidden="1">"c24635"</definedName>
    <definedName name="IQ_FFO_REIT_DET_EST_DATE_CIQ" hidden="1">"c24632"</definedName>
    <definedName name="IQ_FFO_REIT_DET_EST_INCL_CIQ" hidden="1">"c24633"</definedName>
    <definedName name="IQ_FFO_REIT_DET_EST_NOTE_CIQ" hidden="1">"c24634"</definedName>
    <definedName name="IQ_FFO_REIT_DET_EST_ORIGIN_CIQ" hidden="1">"c24636"</definedName>
    <definedName name="IQ_FFO_REIT_EST_CIQ" hidden="1">"c4970"</definedName>
    <definedName name="IQ_FFO_REIT_EST_DOWN_2MONTH_CIQ" hidden="1">"c24643"</definedName>
    <definedName name="IQ_FFO_REIT_EST_DOWN_3MONTH_CIQ" hidden="1">"c24647"</definedName>
    <definedName name="IQ_FFO_REIT_EST_DOWN_MONTH_CIQ" hidden="1">"c24639"</definedName>
    <definedName name="IQ_FFO_REIT_EST_NOTE_CIQ" hidden="1">"c24630"</definedName>
    <definedName name="IQ_FFO_REIT_EST_NUM_ANALYSTS_2MONTH_CIQ" hidden="1">"c24641"</definedName>
    <definedName name="IQ_FFO_REIT_EST_NUM_ANALYSTS_3MONTH_CIQ" hidden="1">"c24645"</definedName>
    <definedName name="IQ_FFO_REIT_EST_NUM_ANALYSTS_MONTH_CIQ" hidden="1">"c24637"</definedName>
    <definedName name="IQ_FFO_REIT_EST_TOTAL_REVISED_2MONTH_CIQ" hidden="1">"c24644"</definedName>
    <definedName name="IQ_FFO_REIT_EST_TOTAL_REVISED_3MONTH_CIQ" hidden="1">"c24648"</definedName>
    <definedName name="IQ_FFO_REIT_EST_TOTAL_REVISED_MONTH_CIQ" hidden="1">"c24640"</definedName>
    <definedName name="IQ_FFO_REIT_EST_UP_2MONTH_CIQ" hidden="1">"c24642"</definedName>
    <definedName name="IQ_FFO_REIT_EST_UP_3MONTH_CIQ" hidden="1">"c24646"</definedName>
    <definedName name="IQ_FFO_REIT_EST_UP_MONTH_CIQ" hidden="1">"c24638"</definedName>
    <definedName name="IQ_FFO_REIT_HIGH_EST_CIQ" hidden="1">"c4977"</definedName>
    <definedName name="IQ_FFO_REIT_LOW_EST_CIQ" hidden="1">"c4978"</definedName>
    <definedName name="IQ_FFO_REIT_MEDIAN_EST_CIQ" hidden="1">"c4979"</definedName>
    <definedName name="IQ_FFO_REIT_NUM_EST_CIQ" hidden="1">"c4980"</definedName>
    <definedName name="IQ_FFO_REIT_STDDEV_EST_CIQ" hidden="1">"c4981"</definedName>
    <definedName name="IQ_FFO_SHARE_ACT_OR_EST" hidden="1">"c2216"</definedName>
    <definedName name="IQ_FFO_SHARE_ACT_OR_EST_CIQ" hidden="1">"c4971"</definedName>
    <definedName name="IQ_FFO_SHARE_EST" hidden="1">"c418"</definedName>
    <definedName name="IQ_FFO_SHARE_EST_CIQ" hidden="1">"c3668"</definedName>
    <definedName name="IQ_FFO_SHARE_EST_DET_EST" hidden="1">"c12059"</definedName>
    <definedName name="IQ_FFO_SHARE_EST_DET_EST_CIQ" hidden="1">"c12121"</definedName>
    <definedName name="IQ_FFO_SHARE_EST_DET_EST_CURRENCY" hidden="1">"c12466"</definedName>
    <definedName name="IQ_FFO_SHARE_EST_DET_EST_CURRENCY_CIQ" hidden="1">"c12512"</definedName>
    <definedName name="IQ_FFO_SHARE_EST_DET_EST_DATE" hidden="1">"c12212"</definedName>
    <definedName name="IQ_FFO_SHARE_EST_DET_EST_DATE_CIQ" hidden="1">"c12267"</definedName>
    <definedName name="IQ_FFO_SHARE_EST_DET_EST_INCL" hidden="1">"c12349"</definedName>
    <definedName name="IQ_FFO_SHARE_EST_DET_EST_INCL_CIQ" hidden="1">"c12395"</definedName>
    <definedName name="IQ_FFO_SHARE_EST_DET_EST_ORIGIN" hidden="1">"c12722"</definedName>
    <definedName name="IQ_FFO_SHARE_EST_DET_EST_ORIGIN_CIQ" hidden="1">"c12720"</definedName>
    <definedName name="IQ_FFO_SHARE_EST_DOWN_2MONTH" hidden="1">"c16585"</definedName>
    <definedName name="IQ_FFO_SHARE_EST_DOWN_2MONTH_CIQ" hidden="1">"c16849"</definedName>
    <definedName name="IQ_FFO_SHARE_EST_DOWN_3MONTH" hidden="1">"c16589"</definedName>
    <definedName name="IQ_FFO_SHARE_EST_DOWN_3MONTH_CIQ" hidden="1">"c16853"</definedName>
    <definedName name="IQ_FFO_SHARE_EST_DOWN_MONTH" hidden="1">"c16581"</definedName>
    <definedName name="IQ_FFO_SHARE_EST_DOWN_MONTH_CIQ" hidden="1">"c16845"</definedName>
    <definedName name="IQ_FFO_SHARE_EST_NUM_ANALYSTS_2MONTH" hidden="1">"c16583"</definedName>
    <definedName name="IQ_FFO_SHARE_EST_NUM_ANALYSTS_2MONTH_CIQ" hidden="1">"c16847"</definedName>
    <definedName name="IQ_FFO_SHARE_EST_NUM_ANALYSTS_3MONTH" hidden="1">"c16587"</definedName>
    <definedName name="IQ_FFO_SHARE_EST_NUM_ANALYSTS_3MONTH_CIQ" hidden="1">"c16851"</definedName>
    <definedName name="IQ_FFO_SHARE_EST_NUM_ANALYSTS_MONTH" hidden="1">"c16579"</definedName>
    <definedName name="IQ_FFO_SHARE_EST_NUM_ANALYSTS_MONTH_CIQ" hidden="1">"c16843"</definedName>
    <definedName name="IQ_FFO_SHARE_EST_TOTAL_REVISED_2MONTH" hidden="1">"c16586"</definedName>
    <definedName name="IQ_FFO_SHARE_EST_TOTAL_REVISED_2MONTH_CIQ" hidden="1">"c16850"</definedName>
    <definedName name="IQ_FFO_SHARE_EST_TOTAL_REVISED_3MONTH" hidden="1">"c16590"</definedName>
    <definedName name="IQ_FFO_SHARE_EST_TOTAL_REVISED_3MONTH_CIQ" hidden="1">"c16854"</definedName>
    <definedName name="IQ_FFO_SHARE_EST_TOTAL_REVISED_MONTH" hidden="1">"c16582"</definedName>
    <definedName name="IQ_FFO_SHARE_EST_TOTAL_REVISED_MONTH_CIQ" hidden="1">"c16846"</definedName>
    <definedName name="IQ_FFO_SHARE_EST_UP_2MONTH" hidden="1">"c16584"</definedName>
    <definedName name="IQ_FFO_SHARE_EST_UP_2MONTH_CIQ" hidden="1">"c16848"</definedName>
    <definedName name="IQ_FFO_SHARE_EST_UP_3MONTH" hidden="1">"c16588"</definedName>
    <definedName name="IQ_FFO_SHARE_EST_UP_3MONTH_CIQ" hidden="1">"c16852"</definedName>
    <definedName name="IQ_FFO_SHARE_EST_UP_MONTH" hidden="1">"c16580"</definedName>
    <definedName name="IQ_FFO_SHARE_EST_UP_MONTH_CIQ" hidden="1">"c16844"</definedName>
    <definedName name="IQ_FFO_SHARE_GUIDANCE" hidden="1">"c4447"</definedName>
    <definedName name="IQ_FFO_SHARE_HIGH_EST" hidden="1">"c419"</definedName>
    <definedName name="IQ_FFO_SHARE_HIGH_EST_CIQ" hidden="1">"c3670"</definedName>
    <definedName name="IQ_FFO_SHARE_HIGH_GUIDANCE" hidden="1">"c4203"</definedName>
    <definedName name="IQ_FFO_SHARE_LOW_EST" hidden="1">"c420"</definedName>
    <definedName name="IQ_FFO_SHARE_LOW_EST_CIQ" hidden="1">"c3671"</definedName>
    <definedName name="IQ_FFO_SHARE_LOW_GUIDANCE" hidden="1">"c4243"</definedName>
    <definedName name="IQ_FFO_SHARE_MEDIAN_EST" hidden="1">"c1665"</definedName>
    <definedName name="IQ_FFO_SHARE_MEDIAN_EST_CIQ" hidden="1">"c3669"</definedName>
    <definedName name="IQ_FFO_SHARE_NUM_EST" hidden="1">"c421"</definedName>
    <definedName name="IQ_FFO_SHARE_NUM_EST_CIQ" hidden="1">"c3672"</definedName>
    <definedName name="IQ_FFO_SHARE_STDDEV_EST" hidden="1">"c422"</definedName>
    <definedName name="IQ_FFO_SHARE_STDDEV_EST_CIQ" hidden="1">"c3673"</definedName>
    <definedName name="IQ_FFO_SHARES_BASIC" hidden="1">"c16185"</definedName>
    <definedName name="IQ_FFO_SHARES_DILUTED" hidden="1">"c16187"</definedName>
    <definedName name="IQ_FFO_STDDEV_EST" hidden="1">"c277"</definedName>
    <definedName name="IQ_FFO_TOTAL_REVENUE" hidden="1">"c16060"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HLB_STOCK_NOT_CARRIED_FV_THRIFT" hidden="1">"c24880"</definedName>
    <definedName name="IQ_FIDUCIARY_ACTIVITIES_FDIC" hidden="1">"c6571"</definedName>
    <definedName name="IQ_FIDUCIARY_ACTIVITIES_INCOME_ADJUSTED_OPERATING_INCOME_THRIFT" hidden="1">"c25689"</definedName>
    <definedName name="IQ_FIDUCIARY_INCOME_OPERATING_INC_FFIEC" hidden="1">"c13383"</definedName>
    <definedName name="IQ_FIDUCIARY_MANAGED_ASSETS_THRIFT" hidden="1">"c25438"</definedName>
    <definedName name="IQ_FIDUCIARY_RELATED_SERVICES_EXP_THRIFT" hidden="1">"c24812"</definedName>
    <definedName name="IQ_FIFETEEN_YEAR_FIXED_AND_FLOATING_RATE_FDIC" hidden="1">"c6423"</definedName>
    <definedName name="IQ_FIFETEEN_YEAR_MORTGAGE_PASS_THROUGHS_FDIC" hidden="1">"c6415"</definedName>
    <definedName name="IQ_FII_12M_RETURN" hidden="1">"c25807"</definedName>
    <definedName name="IQ_FII_3M_RETURN" hidden="1">"c25808"</definedName>
    <definedName name="IQ_FII_6M_RETURN" hidden="1">"c25809"</definedName>
    <definedName name="IQ_FII_AVGBIDSPREAD" hidden="1">"c25820"</definedName>
    <definedName name="IQ_FII_CONVEX" hidden="1">"c25799"</definedName>
    <definedName name="IQ_FII_COUPON" hidden="1">"c25800"</definedName>
    <definedName name="IQ_FII_DAILY_RETURN" hidden="1">"c25810"</definedName>
    <definedName name="IQ_FII_DURTW" hidden="1">"c25802"</definedName>
    <definedName name="IQ_FII_EXCESS_RETURN" hidden="1">"c25819"</definedName>
    <definedName name="IQ_FII_INDEXPRICE" hidden="1">"c25806"</definedName>
    <definedName name="IQ_FII_MATURITY" hidden="1">"c25804"</definedName>
    <definedName name="IQ_FII_MODDUR" hidden="1">"c25801"</definedName>
    <definedName name="IQ_FII_MTD_RETURN_COUPON" hidden="1">"c25813"</definedName>
    <definedName name="IQ_FII_MTD_RETURN_CURRENCY" hidden="1">"c25814"</definedName>
    <definedName name="IQ_FII_MTD_RETURN_PAYDOWN" hidden="1">"c25815"</definedName>
    <definedName name="IQ_FII_MTD_RETURN_PRICE" hidden="1">"c25816"</definedName>
    <definedName name="IQ_FII_MTD_RETURN_TOTAL" hidden="1">"c25812"</definedName>
    <definedName name="IQ_FII_MV" hidden="1">"c25803"</definedName>
    <definedName name="IQ_FII_NUMISSUE" hidden="1">"c25805"</definedName>
    <definedName name="IQ_FII_OAS" hidden="1">"c25798"</definedName>
    <definedName name="IQ_FII_RETURN_INCEPTION" hidden="1">"c25811"</definedName>
    <definedName name="IQ_FII_YTD_RETURN" hidden="1">"c25817"</definedName>
    <definedName name="IQ_FII_YTW" hidden="1">"c25818"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ARCHITECTURE" hidden="1">"c20386"</definedName>
    <definedName name="IQ_FIN_COLLECTION_ID" hidden="1">"c13922"</definedName>
    <definedName name="IQ_FIN_DATA_SOURCE" hidden="1">"c6788"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CURRENT_PORT_DEBT_TOTAL" hidden="1">"c5524"</definedName>
    <definedName name="IQ_FIN_DIV_CURRENT_PORT_LEASES_TOTAL" hidden="1">"c5523"</definedName>
    <definedName name="IQ_FIN_DIV_DEBT_CURRENT" hidden="1">"c429"</definedName>
    <definedName name="IQ_FIN_DIV_DEBT_LT" hidden="1">"c430"</definedName>
    <definedName name="IQ_FIN_DIV_DEBT_LT_TOTAL" hidden="1">"c5526"</definedName>
    <definedName name="IQ_FIN_DIV_DEBT_TOTAL" hidden="1">"c5656"</definedName>
    <definedName name="IQ_FIN_DIV_EXP" hidden="1">"c431"</definedName>
    <definedName name="IQ_FIN_DIV_INT_EXP" hidden="1">"c432"</definedName>
    <definedName name="IQ_FIN_DIV_LEASES_LT_TOTAL" hidden="1">"c5525"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MINORITY_INT_REDEEM" hidden="1">"c25788"</definedName>
    <definedName name="IQ_FIN_DIV_MINORITY_INTEREST" hidden="1">"c25790"</definedName>
    <definedName name="IQ_FIN_DIV_NOTES_PAY_TOTAL" hidden="1">"c5522"</definedName>
    <definedName name="IQ_FIN_DIV_REV" hidden="1">"c437"</definedName>
    <definedName name="IQ_FIN_DIV_ST_DEBT_TOTAL" hidden="1">"c5527"</definedName>
    <definedName name="IQ_FIN_DIV_ST_INVEST" hidden="1">"c6288"</definedName>
    <definedName name="IQ_FIN_INST_UNUSED_FFIEC" hidden="1">"c25860"</definedName>
    <definedName name="IQ_FIN_INSTANCE_ID" hidden="1">"c13921"</definedName>
    <definedName name="IQ_FIN_PERIOD_ID" hidden="1">"c13920"</definedName>
    <definedName name="IQ_FINANCIAL_ASSETS_CARRIED_FV_THROUGH_EARNINGS_THRIFT" hidden="1">"c24931"</definedName>
    <definedName name="IQ_FINANCIAL_ASSETS_HELD_TRADING_PURPOSES_THRIFT" hidden="1">"c24930"</definedName>
    <definedName name="IQ_FINANCIAL_LIABILITIES_CARRIED_FV_THROUGH_EARNINGS_THRIFT" hidden="1">"c24932"</definedName>
    <definedName name="IQ_FINANCIAL_LOC_FOREIGN_GUARANTEES_FFIEC" hidden="1">"c13249"</definedName>
    <definedName name="IQ_FINANCIAL_SERVICING_ASSETS_FAIR_VALUE_TOT_FFIEC" hidden="1">"c13212"</definedName>
    <definedName name="IQ_FINANCIAL_SERVICING_ASSETS_LEVEL_1_FFIEC" hidden="1">"c13220"</definedName>
    <definedName name="IQ_FINANCIAL_SERVICING_ASSETS_LEVEL_2_FFIEC" hidden="1">"c13228"</definedName>
    <definedName name="IQ_FINANCIAL_SERVICING_ASSETS_LEVEL_3_FFIEC" hidden="1">"c13236"</definedName>
    <definedName name="IQ_FINANCIAL_SERVICING_LIAB_FAIR_VALUE_TOT_FFIEC" hidden="1">"c13215"</definedName>
    <definedName name="IQ_FINANCIAL_SERVICING_LIAB_LEVEL_1_FFIEC" hidden="1">"c13223"</definedName>
    <definedName name="IQ_FINANCIAL_SERVICING_LIAB_LEVEL_2_FFIEC" hidden="1">"c13231"</definedName>
    <definedName name="IQ_FINANCIAL_SERVICING_LIAB_LEVEL_3_FFIEC" hidden="1">"c13239"</definedName>
    <definedName name="IQ_FINANCING_CASH" localSheetId="12" hidden="1">"c1405"</definedName>
    <definedName name="IQ_FINANCING_CASH" localSheetId="7" hidden="1">"c1405"</definedName>
    <definedName name="IQ_FINANCING_CASH" hidden="1">"c129"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BALANCE_PCT_GDP" hidden="1">"c20654"</definedName>
    <definedName name="IQ_FISCAL_Q" localSheetId="12" hidden="1">"c440"</definedName>
    <definedName name="IQ_FISCAL_Q" localSheetId="7" hidden="1">"c440"</definedName>
    <definedName name="IQ_FISCAL_Q" hidden="1">"c245"</definedName>
    <definedName name="IQ_FISCAL_Q_EST" hidden="1">"c6794"</definedName>
    <definedName name="IQ_FISCAL_Q_EST_CIQ" hidden="1">"c6806"</definedName>
    <definedName name="IQ_FISCAL_Y" localSheetId="12" hidden="1">"c441"</definedName>
    <definedName name="IQ_FISCAL_Y" localSheetId="7" hidden="1">"c441"</definedName>
    <definedName name="IQ_FISCAL_Y" hidden="1">"c247"</definedName>
    <definedName name="IQ_FISCAL_Y_EST" hidden="1">"c6795"</definedName>
    <definedName name="IQ_FISCAL_Y_EST_CIQ" hidden="1">"c6807"</definedName>
    <definedName name="IQ_FISCAL_YEAR_END_THRIFT" hidden="1">"c25020"</definedName>
    <definedName name="IQ_FIVE_PERCENT_CIQID" hidden="1">"c19094"</definedName>
    <definedName name="IQ_FIVE_PERCENT_DERIVATIVES" hidden="1">"c19096"</definedName>
    <definedName name="IQ_FIVE_PERCENT_NAME" hidden="1">"c19093"</definedName>
    <definedName name="IQ_FIVE_PERCENT_OWNER" localSheetId="12" hidden="1">"c442"</definedName>
    <definedName name="IQ_FIVE_PERCENT_OWNER" localSheetId="7" hidden="1">"c442"</definedName>
    <definedName name="IQ_FIVE_PERCENT_OWNER" hidden="1">"c239"</definedName>
    <definedName name="IQ_FIVE_PERCENT_PERCENT" hidden="1">"c19097"</definedName>
    <definedName name="IQ_FIVE_PERCENT_POSITION_DATE" hidden="1">"c19099"</definedName>
    <definedName name="IQ_FIVE_PERCENT_SHARES" hidden="1">"c19095"</definedName>
    <definedName name="IQ_FIVE_PERCENT_VALUE" hidden="1">"c19098"</definedName>
    <definedName name="IQ_FIVE_YEAR_FIXED_AND_FLOATING_RATE_FDIC" hidden="1">"c6422"</definedName>
    <definedName name="IQ_FIVE_YEAR_MORTGAGE_PASS_THROUGHS_FDIC" hidden="1">"c6414"</definedName>
    <definedName name="IQ_FIVEPERCENT_PERCENT" localSheetId="12" hidden="1">"c443"</definedName>
    <definedName name="IQ_FIVEPERCENT_PERCENT" localSheetId="7" hidden="1">"c443"</definedName>
    <definedName name="IQ_FIVEPERCENT_PERCENT" hidden="1">"c240"</definedName>
    <definedName name="IQ_FIVEPERCENT_SHARES" localSheetId="12" hidden="1">"c444"</definedName>
    <definedName name="IQ_FIVEPERCENT_SHARES" localSheetId="7" hidden="1">"c444"</definedName>
    <definedName name="IQ_FIVEPERCENT_SHARES" hidden="1">"c251"</definedName>
    <definedName name="IQ_FIX_FREQUENCY" hidden="1">"c8964"</definedName>
    <definedName name="IQ_FIXED_ASSET_TURNS" hidden="1">"c445"</definedName>
    <definedName name="IQ_FIXED_INCOME_LIST" hidden="1">"c13504"</definedName>
    <definedName name="IQ_FIXED_INVEST_APR_FC_UNUSED" hidden="1">"c8410"</definedName>
    <definedName name="IQ_FIXED_INVEST_APR_FC_UNUSED_UNUSED_UNUSED" hidden="1">"c8410"</definedName>
    <definedName name="IQ_FIXED_INVEST_APR_UNUSED" hidden="1">"c7530"</definedName>
    <definedName name="IQ_FIXED_INVEST_APR_UNUSED_UNUSED_UNUSED" hidden="1">"c7530"</definedName>
    <definedName name="IQ_FIXED_INVEST_FC_UNUSED" hidden="1">"c7750"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" hidden="1">"c7970"</definedName>
    <definedName name="IQ_FIXED_INVEST_POP_FC_UNUSED_UNUSED_UNUSED" hidden="1">"c7970"</definedName>
    <definedName name="IQ_FIXED_INVEST_POP_UNUSED" hidden="1">"c7090"</definedName>
    <definedName name="IQ_FIXED_INVEST_POP_UNUSED_UNUSED_UNUSED" hidden="1">"c7090"</definedName>
    <definedName name="IQ_FIXED_INVEST_REAL_APR_FC_UNUSED" hidden="1">"c8518"</definedName>
    <definedName name="IQ_FIXED_INVEST_REAL_APR_FC_UNUSED_UNUSED_UNUSED" hidden="1">"c8518"</definedName>
    <definedName name="IQ_FIXED_INVEST_REAL_APR_UNUSED" hidden="1">"c7638"</definedName>
    <definedName name="IQ_FIXED_INVEST_REAL_APR_UNUSED_UNUSED_UNUSED" hidden="1">"c7638"</definedName>
    <definedName name="IQ_FIXED_INVEST_REAL_FC_UNUSED" hidden="1">"c7858"</definedName>
    <definedName name="IQ_FIXED_INVEST_REAL_FC_UNUSED_UNUSED_UNUSED" hidden="1">"c7858"</definedName>
    <definedName name="IQ_FIXED_INVEST_REAL_POP_FC_UNUSED" hidden="1">"c8078"</definedName>
    <definedName name="IQ_FIXED_INVEST_REAL_POP_FC_UNUSED_UNUSED_UNUSED" hidden="1">"c8078"</definedName>
    <definedName name="IQ_FIXED_INVEST_REAL_POP_UNUSED" hidden="1">"c7198"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" hidden="1">"c6978"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" hidden="1">"c8298"</definedName>
    <definedName name="IQ_FIXED_INVEST_REAL_YOY_FC_UNUSED_UNUSED_UNUSED" hidden="1">"c8298"</definedName>
    <definedName name="IQ_FIXED_INVEST_REAL_YOY_UNUSED" hidden="1">"c7418"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" hidden="1">"c6870"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" hidden="1">"c8190"</definedName>
    <definedName name="IQ_FIXED_INVEST_YOY_FC_UNUSED_UNUSED_UNUSED" hidden="1">"c8190"</definedName>
    <definedName name="IQ_FIXED_INVEST_YOY_UNUSED" hidden="1">"c7310"</definedName>
    <definedName name="IQ_FIXED_INVEST_YOY_UNUSED_UNUSED_UNUSED" hidden="1">"c7310"</definedName>
    <definedName name="IQ_FIXED_RATE_DEBT" hidden="1">"c17894"</definedName>
    <definedName name="IQ_FIXED_RATE_DEBT_PCT" hidden="1">"c18008"</definedName>
    <definedName name="IQ_FLOAT" hidden="1">"c17421"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_GNMA_LOANS_FFIEC" hidden="1">"c15272"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DUE_30_89_FFIEC" hidden="1">"c13269"</definedName>
    <definedName name="IQ_FOREIGN_BANKS_DUE_90_FFIEC" hidden="1">"c13295"</definedName>
    <definedName name="IQ_FOREIGN_BANKS_LOAN_CHARG_OFFS_FDIC" hidden="1">"c6645"</definedName>
    <definedName name="IQ_FOREIGN_BANKS_NET_CHARGE_OFFS_FDIC" hidden="1">"c6647"</definedName>
    <definedName name="IQ_FOREIGN_BANKS_NON_ACCRUAL_FFIEC" hidden="1">"c13321"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.S._BANKS_LOANS_FDIC" hidden="1">"c6438"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ASSETS_TOT_FFIEC" hidden="1">"c13445"</definedName>
    <definedName name="IQ_FOREIGN_DEPOSITS_NONTRANSACTION_ACCOUNTS_FDIC" hidden="1">"c6549"</definedName>
    <definedName name="IQ_FOREIGN_DEPOSITS_TOT_FFIEC" hidden="1">"c13486"</definedName>
    <definedName name="IQ_FOREIGN_DEPOSITS_TOTAL_DEPOSITS" hidden="1">"c15719"</definedName>
    <definedName name="IQ_FOREIGN_DEPOSITS_TRANSACTION_ACCOUNTS_FDIC" hidden="1">"c6541"</definedName>
    <definedName name="IQ_FOREIGN_EXCHANGE" localSheetId="12" hidden="1">"c1376"</definedName>
    <definedName name="IQ_FOREIGN_EXCHANGE" localSheetId="7" hidden="1">"c1376"</definedName>
    <definedName name="IQ_FOREIGN_EXCHANGE" hidden="1">"c134"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GOVT_OFFICIAL_INST_FOREIGN_DEP_FFIEC" hidden="1">"c15345"</definedName>
    <definedName name="IQ_FOREIGN_GOVT_OFFICIAL_INST_NON_TRANS_ACCTS_FFIEC" hidden="1">"c15327"</definedName>
    <definedName name="IQ_FOREIGN_GOVT_OFFICIAL_INST_TRANS_ACCTS_FFIEC" hidden="1">"c15319"</definedName>
    <definedName name="IQ_FOREIGN_LL_REC_FFIEC" hidden="1">"c12892"</definedName>
    <definedName name="IQ_FOREIGN_LOANS" hidden="1">"c448"</definedName>
    <definedName name="IQ_FOREIGN_LOANS_LEASES_FOREIGN_FFIEC" hidden="1">"c13478"</definedName>
    <definedName name="IQ_FOREIGN_LOANS_TOTAL_LOANS" hidden="1">"c15714"</definedName>
    <definedName name="IQ_FOUNDATION_OVER_TOTAL" hidden="1">"c24735"</definedName>
    <definedName name="IQ_FOUNDATIONS_ENDOWMENT_ACCOUNTS_MANAGED_ASSETS_THRIFT" hidden="1">"c25354"</definedName>
    <definedName name="IQ_FOUNDATIONS_ENDOWMENT_ACCOUNTS_NONMANAGED_ASSETS_THRIFT" hidden="1">"c25375"</definedName>
    <definedName name="IQ_FOUNDATIONS_ENDOWMENT_ACCOUNTS_NUMBER_MANAGED_ACCOUNTS_THRIFT" hidden="1">"c25365"</definedName>
    <definedName name="IQ_FOUNDATIONS_ENDOWMENT_ACCOUNTS_NUMBER_NONMANAGED_ACCOUNTS_THRIFT" hidden="1">"c25387"</definedName>
    <definedName name="IQ_FOUNDATIONS_ENDOWMENTS_INC_THRIFT" hidden="1">"c24807"</definedName>
    <definedName name="IQ_FQ" hidden="1">500</definedName>
    <definedName name="IQ_FTOOL_CAPEX" hidden="1">"c16212"</definedName>
    <definedName name="IQ_FTOOL_CASH" hidden="1">"c16213"</definedName>
    <definedName name="IQ_FTOOL_CASH_INVEST" hidden="1">"c16214"</definedName>
    <definedName name="IQ_FTOOL_EBT" hidden="1">"c16215"</definedName>
    <definedName name="IQ_FTOOL_NI" hidden="1">"c16216"</definedName>
    <definedName name="IQ_FTOOL_NI_CF" hidden="1">"c16206"</definedName>
    <definedName name="IQ_FTOOL_NUMBER_SHAREHOLDERS" hidden="1">"c16207"</definedName>
    <definedName name="IQ_FTOOL_SHARES_PER_DR" hidden="1">"c16208"</definedName>
    <definedName name="IQ_FTOOL_TOTAL_ASSETS" hidden="1">"c16209"</definedName>
    <definedName name="IQ_FTOOL_TOTAL_LIAB_EQUITY" hidden="1">"c16210"</definedName>
    <definedName name="IQ_FTOOL_TOTAL_REV" hidden="1">"c16211"</definedName>
    <definedName name="IQ_FUEL" hidden="1">"c449"</definedName>
    <definedName name="IQ_FULL_TIME" hidden="1">"c450"</definedName>
    <definedName name="IQ_FULLY_INSURED_BROKERED_DEPOSITS_FFIEC" hidden="1">"c15305"</definedName>
    <definedName name="IQ_FULLY_INSURED_BROKERED_TIME_DEPOSITS_THRIFT" hidden="1">"c25005"</definedName>
    <definedName name="IQ_FULLY_INSURED_DEPOSITS_FDIC" hidden="1">"c6487"</definedName>
    <definedName name="IQ_FUND_ANALYSIS" hidden="1">"c19198"</definedName>
    <definedName name="IQ_FUND_AUTHORIZED_SALE" hidden="1">"c19199"</definedName>
    <definedName name="IQ_FUND_BENCHMARK" hidden="1">"c19200"</definedName>
    <definedName name="IQ_FUND_BENCHMARK_ID" hidden="1">"c19201"</definedName>
    <definedName name="IQ_FUND_FEE_INC_NON_INT_INC_FFIEC" hidden="1">"c13493"</definedName>
    <definedName name="IQ_FUND_GEOGRAPHIC_MANDATE" hidden="1">"c19195"</definedName>
    <definedName name="IQ_FUND_MARKET_CAP_EMPHASIS" hidden="1">"c19197"</definedName>
    <definedName name="IQ_FUND_NAV" hidden="1">"c15225"</definedName>
    <definedName name="IQ_FUND_SECTOR_EMPHASIS" hidden="1">"c19196"</definedName>
    <definedName name="IQ_FUND_VEHICLE_TYPE" hidden="1">"c19194"</definedName>
    <definedName name="IQ_FUNDING_DEPENDENCE_FFIEC" hidden="1">"c13336"</definedName>
    <definedName name="IQ_FUNDING_DEPENDENCE_ST_FFIEC" hidden="1">"c13337"</definedName>
    <definedName name="IQ_FUNDS_PURCHASED_ASSETS_TOT_FFIEC" hidden="1">"c13446"</definedName>
    <definedName name="IQ_FUTURES_CONTRACT_LIST" hidden="1">"c17682"</definedName>
    <definedName name="IQ_FUTURES_FORWARD_CONTRACTS_NOTIONAL_AMOUNT_FDIC" hidden="1">"c6518"</definedName>
    <definedName name="IQ_FUTURES_FORWARD_CONTRACTS_RATE_RISK_FDIC" hidden="1">"c6508"</definedName>
    <definedName name="IQ_FUTURES_NAME" hidden="1">"c13936"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X" hidden="1">"c451"</definedName>
    <definedName name="IQ_FX_CONTRACTS_FDIC" hidden="1">"c6517"</definedName>
    <definedName name="IQ_FX_CONTRACTS_FFIEC" hidden="1">"c13125"</definedName>
    <definedName name="IQ_FX_CONTRACTS_SPOT_FDIC" hidden="1">"c6356"</definedName>
    <definedName name="IQ_FX_EXPOSURE_FFIEC" hidden="1">"c13059"</definedName>
    <definedName name="IQ_FX_RATE" hidden="1">"c20655"</definedName>
    <definedName name="IQ_FX_RATE_FC" hidden="1">"c20656"</definedName>
    <definedName name="IQ_FX_RESERVES" hidden="1">"c20657"</definedName>
    <definedName name="IQ_FX_RESERVES_PCT_GDP" hidden="1">"c20658"</definedName>
    <definedName name="IQ_FX_RESERVES_PCT_GDP_FC" hidden="1">"c20659"</definedName>
    <definedName name="IQ_FY" hidden="1">1000</definedName>
    <definedName name="IQ_FY_DATE" hidden="1">"IQ_FY_DATE"</definedName>
    <definedName name="IQ_GA_EXP" hidden="1">"c2241"</definedName>
    <definedName name="IQ_GAAP_BS" hidden="1">"c6789"</definedName>
    <definedName name="IQ_GAAP_CF" hidden="1">"c6790"</definedName>
    <definedName name="IQ_GAAP_COMBINED_RATIO" hidden="1">"c2781"</definedName>
    <definedName name="IQ_GAAP_COMBINED_RATIO_EXCL_CL" hidden="1">"c2782"</definedName>
    <definedName name="IQ_GAAP_EST_CIQ" hidden="1">"c13924"</definedName>
    <definedName name="IQ_GAAP_EXPENSE_RATIO" hidden="1">"c2780"</definedName>
    <definedName name="IQ_GAAP_IS" hidden="1">"c6194"</definedName>
    <definedName name="IQ_GAAP_LOSS" hidden="1">"c2779"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CM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CM" hidden="1">"c454"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CM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CREDIT_DERIVATIVES_FFIEC" hidden="1">"c13066"</definedName>
    <definedName name="IQ_GAIN_CREDIT_DERIVATIVES_NON_TRADING_FFIEC" hidden="1">"c13067"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CM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CM" hidden="1">"c1464"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CM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LOSS_HTM_AFS_SECURITIES_FOREIGN_FFIEC" hidden="1">"c15384"</definedName>
    <definedName name="IQ_GAIN_SALE_ASSETS" localSheetId="12" hidden="1">"c1377"</definedName>
    <definedName name="IQ_GAIN_SALE_ASSETS" localSheetId="7" hidden="1">"c1377"</definedName>
    <definedName name="IQ_GAIN_SALE_ASSETS" hidden="1">"c27"</definedName>
    <definedName name="IQ_GAIN_SALE_LOANS_FDIC" hidden="1">"c6673"</definedName>
    <definedName name="IQ_GAIN_SALE_RE_FDIC" hidden="1">"c6674"</definedName>
    <definedName name="IQ_GAINS_AFS_AVG_ASSETS_FFIEC" hidden="1">"c13364"</definedName>
    <definedName name="IQ_GAINS_ASSETS_TOT_FFIEC" hidden="1">"c13073"</definedName>
    <definedName name="IQ_GAINS_AVAIL_SALE_EQUITY_SEC_T2_FFIEC" hidden="1">"c13147"</definedName>
    <definedName name="IQ_GAINS_AVAIL_SALE_SEC_T1_FFIEC" hidden="1">"c13131"</definedName>
    <definedName name="IQ_GAINS_BARGAIN_PURCHASES_FFIEC" hidden="1">"c25844"</definedName>
    <definedName name="IQ_GAINS_CASH_FLOW_HEDGES_T1_FFIEC" hidden="1">"c13133"</definedName>
    <definedName name="IQ_GAINS_HTM_AVG_ASSETS_FFIEC" hidden="1">"c13363"</definedName>
    <definedName name="IQ_GAINS_INSTRUMENT_SPECIFIC_CREDIT_RISK_LIAB_FFIEC" hidden="1">"c13076"</definedName>
    <definedName name="IQ_GAINS_INSTRUMENT_SPECIFIC_RISK_FFIEC" hidden="1">"c13074"</definedName>
    <definedName name="IQ_GAINS_INSURANCE_ACTIVITIES_FFIEC" hidden="1">"c13072"</definedName>
    <definedName name="IQ_GAINS_LIABILITIES_FFIEC" hidden="1">"c13075"</definedName>
    <definedName name="IQ_GAINS_SALE_ASSETS_FDIC" hidden="1">"c6675"</definedName>
    <definedName name="IQ_GAINS_SALE_LOANS_LEASES_FFIEC" hidden="1">"c13013"</definedName>
    <definedName name="IQ_GAINS_SALE_OTHER_ASSETS_FFIEC" hidden="1">"c13015"</definedName>
    <definedName name="IQ_GAINS_SALE_OTHER_RE_OWNED_FFIEC" hidden="1">"c13014"</definedName>
    <definedName name="IQ_GAINS_SEC_AVAILABLE_SALE_AVG_ASSETS_THRIFT" hidden="1">"c25655"</definedName>
    <definedName name="IQ_GAINS_SEC_HELD_MATURITY_AVG_ASSETS_THRIFT" hidden="1">"c25654"</definedName>
    <definedName name="IQ_GAINS_SECURITIZATION_OPERATING_INC_FFIEC" hidden="1">"c13391"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NERAL_ALLOWANCE" hidden="1">"c15248"</definedName>
    <definedName name="IQ_GENERAL_OBLIGATIONS_STATE_LOCAL_GOVERNMENTS_ELIGIBLE_20_PCT_RISK_WEIGHT_THRIFT" hidden="1">"c25059"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ICS_CODE" hidden="1">"c16201"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FFIEC" hidden="1">"c12836"</definedName>
    <definedName name="IQ_GOODWILL_IMPAIRMENT_FDIC" hidden="1">"c6678"</definedName>
    <definedName name="IQ_GOODWILL_IMPAIRMENT_FFIEC" hidden="1">"c13025"</definedName>
    <definedName name="IQ_GOODWILL_INTAN_FDIC" hidden="1">"c6333"</definedName>
    <definedName name="IQ_GOODWILL_INTANGIBLE_ASSETS_THRIFT" hidden="1">"c24887"</definedName>
    <definedName name="IQ_GOODWILL_NET" localSheetId="12" hidden="1">"c1380"</definedName>
    <definedName name="IQ_GOODWILL_NET" localSheetId="7" hidden="1">"c1380"</definedName>
    <definedName name="IQ_GOODWILL_NET" hidden="1">"c85"</definedName>
    <definedName name="IQ_GOODWILL_OTHER_INTANGIBLE_ASSETS_ADJUSTED_ASSETS_THRIFT" hidden="1">"c25032"</definedName>
    <definedName name="IQ_GOODWILL_OTHER_INTANGIBLE_ASSETS_T1_THRIFT" hidden="1">"c25023"</definedName>
    <definedName name="IQ_GOODWILL_OTHER_INTANGIBLE_ASSETS_THRIFT" hidden="1">"c24890"</definedName>
    <definedName name="IQ_GOODWILL_OTHER_INTANGIBLES_EXP_THRIFT" hidden="1">"c24791"</definedName>
    <definedName name="IQ_GOVT_CAPITAL_TRANSFER_PAYMENTS" hidden="1">"c20660"</definedName>
    <definedName name="IQ_GOVT_CAPITAL_TRANSFER_RECEIPTS" hidden="1">"c20661"</definedName>
    <definedName name="IQ_GOVT_CONSUM_FIXED_CAPITAL" hidden="1">"c20663"</definedName>
    <definedName name="IQ_GOVT_CONTRIBUTIONS_SOCIAL_INSURANCE" hidden="1">"c20664"</definedName>
    <definedName name="IQ_GOVT_CURRENT_EXPENDITURES" hidden="1">"c20665"</definedName>
    <definedName name="IQ_GOVT_CURRENT_RECEIPTS" hidden="1">"c20666"</definedName>
    <definedName name="IQ_GOVT_ENTERPRISE_SURPLUS" hidden="1">"c20667"</definedName>
    <definedName name="IQ_GOVT_EXPENDITURES" hidden="1">"c20668"</definedName>
    <definedName name="IQ_GOVT_EXPENDITURES_FEDERAL" hidden="1">"c20669"</definedName>
    <definedName name="IQ_GOVT_GROSS_INVEST" hidden="1">"c20673"</definedName>
    <definedName name="IQ_GOVT_GROSS_INVEST_EQUIP" hidden="1">"c20674"</definedName>
    <definedName name="IQ_GOVT_GROSS_INVEST_FEDERAL" hidden="1">"c20676"</definedName>
    <definedName name="IQ_GOVT_GROSS_INVEST_FEDERAL_DEF_EQUIP" hidden="1">"c20679"</definedName>
    <definedName name="IQ_GOVT_GROSS_INVEST_FEDERAL_DEFENSE_STRUCTURES" hidden="1">"c20677"</definedName>
    <definedName name="IQ_GOVT_GROSS_INVEST_FEDERAL_EQUIP" hidden="1">"c20680"</definedName>
    <definedName name="IQ_GOVT_GROSS_INVEST_FEDERAL_NONDEF_EQUIP" hidden="1">"c20682"</definedName>
    <definedName name="IQ_GOVT_GROSS_INVEST_FEDERAL_NONDEFENSE_STRUCTURES" hidden="1">"c24741"</definedName>
    <definedName name="IQ_GOVT_GROSS_INVEST_FEDERAL_STRUCTURES" hidden="1">"c20683"</definedName>
    <definedName name="IQ_GOVT_GROSS_INVEST_STATE_LOCAL_EQUIP" hidden="1">"c20685"</definedName>
    <definedName name="IQ_GOVT_GROSS_INVEST_STATE_LOCAL_STRUCTURES" hidden="1">"c20686"</definedName>
    <definedName name="IQ_GOVT_GROSS_INVEST_STRUCTURES" hidden="1">"c20687"</definedName>
    <definedName name="IQ_GOVT_INTEREST_PAYMENTS" hidden="1">"c20688"</definedName>
    <definedName name="IQ_GOVT_INTEREST_PAYMENTS_PERSON" hidden="1">"c20689"</definedName>
    <definedName name="IQ_GOVT_INTEREST_PAYMENTS_WORLD" hidden="1">"c20690"</definedName>
    <definedName name="IQ_GOVT_NET_BORROWING" hidden="1">"c20691"</definedName>
    <definedName name="IQ_GOVT_NET_PURCHASE_NONPRODUCED_ASSETS" hidden="1">"c20692"</definedName>
    <definedName name="IQ_GOVT_NET_SAVING" hidden="1">"c20693"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AL_EXPENDITURES" hidden="1">"c20694"</definedName>
    <definedName name="IQ_GOVT_REAL_EXPENDITURES_FEDERAL" hidden="1">"c20695"</definedName>
    <definedName name="IQ_GOVT_REAL_GROSS_INVEST" hidden="1">"c20699"</definedName>
    <definedName name="IQ_GOVT_REAL_GROSS_INVEST_EQUIP" hidden="1">"c20700"</definedName>
    <definedName name="IQ_GOVT_REAL_GROSS_INVEST_FEDERAL" hidden="1">"c20701"</definedName>
    <definedName name="IQ_GOVT_REAL_GROSS_INVEST_FEDERAL_DEF_EQUIP" hidden="1">"c20704"</definedName>
    <definedName name="IQ_GOVT_REAL_GROSS_INVEST_FEDERAL_DEFENSE_STRUCTURES" hidden="1">"c20702"</definedName>
    <definedName name="IQ_GOVT_REAL_GROSS_INVEST_FEDERAL_EQUIP" hidden="1">"c20705"</definedName>
    <definedName name="IQ_GOVT_REAL_GROSS_INVEST_FEDERAL_NONDEF_EQUIP" hidden="1">"c20707"</definedName>
    <definedName name="IQ_GOVT_REAL_GROSS_INVEST_FEDERAL_NONDEFENSE_STRUCTURES" hidden="1">"c24742"</definedName>
    <definedName name="IQ_GOVT_REAL_GROSS_INVEST_FEDERAL_STRUCTURES" hidden="1">"c20708"</definedName>
    <definedName name="IQ_GOVT_REAL_GROSS_INVEST_STATE_LOCAL_EQUIP" hidden="1">"c20710"</definedName>
    <definedName name="IQ_GOVT_REAL_GROSS_INVEST_STATE_LOCAL_STRUCTURES" hidden="1">"c20711"</definedName>
    <definedName name="IQ_GOVT_REAL_GROSS_INVEST_STRUCTURES" hidden="1">"c20712"</definedName>
    <definedName name="IQ_GOVT_REAL_RECEIPTS_CONSUM_INVEST_RESIDUAL" hidden="1">"c20717"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ASSETS" hidden="1">"c20719"</definedName>
    <definedName name="IQ_GOVT_RECEIPTS_ASSETS_DIVIDENDS" hidden="1">"c20720"</definedName>
    <definedName name="IQ_GOVT_RECEIPTS_ASSETS_INTEREST" hidden="1">"c20721"</definedName>
    <definedName name="IQ_GOVT_RECEIPTS_ASSETS_RENT" hidden="1">"c20722"</definedName>
    <definedName name="IQ_GOVT_RECEIPTS_EXPENSITURES_OTHER" hidden="1">"c20728"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TRANSFER" hidden="1">"c20729"</definedName>
    <definedName name="IQ_GOVT_RECEIPTS_TRANSFER_BUSINESS" hidden="1">"c20730"</definedName>
    <definedName name="IQ_GOVT_RECEIPTS_TRANSFER_PERSONAL" hidden="1">"c20731"</definedName>
    <definedName name="IQ_GOVT_RECEIPTS_YOY" hidden="1">"c7317"</definedName>
    <definedName name="IQ_GOVT_RECEIPTS_YOY_FC" hidden="1">"c8197"</definedName>
    <definedName name="IQ_GOVT_SOCIAL_BENEFITS" hidden="1">"c20732"</definedName>
    <definedName name="IQ_GOVT_SOCIAL_BENEFITS_PERSONS" hidden="1">"c20733"</definedName>
    <definedName name="IQ_GOVT_SOCIAL_BENEFITS_WORLD" hidden="1">"c20734"</definedName>
    <definedName name="IQ_GOVT_SOCIAL_INSURANCE_FUNDS" hidden="1">"c20735"</definedName>
    <definedName name="IQ_GOVT_SUBSIDIES" hidden="1">"c20736"</definedName>
    <definedName name="IQ_GOVT_TAX_RECEIPTS" hidden="1">"c20737"</definedName>
    <definedName name="IQ_GOVT_TAX_RECEIPTS_CORPORATE" hidden="1">"c20738"</definedName>
    <definedName name="IQ_GOVT_TAX_RECEIPTS_CORPORATE_FED_RESERVE" hidden="1">"c20739"</definedName>
    <definedName name="IQ_GOVT_TAX_RECEIPTS_CORPORATE_OTHER" hidden="1">"c20740"</definedName>
    <definedName name="IQ_GOVT_TAX_RECEIPTS_CUSTOMS" hidden="1">"c20741"</definedName>
    <definedName name="IQ_GOVT_TAX_RECEIPTS_EXCISE" hidden="1">"c20742"</definedName>
    <definedName name="IQ_GOVT_TAX_RECEIPTS_PERSONAL" hidden="1">"c20743"</definedName>
    <definedName name="IQ_GOVT_TAX_RECEIPTS_PRODUCTION_IMPORTS" hidden="1">"c20744"</definedName>
    <definedName name="IQ_GOVT_TAX_RECEIPTS_WORLD" hidden="1">"c20745"</definedName>
    <definedName name="IQ_GOVT_TOTAL_EXPENDITURES" hidden="1">"c20746"</definedName>
    <definedName name="IQ_GOVT_TOTAL_RECEIPTS" hidden="1">"c20747"</definedName>
    <definedName name="IQ_GOVT_TRANSFER_PAYMENTS" hidden="1">"c20748"</definedName>
    <definedName name="IQ_GOVT_TRANSFER_PAYMENTS_OTHER" hidden="1">"c20749"</definedName>
    <definedName name="IQ_GOVT_TRANSFER_PAYMENTS_OTHER_STATE_LOCAL" hidden="1">"c20750"</definedName>
    <definedName name="IQ_GOVT_TRANSFER_PAYMENTS_OTHER_WORLD" hidden="1">"c20751"</definedName>
    <definedName name="IQ_GOVT_WAGE_ACCRUAL" hidden="1">"c20752"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DD_BASIC" hidden="1">"c15776"</definedName>
    <definedName name="IQ_GROSS_ADD_BBAND" hidden="1">"c15779"</definedName>
    <definedName name="IQ_GROSS_ADD_DIG" hidden="1">"c15777"</definedName>
    <definedName name="IQ_GROSS_ADD_PHONE" hidden="1">"c15780"</definedName>
    <definedName name="IQ_GROSS_ADD_POSTPAID_WIRELESS" hidden="1">"c15750"</definedName>
    <definedName name="IQ_GROSS_ADD_PREPAID_WIRELESS" hidden="1">"c15751"</definedName>
    <definedName name="IQ_GROSS_ADD_RESELL_WHOLESALE_WIRELESS" hidden="1">"c15752"</definedName>
    <definedName name="IQ_GROSS_ADD_RGU" hidden="1">"c15781"</definedName>
    <definedName name="IQ_GROSS_ADD_SATELLITE" hidden="1">"c15778"</definedName>
    <definedName name="IQ_GROSS_ADD_TOTAL_WIRELESS" hidden="1">"c15753"</definedName>
    <definedName name="IQ_GROSS_AH_EARNED" hidden="1">"c2742"</definedName>
    <definedName name="IQ_GROSS_CLAIM_ADJ_EXP_RESERVE_BOP" hidden="1">"c15874"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localSheetId="12" hidden="1">"c1446"</definedName>
    <definedName name="IQ_GROSS_DIVID" localSheetId="7" hidden="1">"c1446"</definedName>
    <definedName name="IQ_GROSS_DIVID" hidden="1">"c52"</definedName>
    <definedName name="IQ_GROSS_EARNED" hidden="1">"c2732"</definedName>
    <definedName name="IQ_GROSS_GW" hidden="1">"c17750"</definedName>
    <definedName name="IQ_GROSS_INTAN_ASSETS" hidden="1">"c17748"</definedName>
    <definedName name="IQ_GROSS_LIFE_EARNED" hidden="1">"c2737"</definedName>
    <definedName name="IQ_GROSS_LIFE_IN_FORCE" hidden="1">"c2767"</definedName>
    <definedName name="IQ_GROSS_LOAN_AVG_LOANS_THRIFT" hidden="1">"c25636"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LOSSES" hidden="1">"c15871"</definedName>
    <definedName name="IQ_GROSS_LOSSES_AVG_LOANS_FFIEC" hidden="1">"c13475"</definedName>
    <definedName name="IQ_GROSS_MARGIN" localSheetId="12" hidden="1">"c529"</definedName>
    <definedName name="IQ_GROSS_MARGIN" localSheetId="7" hidden="1">"c529"</definedName>
    <definedName name="IQ_GROSS_MARGIN" hidden="1">"c139"</definedName>
    <definedName name="IQ_GROSS_MARGIN_ACT_OR_EST" hidden="1">"c5554"</definedName>
    <definedName name="IQ_GROSS_MARGIN_ACT_OR_EST_CIQ" hidden="1">"c18263"</definedName>
    <definedName name="IQ_GROSS_MARGIN_DET_EST" hidden="1">"c18373"</definedName>
    <definedName name="IQ_GROSS_MARGIN_DET_EST_CIQ" hidden="1">"c18170"</definedName>
    <definedName name="IQ_GROSS_MARGIN_DET_EST_CURRENCY" hidden="1">"c18377"</definedName>
    <definedName name="IQ_GROSS_MARGIN_DET_EST_CURRENCY_CIQ" hidden="1">"c18303"</definedName>
    <definedName name="IQ_GROSS_MARGIN_DET_EST_DATE" hidden="1">"c18374"</definedName>
    <definedName name="IQ_GROSS_MARGIN_DET_EST_DATE_CIQ" hidden="1">"c18277"</definedName>
    <definedName name="IQ_GROSS_MARGIN_DET_EST_INCL" hidden="1">"c18375"</definedName>
    <definedName name="IQ_GROSS_MARGIN_DET_EST_INCL_CIQ" hidden="1">"c18359"</definedName>
    <definedName name="IQ_GROSS_MARGIN_DET_EST_NOTE" hidden="1">"c18376"</definedName>
    <definedName name="IQ_GROSS_MARGIN_DET_EST_NOTE_CIQ" hidden="1">"c18292"</definedName>
    <definedName name="IQ_GROSS_MARGIN_DET_EST_ORIGIN" hidden="1">"c18378"</definedName>
    <definedName name="IQ_GROSS_MARGIN_DET_EST_ORIGIN_CIQ" hidden="1">"c18314"</definedName>
    <definedName name="IQ_GROSS_MARGIN_EST" hidden="1">"c5547"</definedName>
    <definedName name="IQ_GROSS_MARGIN_EST_CIQ" hidden="1">"c18110"</definedName>
    <definedName name="IQ_GROSS_MARGIN_EST_DOWN_2MONTH" hidden="1">"c16381"</definedName>
    <definedName name="IQ_GROSS_MARGIN_EST_DOWN_3MONTH" hidden="1">"c16385"</definedName>
    <definedName name="IQ_GROSS_MARGIN_EST_DOWN_MONTH" hidden="1">"c16377"</definedName>
    <definedName name="IQ_GROSS_MARGIN_EST_NOTE_CIQ" hidden="1">"c18230"</definedName>
    <definedName name="IQ_GROSS_MARGIN_EST_NUM_ANALYSTS_2MONTH" hidden="1">"c16379"</definedName>
    <definedName name="IQ_GROSS_MARGIN_EST_NUM_ANALYSTS_3MONTH" hidden="1">"c16383"</definedName>
    <definedName name="IQ_GROSS_MARGIN_EST_NUM_ANALYSTS_MONTH" hidden="1">"c16375"</definedName>
    <definedName name="IQ_GROSS_MARGIN_EST_TOTAL_REVISED_2MONTH" hidden="1">"c16382"</definedName>
    <definedName name="IQ_GROSS_MARGIN_EST_TOTAL_REVISED_3MONTH" hidden="1">"c16386"</definedName>
    <definedName name="IQ_GROSS_MARGIN_EST_TOTAL_REVISED_MONTH" hidden="1">"c16378"</definedName>
    <definedName name="IQ_GROSS_MARGIN_EST_UP_2MONTH" hidden="1">"c16380"</definedName>
    <definedName name="IQ_GROSS_MARGIN_EST_UP_3MONTH" hidden="1">"c16384"</definedName>
    <definedName name="IQ_GROSS_MARGIN_EST_UP_MONTH" hidden="1">"c16376"</definedName>
    <definedName name="IQ_GROSS_MARGIN_GUIDANCE" hidden="1">"c18394"</definedName>
    <definedName name="IQ_GROSS_MARGIN_HIGH_EST" hidden="1">"c5549"</definedName>
    <definedName name="IQ_GROSS_MARGIN_HIGH_EST_CIQ" hidden="1">"c18130"</definedName>
    <definedName name="IQ_GROSS_MARGIN_HIGH_GUIDANCE" hidden="1">"c18395"</definedName>
    <definedName name="IQ_GROSS_MARGIN_LOW_EST" hidden="1">"c5550"</definedName>
    <definedName name="IQ_GROSS_MARGIN_LOW_EST_CIQ" hidden="1">"c18140"</definedName>
    <definedName name="IQ_GROSS_MARGIN_LOW_GUIDANCE" hidden="1">"c18396"</definedName>
    <definedName name="IQ_GROSS_MARGIN_MEDIAN_EST" hidden="1">"c5548"</definedName>
    <definedName name="IQ_GROSS_MARGIN_MEDIAN_EST_CIQ" hidden="1">"c18120"</definedName>
    <definedName name="IQ_GROSS_MARGIN_NUM_EST" hidden="1">"c5551"</definedName>
    <definedName name="IQ_GROSS_MARGIN_NUM_EST_CIQ" hidden="1">"c18160"</definedName>
    <definedName name="IQ_GROSS_MARGIN_STDDEV_EST" hidden="1">"c5552"</definedName>
    <definedName name="IQ_GROSS_MARGIN_STDDEV_EST_CIQ" hidden="1">"c18150"</definedName>
    <definedName name="IQ_GROSS_PC_EARNED" hidden="1">"c2747"</definedName>
    <definedName name="IQ_GROSS_PREMIUMS_WRITTEN_AVG_ASSETS" hidden="1">"c15893"</definedName>
    <definedName name="IQ_GROSS_PREMIUMS_WRITTEN_AVG_EQUITY" hidden="1">"c15892"</definedName>
    <definedName name="IQ_GROSS_PREMIUMS_WRITTEN_AVG_STATUTORY_SURPLUS" hidden="1">"c15894"</definedName>
    <definedName name="IQ_GROSS_PROFIT" localSheetId="12" hidden="1">"c1378"</definedName>
    <definedName name="IQ_GROSS_PROFIT" localSheetId="7" hidden="1">"c1378"</definedName>
    <definedName name="IQ_GROSS_PROFIT" hidden="1">"c7"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UARANTEED_PORTION_OTHER_LOANS_LEASES_EXCLUDE_REBOOKED_GNMA_LOANS_DUE_90_THRIFT" hidden="1">"c25280"</definedName>
    <definedName name="IQ_GUARANTEED_PORTION_OTHER_LOANS_LEASES_EXCLUDE_REBOOKED_GNMA_LOANS_NON_ACCRUAL_THRIFT" hidden="1">"c25301"</definedName>
    <definedName name="IQ_GUARTANTEED_PORTION_OTHER_LOANS_LEASES_EXCLUDE_REBOOKED_GNMA_LOANS_DUE_30_89_THRIFT" hidden="1">"c25259"</definedName>
    <definedName name="IQ_GVKEY" hidden="1">"c15590"</definedName>
    <definedName name="IQ_GVKEY_OTHER" hidden="1">"c15633"</definedName>
    <definedName name="IQ_GW" hidden="1">"c530"</definedName>
    <definedName name="IQ_GW_AMORT_BR" hidden="1">"c532"</definedName>
    <definedName name="IQ_GW_AMORT_CM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" hidden="1">"c19145"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CM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CM" hidden="1">"c1470"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DGEFUND_OVER_TOTAL" hidden="1">"c24736"</definedName>
    <definedName name="IQ_HEDGING_ACTIVITIES" hidden="1">"c17899"</definedName>
    <definedName name="IQ_HEDGING_ACTIVITIES_PCT" hidden="1">"c18013"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_EXP_DIRECT_OPERATING_EXP" hidden="1">"c15981"</definedName>
    <definedName name="IQ_HG_CASINO_GROSS_PROFIT" hidden="1">"c15974"</definedName>
    <definedName name="IQ_HG_CASINO_MARGIN" hidden="1">"c15976"</definedName>
    <definedName name="IQ_HG_CASINO_OPERATING_MARGIN" hidden="1">"c15977"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CONFERENCE_SPACE" hidden="1">"c15971"</definedName>
    <definedName name="IQ_HG_EXP_CASINO" hidden="1">"c8733"</definedName>
    <definedName name="IQ_HG_EXP_DEVELOPMENT" hidden="1">"c8738"</definedName>
    <definedName name="IQ_HG_EXP_DIRECT_CASINO_GAMING" hidden="1">"c15994"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DIRECT_HOTEL_MOTEL" hidden="1">"c15995"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BEV_EXP_DIRECT_OPERATING_EXP" hidden="1">"c15980"</definedName>
    <definedName name="IQ_HG_FOOD_BEV_REV_TOTAL_REV" hidden="1">"c15983"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NUMBER_SUITES" hidden="1">"c15970"</definedName>
    <definedName name="IQ_HG_NUMBER_TABLES_AVG" hidden="1">"c15973"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PROMO_ALLOW_GROSS_OPERATING_REV" hidden="1">"c15979"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GROSS_OPERATING" hidden="1">"c15993"</definedName>
    <definedName name="IQ_HG_REV_INCENTIVE_MANAGEMENT_FEES" hidden="1">"c8727"</definedName>
    <definedName name="IQ_HG_REV_MANAGEMENT_FEES" hidden="1">"c8718"</definedName>
    <definedName name="IQ_HG_REV_OTHER_CASINO" hidden="1">"c15992"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SLOT_MACHINE" hidden="1">"c15990"</definedName>
    <definedName name="IQ_HG_REV_TABLE" hidden="1">"c15991"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EXP_DIRECT_OPERATING_EXP" hidden="1">"c15982"</definedName>
    <definedName name="IQ_HG_ROOM_GROSS_PROFIT" hidden="1">"c15975"</definedName>
    <definedName name="IQ_HG_ROOM_MARGIN" hidden="1">"c15978"</definedName>
    <definedName name="IQ_HG_ROOM_PROM_COSTS" hidden="1">"c8745"</definedName>
    <definedName name="IQ_HG_ROOM_REV_TOTAL_REV" hidden="1">"c15984"</definedName>
    <definedName name="IQ_HG_ROOMS_BEG" hidden="1">"c8600"</definedName>
    <definedName name="IQ_HG_SAME_PROPERTIES_CASINO_REV_CHANGE" hidden="1">"c15987"</definedName>
    <definedName name="IQ_HG_SAME_PROPERTIES_FOOD_BEV_REV_CHANGE" hidden="1">"c15989"</definedName>
    <definedName name="IQ_HG_SAME_PROPERTIES_ROOM_REV_CHANGE" hidden="1">"c15988"</definedName>
    <definedName name="IQ_HG_SAME_PROPERTIES_SLOT_MACHINE_REV_CHANGE" hidden="1">"c15985"</definedName>
    <definedName name="IQ_HG_SAME_PROPERTIES_TABLE_REV_CHANGE" hidden="1">"c15986"</definedName>
    <definedName name="IQ_HG_SLOT_MACHINES_AVG" hidden="1">"c15972"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"c16124"</definedName>
    <definedName name="IQ_HG_TABLE_GAMES_MANAGED" hidden="1">"c16125"</definedName>
    <definedName name="IQ_HG_TABLE_GAMES_OWNED" hidden="1">"c16123"</definedName>
    <definedName name="IQ_HG_TABLE_GAMES_TOTAL" hidden="1">"c16126"</definedName>
    <definedName name="IQ_HG_TABLES_JV" hidden="1">"c8643"</definedName>
    <definedName name="IQ_HG_TABLES_MANAGED" hidden="1">"c8644"</definedName>
    <definedName name="IQ_HG_TABLES_OWNED" hidden="1">"c8642"</definedName>
    <definedName name="IQ_HG_TABL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DATE_RT" hidden="1">"HIGHDATE"</definedName>
    <definedName name="IQ_HIGH_LOW_CLOSEPRICE_DATE" hidden="1">"c1204"</definedName>
    <definedName name="IQ_HIGH_PRICE_RT" hidden="1">"HIGH"</definedName>
    <definedName name="IQ_HIGH_SULFUR_CONTENT_RESERVES_COAL" hidden="1">"c15928"</definedName>
    <definedName name="IQ_HIGH_SULFURE_RESERVES_TO_TOTAL_RESERVES_COAL" hidden="1">"c15963"</definedName>
    <definedName name="IQ_HIGH_TARGET_PRICE" hidden="1">"c1651"</definedName>
    <definedName name="IQ_HIGH_TARGET_PRICE_CIQ" hidden="1">"c4659"</definedName>
    <definedName name="IQ_HIGH_TIME_RT" hidden="1">"HIGHTIME"</definedName>
    <definedName name="IQ_HIGHPRICE" localSheetId="12" hidden="1">"c545"</definedName>
    <definedName name="IQ_HIGHPRICE" localSheetId="7" hidden="1">"c545"</definedName>
    <definedName name="IQ_HIGHPRICE" hidden="1">"c193"</definedName>
    <definedName name="IQ_HOLDER_CIQID" hidden="1">"c13787"</definedName>
    <definedName name="IQ_HOLDER_CIQID_SECURITY" hidden="1">"c13794"</definedName>
    <definedName name="IQ_HOLDER_DERIVATIVES" hidden="1">"c13789"</definedName>
    <definedName name="IQ_HOLDER_DERIVATIVES_SECURITY" hidden="1">"c13796"</definedName>
    <definedName name="IQ_HOLDER_FUND_CIQID" hidden="1">"c19084"</definedName>
    <definedName name="IQ_HOLDER_FUND_DERIVATIVES" hidden="1">"c19115"</definedName>
    <definedName name="IQ_HOLDER_FUND_NAME" hidden="1">"c19083"</definedName>
    <definedName name="IQ_HOLDER_FUND_NUMBER" hidden="1">"c19090"</definedName>
    <definedName name="IQ_HOLDER_FUND_PERCENT" hidden="1">"c19085"</definedName>
    <definedName name="IQ_HOLDER_FUND_POSITION_DATE" hidden="1">"c19088"</definedName>
    <definedName name="IQ_HOLDER_FUND_PRIMARY_ADVISOR" hidden="1">"c19089"</definedName>
    <definedName name="IQ_HOLDER_FUND_SHARES" hidden="1">"c19086"</definedName>
    <definedName name="IQ_HOLDER_FUND_VALUE" hidden="1">"c19087"</definedName>
    <definedName name="IQ_HOLDER_INSTITUTION_TYPE" hidden="1">"c24729"</definedName>
    <definedName name="IQ_HOLDER_NAME" hidden="1">"c13786"</definedName>
    <definedName name="IQ_HOLDER_NAME_SECURITY" hidden="1">"c13793"</definedName>
    <definedName name="IQ_HOLDER_PERCENT" hidden="1">"c13790"</definedName>
    <definedName name="IQ_HOLDER_PERCENT_SECURITY" hidden="1">"c13831"</definedName>
    <definedName name="IQ_HOLDER_POSITION_DATE" hidden="1">"c13792"</definedName>
    <definedName name="IQ_HOLDER_POSITION_DATE_SECURITY" hidden="1">"c13798"</definedName>
    <definedName name="IQ_HOLDER_SHARES" hidden="1">"c13788"</definedName>
    <definedName name="IQ_HOLDER_SHARES_SECURITY" hidden="1">"c13795"</definedName>
    <definedName name="IQ_HOLDER_VALUE" hidden="1">"c13791"</definedName>
    <definedName name="IQ_HOLDER_VALUE_SECURITY" hidden="1">"c13797"</definedName>
    <definedName name="IQ_HOLDING_CIQID" hidden="1">"c13802"</definedName>
    <definedName name="IQ_HOLDING_NAME" hidden="1">"c13799"</definedName>
    <definedName name="IQ_HOLDING_PERCENT" hidden="1">"c13805"</definedName>
    <definedName name="IQ_HOLDING_PERCENT_PORTFOLIO" hidden="1">"c13806"</definedName>
    <definedName name="IQ_HOLDING_POSITION_DATE" hidden="1">"c13808"</definedName>
    <definedName name="IQ_HOLDING_SECURITY_TYPE" hidden="1">"c13803"</definedName>
    <definedName name="IQ_HOLDING_SHARES" hidden="1">"c13804"</definedName>
    <definedName name="IQ_HOLDING_TICKER" hidden="1">"c13800"</definedName>
    <definedName name="IQ_HOLDING_TRADING_ITEM_CIQID" hidden="1">"c13801"</definedName>
    <definedName name="IQ_HOLDING_VALUE" hidden="1">"c13807"</definedName>
    <definedName name="IQ_HOLDINGS_AFRICA_MIDEAST_PERCENT" hidden="1">"c19235"</definedName>
    <definedName name="IQ_HOLDINGS_AFRICA_MIDEAST_VALUE" hidden="1">"c19234"</definedName>
    <definedName name="IQ_HOLDINGS_ASIA_PERCENT" hidden="1">"c19233"</definedName>
    <definedName name="IQ_HOLDINGS_ASIA_VALUE" hidden="1">"c19232"</definedName>
    <definedName name="IQ_HOLDINGS_CONSUMER_DISCRETIONARY_PERCENT" hidden="1">"c19213"</definedName>
    <definedName name="IQ_HOLDINGS_CONSUMER_DISCRETIONARY_VALUE" hidden="1">"c19212"</definedName>
    <definedName name="IQ_HOLDINGS_CONSUMER_STAPLES_PERCENT" hidden="1">"c19219"</definedName>
    <definedName name="IQ_HOLDINGS_CONSUMER_STAPLES_VALUE" hidden="1">"c19218"</definedName>
    <definedName name="IQ_HOLDINGS_ENERGY_PERCENT" hidden="1">"c19215"</definedName>
    <definedName name="IQ_HOLDINGS_ENERGY_VALUE" hidden="1">"c19214"</definedName>
    <definedName name="IQ_HOLDINGS_EUROPE_PERCENT" hidden="1">"c19229"</definedName>
    <definedName name="IQ_HOLDINGS_EUROPE_VALUE" hidden="1">"c19228"</definedName>
    <definedName name="IQ_HOLDINGS_FINANCIALS_PERCENT" hidden="1">"c19209"</definedName>
    <definedName name="IQ_HOLDINGS_FINANCIALS_VALUE" hidden="1">"c19208"</definedName>
    <definedName name="IQ_HOLDINGS_HEALTHCARE_PERCENT" hidden="1">"c19211"</definedName>
    <definedName name="IQ_HOLDINGS_HEALTHCARE_VALUE" hidden="1">"c19210"</definedName>
    <definedName name="IQ_HOLDINGS_INDUSTRIALS_PERCENT" hidden="1">"c19217"</definedName>
    <definedName name="IQ_HOLDINGS_INDUSTRIALS_VALUE" hidden="1">"c19216"</definedName>
    <definedName name="IQ_HOLDINGS_IT_PERCENT" hidden="1">"c19207"</definedName>
    <definedName name="IQ_HOLDINGS_IT_VALUE" hidden="1">"c19206"</definedName>
    <definedName name="IQ_HOLDINGS_LATIN_CARIBBEAN_PERCENT" hidden="1">"c19231"</definedName>
    <definedName name="IQ_HOLDINGS_LATIN_CARIBBEAN_VALUE" hidden="1">"c19230"</definedName>
    <definedName name="IQ_HOLDINGS_MATERIALS_PERCENT" hidden="1">"c19223"</definedName>
    <definedName name="IQ_HOLDINGS_MATERIALS_VALUE" hidden="1">"c19222"</definedName>
    <definedName name="IQ_HOLDINGS_TELECOMM_PERCENT" hidden="1">"c19221"</definedName>
    <definedName name="IQ_HOLDINGS_TELECOMM_VALUE" hidden="1">"c19220"</definedName>
    <definedName name="IQ_HOLDINGS_US_CANADA_PERCENT" hidden="1">"c19227"</definedName>
    <definedName name="IQ_HOLDINGS_US_CANADA_VALUE" hidden="1">"c19226"</definedName>
    <definedName name="IQ_HOLDINGS_UTILITIES_PERCENT" hidden="1">"c19225"</definedName>
    <definedName name="IQ_HOLDINGS_UTILITIES_VALUE" hidden="1">"c19224"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ANCELLATION_RATE" hidden="1">"c16192"</definedName>
    <definedName name="IQ_HOME_CANCELLATION_RATE_INCL_JV" hidden="1">"c16194"</definedName>
    <definedName name="IQ_HOME_CANCELLATION_RATE_JV" hidden="1">"c16193"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ANS_TOT_LOANS_FFIEC" hidden="1">"c13867"</definedName>
    <definedName name="IQ_HOME_EQUITY_LOANS_TOTAL_LOANS_THRIFT" hidden="1">"c25748"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MPROVEMENT_LOANS_NOT_SECURED_RE_THRIFT" hidden="1">"c24860"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BUILDING_COGS_SALES" hidden="1">"c15813"</definedName>
    <definedName name="IQ_HOMEBUILDING_INV_TURN" hidden="1">"c15819"</definedName>
    <definedName name="IQ_HOMEBUILDING_TURN" hidden="1">"c15820"</definedName>
    <definedName name="IQ_HOMEOWNERS_WRITTEN" hidden="1">"c546"</definedName>
    <definedName name="IQ_HOTEL_OPERATING_EXPENSE" hidden="1">"c16042"</definedName>
    <definedName name="IQ_HOTEL_OPERATING_REVENUE" hidden="1">"c16026"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30YR_MORTGAGE" hidden="1">"c20753"</definedName>
    <definedName name="IQ_HOUSING_COMPLETION" hidden="1">"c20754"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" hidden="1">"c8422"</definedName>
    <definedName name="IQ_HOUSING_COMPLETIONS_SINGLE_FAM_APR_FC_UNUSED_UNUSED_UNUSED" hidden="1">"c8422"</definedName>
    <definedName name="IQ_HOUSING_COMPLETIONS_SINGLE_FAM_APR_UNUSED" hidden="1">"c7542"</definedName>
    <definedName name="IQ_HOUSING_COMPLETIONS_SINGLE_FAM_APR_UNUSED_UNUSED_UNUSED" hidden="1">"c7542"</definedName>
    <definedName name="IQ_HOUSING_COMPLETIONS_SINGLE_FAM_FC_UNUSED" hidden="1">"c7762"</definedName>
    <definedName name="IQ_HOUSING_COMPLETIONS_SINGLE_FAM_FC_UNUSED_UNUSED_UNUSED" hidden="1">"c7762"</definedName>
    <definedName name="IQ_HOUSING_COMPLETIONS_SINGLE_FAM_POP_FC_UNUSED" hidden="1">"c7982"</definedName>
    <definedName name="IQ_HOUSING_COMPLETIONS_SINGLE_FAM_POP_FC_UNUSED_UNUSED_UNUSED" hidden="1">"c7982"</definedName>
    <definedName name="IQ_HOUSING_COMPLETIONS_SINGLE_FAM_POP_UNUSED" hidden="1">"c7102"</definedName>
    <definedName name="IQ_HOUSING_COMPLETIONS_SINGLE_FAM_POP_UNUSED_UNUSED_UNUSED" hidden="1">"c7102"</definedName>
    <definedName name="IQ_HOUSING_COMPLETIONS_SINGLE_FAM_UNUSED" hidden="1">"c6882"</definedName>
    <definedName name="IQ_HOUSING_COMPLETIONS_SINGLE_FAM_UNUSED_UNUSED_UNUSED" hidden="1">"c6882"</definedName>
    <definedName name="IQ_HOUSING_COMPLETIONS_SINGLE_FAM_YOY_FC_UNUSED" hidden="1">"c8202"</definedName>
    <definedName name="IQ_HOUSING_COMPLETIONS_SINGLE_FAM_YOY_FC_UNUSED_UNUSED_UNUSED" hidden="1">"c8202"</definedName>
    <definedName name="IQ_HOUSING_COMPLETIONS_SINGLE_FAM_YOY_UNUSED" hidden="1">"c7322"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CONSTRUCTION_PERMITS" hidden="1">"c20755"</definedName>
    <definedName name="IQ_HOUSING_CONSTRUCTION_PRIVATE" hidden="1">"c20756"</definedName>
    <definedName name="IQ_HOUSING_EXISTING_HOME_SALES" hidden="1">"c20757"</definedName>
    <definedName name="IQ_HOUSING_HOMEOWNER_VACANCY" hidden="1">"c20758"</definedName>
    <definedName name="IQ_HOUSING_HOMEOWNERSHIP_RATE" hidden="1">"c20759"</definedName>
    <definedName name="IQ_HOUSING_MEDIAN_SALES_PRICE" hidden="1">"c20760"</definedName>
    <definedName name="IQ_HOUSING_NEW_HOME_SALES" hidden="1">"c20761"</definedName>
    <definedName name="IQ_HOUSING_PENDING_HOME_SALE_INDEX" hidden="1">"c20762"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RENTAL_VACANCY" hidden="1">"c20763"</definedName>
    <definedName name="IQ_HOUSING_START" hidden="1">"c20764"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HTM_INVEST_SECURITIES_FFIEC" hidden="1">"c13455"</definedName>
    <definedName name="IQ_HTM_SEC_INV_SEC_THRIFT" hidden="1">"c25669"</definedName>
    <definedName name="IQ_HTM_SEC_TIER_1_CAPITAL_THRIFT" hidden="1">"c25629"</definedName>
    <definedName name="IQ_HTM_SECURITIES_TIER_1_FFIEC" hidden="1">"c13342"</definedName>
    <definedName name="IQ_HYBRID_CAPITAL" hidden="1">"c15245"</definedName>
    <definedName name="IQ_HYBRID_STRUCTURED_PRODUCTS_AFS_AMORT_COST_FFIEC" hidden="1">"c20502"</definedName>
    <definedName name="IQ_HYBRID_STRUCTURED_PRODUCTS_AFS_FAIR_VAL_FFIEC" hidden="1">"c20467"</definedName>
    <definedName name="IQ_HYBRID_STRUCTURED_PRODUCTS_AVAIL_SALE_FFIEC" hidden="1">"c15265"</definedName>
    <definedName name="IQ_HYBRID_STRUCTURED_PRODUCTS_FFIEC" hidden="1">"c15262"</definedName>
    <definedName name="IQ_HYBRID_STRUCTURED_PRODUCTS_HTM_AMORT_COST_FFIEC" hidden="1">"c20450"</definedName>
    <definedName name="IQ_HYBRID_STRUCTURED_PRODUCTS_HTM_FAIR_VAL_FFIEC" hidden="1">"c20485"</definedName>
    <definedName name="IQ_IB_ADVISORY_UNDERWRITING_FEES_FOREIGN_FFIEC" hidden="1">"c15378"</definedName>
    <definedName name="IQ_IBF_COMM_INDUST_LOANS_FFIEC" hidden="1">"c15298"</definedName>
    <definedName name="IQ_IBF_DEPOSIT_LIABILITIES_DUE_TO_BANKS_FFIEC" hidden="1">"c15300"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CT_UNRECOG_TAX_BENEFIT_EFFECTIVE_TAX" hidden="1">"c15748"</definedName>
    <definedName name="IQ_IMPAIR_CHARGES_DEBT_EQUITY_SEC_THRIFT" hidden="1">"c24777"</definedName>
    <definedName name="IQ_IMPAIR_OIL" hidden="1">"c547"</definedName>
    <definedName name="IQ_IMPAIRED_LOANS" hidden="1">"c15250"</definedName>
    <definedName name="IQ_IMPAIRMENT_GW" hidden="1">"c548"</definedName>
    <definedName name="IQ_IMPAIRMENT_GW_SUPPLE" hidden="1">"c13811"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" hidden="1">"c8523"</definedName>
    <definedName name="IQ_IMPORTS_GOODS_REAL_SAAR_APR_FC_UNUSED_UNUSED_UNUSED" hidden="1">"c8523"</definedName>
    <definedName name="IQ_IMPORTS_GOODS_REAL_SAAR_APR_UNUSED" hidden="1">"c7643"</definedName>
    <definedName name="IQ_IMPORTS_GOODS_REAL_SAAR_APR_UNUSED_UNUSED_UNUSED" hidden="1">"c7643"</definedName>
    <definedName name="IQ_IMPORTS_GOODS_REAL_SAAR_FC_UNUSED" hidden="1">"c7863"</definedName>
    <definedName name="IQ_IMPORTS_GOODS_REAL_SAAR_FC_UNUSED_UNUSED_UNUSED" hidden="1">"c7863"</definedName>
    <definedName name="IQ_IMPORTS_GOODS_REAL_SAAR_POP_FC_UNUSED" hidden="1">"c8083"</definedName>
    <definedName name="IQ_IMPORTS_GOODS_REAL_SAAR_POP_FC_UNUSED_UNUSED_UNUSED" hidden="1">"c8083"</definedName>
    <definedName name="IQ_IMPORTS_GOODS_REAL_SAAR_POP_UNUSED" hidden="1">"c7203"</definedName>
    <definedName name="IQ_IMPORTS_GOODS_REAL_SAAR_POP_UNUSED_UNUSED_UNUSED" hidden="1">"c7203"</definedName>
    <definedName name="IQ_IMPORTS_GOODS_REAL_SAAR_UNUSED" hidden="1">"c6983"</definedName>
    <definedName name="IQ_IMPORTS_GOODS_REAL_SAAR_UNUSED_UNUSED_UNUSED" hidden="1">"c6983"</definedName>
    <definedName name="IQ_IMPORTS_GOODS_REAL_SAAR_YOY_FC_UNUSED" hidden="1">"c8303"</definedName>
    <definedName name="IQ_IMPORTS_GOODS_REAL_SAAR_YOY_FC_UNUSED_UNUSED_UNUSED" hidden="1">"c8303"</definedName>
    <definedName name="IQ_IMPORTS_GOODS_REAL_SAAR_YOY_UNUSED" hidden="1">"c7423"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" hidden="1">"c8429"</definedName>
    <definedName name="IQ_IMPORTS_GOODS_SERVICES_APR_FC_UNUSED_UNUSED_UNUSED" hidden="1">"c8429"</definedName>
    <definedName name="IQ_IMPORTS_GOODS_SERVICES_APR_UNUSED" hidden="1">"c7549"</definedName>
    <definedName name="IQ_IMPORTS_GOODS_SERVICES_APR_UNUSED_UNUSED_UNUSED" hidden="1">"c7549"</definedName>
    <definedName name="IQ_IMPORTS_GOODS_SERVICES_FC_UNUSED" hidden="1">"c7769"</definedName>
    <definedName name="IQ_IMPORTS_GOODS_SERVICES_FC_UNUSED_UNUSED_UNUSED" hidden="1">"c7769"</definedName>
    <definedName name="IQ_IMPORTS_GOODS_SERVICES_POP_FC_UNUSED" hidden="1">"c7989"</definedName>
    <definedName name="IQ_IMPORTS_GOODS_SERVICES_POP_FC_UNUSED_UNUSED_UNUSED" hidden="1">"c7989"</definedName>
    <definedName name="IQ_IMPORTS_GOODS_SERVICES_POP_UNUSED" hidden="1">"c7109"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" hidden="1">"c8524"</definedName>
    <definedName name="IQ_IMPORTS_GOODS_SERVICES_REAL_SAAR_APR_FC_UNUSED_UNUSED_UNUSED" hidden="1">"c8524"</definedName>
    <definedName name="IQ_IMPORTS_GOODS_SERVICES_REAL_SAAR_APR_UNUSED" hidden="1">"c7644"</definedName>
    <definedName name="IQ_IMPORTS_GOODS_SERVICES_REAL_SAAR_APR_UNUSED_UNUSED_UNUSED" hidden="1">"c7644"</definedName>
    <definedName name="IQ_IMPORTS_GOODS_SERVICES_REAL_SAAR_FC_UNUSED" hidden="1">"c7864"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" hidden="1">"c8084"</definedName>
    <definedName name="IQ_IMPORTS_GOODS_SERVICES_REAL_SAAR_POP_FC_UNUSED_UNUSED_UNUSED" hidden="1">"c8084"</definedName>
    <definedName name="IQ_IMPORTS_GOODS_SERVICES_REAL_SAAR_POP_UNUSED" hidden="1">"c7204"</definedName>
    <definedName name="IQ_IMPORTS_GOODS_SERVICES_REAL_SAAR_POP_UNUSED_UNUSED_UNUSED" hidden="1">"c7204"</definedName>
    <definedName name="IQ_IMPORTS_GOODS_SERVICES_REAL_SAAR_UNUSED" hidden="1">"c6984"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" hidden="1">"c8304"</definedName>
    <definedName name="IQ_IMPORTS_GOODS_SERVICES_REAL_SAAR_YOY_FC_UNUSED_UNUSED_UNUSED" hidden="1">"c8304"</definedName>
    <definedName name="IQ_IMPORTS_GOODS_SERVICES_REAL_SAAR_YOY_UNUSED" hidden="1">"c7424"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" hidden="1">"c6889"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" hidden="1">"c8209"</definedName>
    <definedName name="IQ_IMPORTS_GOODS_SERVICES_YOY_FC_UNUSED_UNUSED_UNUSED" hidden="1">"c8209"</definedName>
    <definedName name="IQ_IMPORTS_GOODS_SERVICES_YOY_UNUSED" hidden="1">"c7329"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ORTS_USD" hidden="1">"c20765"</definedName>
    <definedName name="IQ_IMPUT_OPER_LEASE_DEPR" hidden="1">"c2987"</definedName>
    <definedName name="IQ_IMPUT_OPER_LEASE_INT_EXP" hidden="1">"c2986"</definedName>
    <definedName name="IQ_INC_AFTER_TAX" localSheetId="12" hidden="1">"c1598"</definedName>
    <definedName name="IQ_INC_AFTER_TAX" localSheetId="7" hidden="1">"c1598"</definedName>
    <definedName name="IQ_INC_AFTER_TAX" hidden="1">"c31"</definedName>
    <definedName name="IQ_INC_AVAIL_EXCL" localSheetId="12" hidden="1">"c1395"</definedName>
    <definedName name="IQ_INC_AVAIL_EXCL" localSheetId="7" hidden="1">"c1395"</definedName>
    <definedName name="IQ_INC_AVAIL_EXCL" hidden="1">"c42"</definedName>
    <definedName name="IQ_INC_AVAIL_INCL" localSheetId="12" hidden="1">"c1396"</definedName>
    <definedName name="IQ_INC_AVAIL_INCL" localSheetId="7" hidden="1">"c1396"</definedName>
    <definedName name="IQ_INC_AVAIL_INCL" hidden="1">"c43"</definedName>
    <definedName name="IQ_INC_BEFORE_TAX" localSheetId="12" hidden="1">"c1375"</definedName>
    <definedName name="IQ_INC_BEFORE_TAX" localSheetId="7" hidden="1">"c1375"</definedName>
    <definedName name="IQ_INC_BEFORE_TAX" hidden="1">"c29"</definedName>
    <definedName name="IQ_INC_DOM_LOANS_FFIEC" hidden="1">"c12975"</definedName>
    <definedName name="IQ_INC_EQUITY" hidden="1">"c549"</definedName>
    <definedName name="IQ_INC_EQUITY_BR" hidden="1">"c550"</definedName>
    <definedName name="IQ_INC_EQUITY_CF" hidden="1">"c551"</definedName>
    <definedName name="IQ_INC_EQUITY_CM" hidden="1">"c550"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localSheetId="12" hidden="1">"c560"</definedName>
    <definedName name="IQ_INC_TAX" localSheetId="7" hidden="1">"c560"</definedName>
    <definedName name="IQ_INC_TAX" hidden="1">"c30"</definedName>
    <definedName name="IQ_INC_TAX_EXCL" localSheetId="12" hidden="1">"c1599"</definedName>
    <definedName name="IQ_INC_TAX_EXCL" localSheetId="7" hidden="1">"c1599"</definedName>
    <definedName name="IQ_INC_TAX_EXCL" hidden="1">"c62"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BEFORE_EXTRAORDINARY_ITEMS_AVG_ASSETS_THRIFT" hidden="1">"c25658"</definedName>
    <definedName name="IQ_INCOME_CHECKS_FFIEC" hidden="1">"c13040"</definedName>
    <definedName name="IQ_INCOME_EARNED_FDIC" hidden="1">"c6359"</definedName>
    <definedName name="IQ_INCOME_FIDUCIARY_ACTIVITIES_FFIEC" hidden="1">"c13002"</definedName>
    <definedName name="IQ_INCOME_LEASE_FINANCING_REC_FFIEC" hidden="1">"c12980"</definedName>
    <definedName name="IQ_INCOME_LOANS_LEASES_TAX_EXEMPT_FFIEC" hidden="1">"c13038"</definedName>
    <definedName name="IQ_INCOME_OTHER_INSURANCE_ACTIVITIES_FFIEC" hidden="1">"c13009"</definedName>
    <definedName name="IQ_INCOME_SALE_MUTUAL_FUNDS_DOM_FFIEC" hidden="1">"c13069"</definedName>
    <definedName name="IQ_INCOME_SECURITIES_TAX_EXEMPT_FFIEC" hidden="1">"c13039"</definedName>
    <definedName name="IQ_INCOME_STATEMENT_AP" hidden="1">"c25877"</definedName>
    <definedName name="IQ_INCOME_STATEMENT_AP_CO" hidden="1">"c25878"</definedName>
    <definedName name="IQ_INCOME_STATEMENT_INDUSTRY" hidden="1">"c25873"</definedName>
    <definedName name="IQ_INCOME_STATEMENT_INDUSTRY_CO" hidden="1">"c25874"</definedName>
    <definedName name="IQ_INCOME_STATEMENT_STANDARD" hidden="1">"c25875"</definedName>
    <definedName name="IQ_INCOME_STATEMENT_STANDARD_CO" hidden="1">"c25876"</definedName>
    <definedName name="IQ_INCOME_TAX_FOREIGN_FFIEC" hidden="1">"c15391"</definedName>
    <definedName name="IQ_INCOME_TAXES_FDIC" hidden="1">"c6582"</definedName>
    <definedName name="IQ_INCOME_TAXES_FFIEC" hidden="1">"c13030"</definedName>
    <definedName name="IQ_INCOME_TAXES_PRETAX_NET_OPERATING_INCOME_THRIFT" hidden="1">"c25693"</definedName>
    <definedName name="IQ_INCOME_TAXES_THRIFT" hidden="1">"c24795"</definedName>
    <definedName name="IQ_INCREASE_INT_INCOME_FFIEC" hidden="1">"c13063"</definedName>
    <definedName name="IQ_IND_PROD_INDEX_GROWTH" hidden="1">"c20766"</definedName>
    <definedName name="IQ_INDEX_CURRENCY" hidden="1">"c15224"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EX_PROVIDED_DIVIDEND" hidden="1">"c19252"</definedName>
    <definedName name="IQ_INDEX_SHARES" hidden="1">"c19193"</definedName>
    <definedName name="IQ_INDEX_TYPE" hidden="1">"c15223"</definedName>
    <definedName name="IQ_INDEXCONSTITUENT_CLOSEPRICE" hidden="1">"c19241"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" hidden="1">"c15182"</definedName>
    <definedName name="IQ_INDIVIDUAL_ACTIVE_BOARD_MEMBERSHIPS" hidden="1">"c15201"</definedName>
    <definedName name="IQ_INDIVIDUAL_ACTIVE_PRO_AFFILIATIONS" hidden="1">"c15199"</definedName>
    <definedName name="IQ_INDIVIDUAL_AGE" hidden="1">"c15191"</definedName>
    <definedName name="IQ_INDIVIDUAL_ALL_OTHER_COMP" hidden="1">"c19040"</definedName>
    <definedName name="IQ_INDIVIDUAL_ANNUAL_CASH_COMP" hidden="1">"c19041"</definedName>
    <definedName name="IQ_INDIVIDUAL_AS_REPORTED_COMP" hidden="1">"c19045"</definedName>
    <definedName name="IQ_INDIVIDUAL_AS_REPORTED_DIRECTOR_COMP" hidden="1">"c19057"</definedName>
    <definedName name="IQ_INDIVIDUAL_ASSISTANT_EMAIL" hidden="1">"c15206"</definedName>
    <definedName name="IQ_INDIVIDUAL_ASSISTANT_FAX" hidden="1">"c15208"</definedName>
    <definedName name="IQ_INDIVIDUAL_ASSISTANT_NAME" hidden="1">"c15205"</definedName>
    <definedName name="IQ_INDIVIDUAL_ASSISTANT_PHONE" hidden="1">"c15207"</definedName>
    <definedName name="IQ_INDIVIDUAL_BACKGROUND" hidden="1">"c15184"</definedName>
    <definedName name="IQ_INDIVIDUAL_BONUS" hidden="1">"c19036"</definedName>
    <definedName name="IQ_INDIVIDUAL_CALCULATED_COMP" hidden="1">"c19043"</definedName>
    <definedName name="IQ_INDIVIDUAL_CHANGE_PENSION" hidden="1">"c19058"</definedName>
    <definedName name="IQ_INDIVIDUAL_DIRECT_FAX" hidden="1">"c15189"</definedName>
    <definedName name="IQ_INDIVIDUAL_DIRECT_PHONE" hidden="1">"c15188"</definedName>
    <definedName name="IQ_INDIVIDUAL_DIRECTOR_BONUS" hidden="1">"c19052"</definedName>
    <definedName name="IQ_INDIVIDUAL_DIRECTOR_CHANGE_PENSION" hidden="1">"c19053"</definedName>
    <definedName name="IQ_INDIVIDUAL_DIRECTOR_FEE" hidden="1">"c19049"</definedName>
    <definedName name="IQ_INDIVIDUAL_DIRECTOR_NON_EQUITY_COMP" hidden="1">"c19054"</definedName>
    <definedName name="IQ_INDIVIDUAL_DIRECTOR_OPTION_AWARDS" hidden="1">"c19050"</definedName>
    <definedName name="IQ_INDIVIDUAL_DIRECTOR_OTHER" hidden="1">"c19051"</definedName>
    <definedName name="IQ_INDIVIDUAL_DIRECTOR_STOCK_AWARDS" hidden="1">"c19055"</definedName>
    <definedName name="IQ_INDIVIDUAL_DIRECTOR_STOCK_GRANTS" hidden="1">"c19082"</definedName>
    <definedName name="IQ_INDIVIDUAL_DIRECTOR_STOCK_OPTIONS" hidden="1">"c19056"</definedName>
    <definedName name="IQ_INDIVIDUAL_EDUCATION" hidden="1">"c15203"</definedName>
    <definedName name="IQ_INDIVIDUAL_EMAIL" hidden="1">"c15193"</definedName>
    <definedName name="IQ_INDIVIDUAL_EQUITY_INCENTIVE" hidden="1">"c19078"</definedName>
    <definedName name="IQ_INDIVIDUAL_EST_PAYMENTS_CHANGE_CONTROL" hidden="1">"c19047"</definedName>
    <definedName name="IQ_INDIVIDUAL_EST_PAYMENTS_TERMINATION" hidden="1">"c19059"</definedName>
    <definedName name="IQ_INDIVIDUAL_EXERCISABLE_OPTIONS" hidden="1">"c19062"</definedName>
    <definedName name="IQ_INDIVIDUAL_EXERCISABLE_VALUES" hidden="1">"c19063"</definedName>
    <definedName name="IQ_INDIVIDUAL_EXERCISED_OPTIONS" hidden="1">"c19060"</definedName>
    <definedName name="IQ_INDIVIDUAL_EXERCISED_VALUES" hidden="1">"c19061"</definedName>
    <definedName name="IQ_INDIVIDUAL_FAMILY_LOAN_DOM_QUARTERLY_AVG_FFIEC" hidden="1">"c15479"</definedName>
    <definedName name="IQ_INDIVIDUAL_HOME_ADDRESS" hidden="1">"c15194"</definedName>
    <definedName name="IQ_INDIVIDUAL_HOME_FAX" hidden="1">"c15196"</definedName>
    <definedName name="IQ_INDIVIDUAL_HOME_PHONE" hidden="1">"c15195"</definedName>
    <definedName name="IQ_INDIVIDUAL_LT_INCENTIVE" hidden="1">"c19039"</definedName>
    <definedName name="IQ_INDIVIDUAL_MAIN_FAX" hidden="1">"c15187"</definedName>
    <definedName name="IQ_INDIVIDUAL_MAIN_PHONE" hidden="1">"c15186"</definedName>
    <definedName name="IQ_INDIVIDUAL_MARKET_VALUE_SHARES_NOT_VESTED" hidden="1">"c19077"</definedName>
    <definedName name="IQ_INDIVIDUAL_MOBILE" hidden="1">"c15198"</definedName>
    <definedName name="IQ_INDIVIDUAL_NICKNAME" hidden="1">"c15192"</definedName>
    <definedName name="IQ_INDIVIDUAL_NON_EQUITY_INCENTIVE" hidden="1">"c19048"</definedName>
    <definedName name="IQ_INDIVIDUAL_NOTES" hidden="1">"c15204"</definedName>
    <definedName name="IQ_INDIVIDUAL_NUM_SHARED_NOT_VESTED" hidden="1">"c19076"</definedName>
    <definedName name="IQ_INDIVIDUAL_NUM_SHARES_ACQUIRED" hidden="1">"c19074"</definedName>
    <definedName name="IQ_INDIVIDUAL_OFFICE_ADDRESS" hidden="1">"c15185"</definedName>
    <definedName name="IQ_INDIVIDUAL_OPTION_AWARDS" hidden="1">"c19044"</definedName>
    <definedName name="IQ_INDIVIDUAL_OPTION_MARKET_PRICE" hidden="1">"c19073"</definedName>
    <definedName name="IQ_INDIVIDUAL_OPTION_PRICE" hidden="1">"c19072"</definedName>
    <definedName name="IQ_INDIVIDUAL_OTHER_ANNUAL_COMP" hidden="1">"c19037"</definedName>
    <definedName name="IQ_INDIVIDUAL_OTHER_COMP" hidden="1">"c19046"</definedName>
    <definedName name="IQ_INDIVIDUAL_OTHER_PHONE" hidden="1">"c15197"</definedName>
    <definedName name="IQ_INDIVIDUAL_PARTNER_CORP_NON_TRANS_ACCTS_FFIEC" hidden="1">"c15322"</definedName>
    <definedName name="IQ_INDIVIDUAL_PARTNER_CORP_TRANS_ACCTS_FFIEC" hidden="1">"c15314"</definedName>
    <definedName name="IQ_INDIVIDUAL_PARTNER_CORPS_FOREIGN_DEP_FFIEC" hidden="1">"c15342"</definedName>
    <definedName name="IQ_INDIVIDUAL_PRIOR_BOARD_MEMBERSHIPS" hidden="1">"c15202"</definedName>
    <definedName name="IQ_INDIVIDUAL_PRIOR_PRO_AFFILIATIONS" hidden="1">"c15200"</definedName>
    <definedName name="IQ_INDIVIDUAL_RESTRICTED_STOCK_COMP" hidden="1">"c19038"</definedName>
    <definedName name="IQ_INDIVIDUAL_SALARY" hidden="1">"c19035"</definedName>
    <definedName name="IQ_INDIVIDUAL_SPECIALTY" hidden="1">"c15190"</definedName>
    <definedName name="IQ_INDIVIDUAL_ST_COMP" hidden="1">"c19042"</definedName>
    <definedName name="IQ_INDIVIDUAL_TITLE" hidden="1">"c15183"</definedName>
    <definedName name="IQ_INDIVIDUAL_TOTAL_NUM_STOCK_AWARDS" hidden="1">"c19081"</definedName>
    <definedName name="IQ_INDIVIDUAL_TOTAL_OPTIONS" hidden="1">"c19070"</definedName>
    <definedName name="IQ_INDIVIDUAL_TOTAL_STOCK_VALUE" hidden="1">"c19080"</definedName>
    <definedName name="IQ_INDIVIDUAL_TOTAL_VALUE_OPTIONS" hidden="1">"c19071"</definedName>
    <definedName name="IQ_INDIVIDUAL_UNCLASSIFIED_OPTIONS" hidden="1">"c19066"</definedName>
    <definedName name="IQ_INDIVIDUAL_UNCLASSIFIED_OPTIONS_VALUE" hidden="1">"c19067"</definedName>
    <definedName name="IQ_INDIVIDUAL_UNEARNED_STOCK_VALUE" hidden="1">"c19079"</definedName>
    <definedName name="IQ_INDIVIDUAL_UNEXERCISABLE_OPTIONS" hidden="1">"c19064"</definedName>
    <definedName name="IQ_INDIVIDUAL_UNEXERCISABLE_VALUES" hidden="1">"c19065"</definedName>
    <definedName name="IQ_INDIVIDUAL_UNEXERCISED_UNEARNED_OPTIONS" hidden="1">"c19068"</definedName>
    <definedName name="IQ_INDIVIDUAL_UNEXERCISED_UNEARNED_OPTIONS_VALUE" hidden="1">"c19069"</definedName>
    <definedName name="IQ_INDIVIDUAL_VALUE_VESTING" hidden="1">"c19075"</definedName>
    <definedName name="IQ_INDIVIDUALS_CHARGE_OFFS_FDIC" hidden="1">"c6599"</definedName>
    <definedName name="IQ_INDIVIDUALS_GROSS_LOANS_FFIEC" hidden="1">"c13411"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IVIDUALS_RISK_BASED_FFIEC" hidden="1">"c13432"</definedName>
    <definedName name="IQ_INDUSTRIAL_AUTO_SALES_DOMESTIC" hidden="1">"c20767"</definedName>
    <definedName name="IQ_INDUSTRIAL_AUTO_SALES_FOREIGN" hidden="1">"c20768"</definedName>
    <definedName name="IQ_INDUSTRIAL_AUTO_SALES_TOTAL" hidden="1">"c20769"</definedName>
    <definedName name="IQ_INDUSTRIAL_CAPACITY_UTILIZATION" hidden="1">"c20770"</definedName>
    <definedName name="IQ_INDUSTRIAL_IPI" hidden="1">"c20771"</definedName>
    <definedName name="IQ_INDUSTRIAL_MV_ASSEMBLIES_AUTO" hidden="1">"c20772"</definedName>
    <definedName name="IQ_INDUSTRIAL_MV_ASSEMBLIES_TOTAL" hidden="1">"c20773"</definedName>
    <definedName name="IQ_INDUSTRIAL_MV_ASSEMBLIES_TRUCKS" hidden="1">"c20774"</definedName>
    <definedName name="IQ_INDUSTRIAL_MV_ASSEMBLIES_TRUCKS_HEAVY" hidden="1">"c20775"</definedName>
    <definedName name="IQ_INDUSTRIAL_MV_ASSEMBLIES_TRUCKS_LIGHT" hidden="1">"c20776"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NAV_SHARE_DET_EST" hidden="1">"c18178"</definedName>
    <definedName name="IQ_INDUSTRY_NAV_SHARE_DET_EST_CIQ" hidden="1">"c18227"</definedName>
    <definedName name="IQ_INDUSTRY_NAV_SHARE_DET_EST_CURRENCY" hidden="1">"c18311"</definedName>
    <definedName name="IQ_INDUSTRY_NAV_SHARE_DET_EST_CURRENCY_CIQ" hidden="1">"c18350"</definedName>
    <definedName name="IQ_INDUSTRY_NAV_SHARE_DET_EST_DATE" hidden="1">"c18285"</definedName>
    <definedName name="IQ_INDUSTRY_NAV_SHARE_DET_EST_DATE_CIQ" hidden="1">"c18329"</definedName>
    <definedName name="IQ_INDUSTRY_NAV_SHARE_DET_EST_INCL" hidden="1">"c18289"</definedName>
    <definedName name="IQ_INDUSTRY_NAV_SHARE_DET_EST_INCL_CIQ" hidden="1">"c18336"</definedName>
    <definedName name="IQ_INDUSTRY_NAV_SHARE_DET_EST_NOTE" hidden="1">"c18300"</definedName>
    <definedName name="IQ_INDUSTRY_NAV_SHARE_DET_EST_NOTE_CIQ" hidden="1">"c18343"</definedName>
    <definedName name="IQ_INDUSTRY_NAV_SHARE_DET_EST_ORIGIN" hidden="1">"c18322"</definedName>
    <definedName name="IQ_INDUSTRY_NAV_SHARE_DET_EST_ORIGIN_CIQ" hidden="1">"c18357"</definedName>
    <definedName name="IQ_INDUSTRY_NAV_SHARE_EST" hidden="1">"c18117"</definedName>
    <definedName name="IQ_INDUSTRY_NAV_SHARE_EST_CIQ" hidden="1">"c18185"</definedName>
    <definedName name="IQ_INDUSTRY_NAV_SHARE_EST_NOTE" hidden="1">"c18238"</definedName>
    <definedName name="IQ_INDUSTRY_NAV_SHARE_EST_NOTE_CIQ" hidden="1">"c18245"</definedName>
    <definedName name="IQ_INDUSTRY_NAV_SHARE_HIGH_EST" hidden="1">"c18137"</definedName>
    <definedName name="IQ_INDUSTRY_NAV_SHARE_HIGH_EST_CIQ" hidden="1">"c18199"</definedName>
    <definedName name="IQ_INDUSTRY_NAV_SHARE_LOW_EST" hidden="1">"c18147"</definedName>
    <definedName name="IQ_INDUSTRY_NAV_SHARE_LOW_EST_CIQ" hidden="1">"c18206"</definedName>
    <definedName name="IQ_INDUSTRY_NAV_SHARE_MEDIAN_EST" hidden="1">"c18127"</definedName>
    <definedName name="IQ_INDUSTRY_NAV_SHARE_MEDIAN_EST_CIQ" hidden="1">"c18192"</definedName>
    <definedName name="IQ_INDUSTRY_NAV_SHARE_NUM_EST" hidden="1">"c18167"</definedName>
    <definedName name="IQ_INDUSTRY_NAV_SHARE_NUM_EST_CIQ" hidden="1">"c18220"</definedName>
    <definedName name="IQ_INDUSTRY_NAV_SHARE_STDDEV_EST" hidden="1">"c18157"</definedName>
    <definedName name="IQ_INDUSTRY_NAV_SHARE_STDDEV_EST_CIQ" hidden="1">"c18213"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CPI_APPAREL" hidden="1">"c20777"</definedName>
    <definedName name="IQ_INFLATION_CPI_EDUCATION" hidden="1">"c20778"</definedName>
    <definedName name="IQ_INFLATION_CPI_FOOD" hidden="1">"c20779"</definedName>
    <definedName name="IQ_INFLATION_CPI_HOUSING" hidden="1">"c20780"</definedName>
    <definedName name="IQ_INFLATION_CPI_MEDICAL" hidden="1">"c20781"</definedName>
    <definedName name="IQ_INFLATION_CPI_OTHER" hidden="1">"c20782"</definedName>
    <definedName name="IQ_INFLATION_CPI_RECREATION" hidden="1">"c20783"</definedName>
    <definedName name="IQ_INFLATION_CPI_TRANSPORTATION" hidden="1">"c20784"</definedName>
    <definedName name="IQ_INFLATION_CPI_TRANSPORTATION_PUBLIC" hidden="1">"c20785"</definedName>
    <definedName name="IQ_INFLATION_CPI_URBAN_ALL" hidden="1">"c20786"</definedName>
    <definedName name="IQ_INFLATION_PPI_FINISHED_GOODS" hidden="1">"c20787"</definedName>
    <definedName name="IQ_INFLATION_PPI_FINISHED_GOODS_EX_FOOD_ENERGY" hidden="1">"c20788"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ITIAL_TRANSACTION" hidden="1">"c18885"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CM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SUPPLE" hidden="1">"c13814"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CIQID" hidden="1">"c19101"</definedName>
    <definedName name="IQ_INSIDER_DERIVATIVES" hidden="1">"c19102"</definedName>
    <definedName name="IQ_INSIDER_LOANS_FDIC" hidden="1">"c6365"</definedName>
    <definedName name="IQ_INSIDER_NAME" hidden="1">"c19100"</definedName>
    <definedName name="IQ_INSIDER_OVER_TOTAL" hidden="1">"c1581"</definedName>
    <definedName name="IQ_INSIDER_OWNER" localSheetId="12" hidden="1">"c577"</definedName>
    <definedName name="IQ_INSIDER_OWNER" localSheetId="7" hidden="1">"c577"</definedName>
    <definedName name="IQ_INSIDER_OWNER" hidden="1">"c237"</definedName>
    <definedName name="IQ_INSIDER_PERCENT" localSheetId="12" hidden="1">"c578"</definedName>
    <definedName name="IQ_INSIDER_PERCENT" localSheetId="7" hidden="1">"c578"</definedName>
    <definedName name="IQ_INSIDER_PERCENT" hidden="1">"c238"</definedName>
    <definedName name="IQ_INSIDER_POSITION_DATE" hidden="1">"c19104"</definedName>
    <definedName name="IQ_INSIDER_SHARES" localSheetId="12" hidden="1">"c579"</definedName>
    <definedName name="IQ_INSIDER_SHARES" localSheetId="7" hidden="1">"c579"</definedName>
    <definedName name="IQ_INSIDER_SHARES" hidden="1">"c250"</definedName>
    <definedName name="IQ_INSIDER_VALUE" hidden="1">"c19103"</definedName>
    <definedName name="IQ_INST_DEPOSITS" hidden="1">"c89"</definedName>
    <definedName name="IQ_INSTITUTION_TYPE" hidden="1">"c24730"</definedName>
    <definedName name="IQ_INSTITUTIONAL_CIQID" hidden="1">"c19106"</definedName>
    <definedName name="IQ_INSTITUTIONAL_DERIVATIVES" hidden="1">"c19107"</definedName>
    <definedName name="IQ_INSTITUTIONAL_NAME" hidden="1">"c19105"</definedName>
    <definedName name="IQ_INSTITUTIONAL_OVER_TOTAL" hidden="1">"c1580"</definedName>
    <definedName name="IQ_INSTITUTIONAL_OWNER" localSheetId="12" hidden="1">"c580"</definedName>
    <definedName name="IQ_INSTITUTIONAL_OWNER" localSheetId="7" hidden="1">"c580"</definedName>
    <definedName name="IQ_INSTITUTIONAL_OWNER" hidden="1">"c235"</definedName>
    <definedName name="IQ_INSTITUTIONAL_PERCENT" localSheetId="12" hidden="1">"c581"</definedName>
    <definedName name="IQ_INSTITUTIONAL_PERCENT" localSheetId="7" hidden="1">"c581"</definedName>
    <definedName name="IQ_INSTITUTIONAL_PERCENT" hidden="1">"c236"</definedName>
    <definedName name="IQ_INSTITUTIONAL_POSITION_DATE" hidden="1">"c19109"</definedName>
    <definedName name="IQ_INSTITUTIONAL_SHARES" localSheetId="12" hidden="1">"c582"</definedName>
    <definedName name="IQ_INSTITUTIONAL_SHARES" localSheetId="7" hidden="1">"c582"</definedName>
    <definedName name="IQ_INSTITUTIONAL_SHARES" hidden="1">"c249"</definedName>
    <definedName name="IQ_INSTITUTIONAL_VALUE" hidden="1">"c19108"</definedName>
    <definedName name="IQ_INSTITUTIONS_EARNINGS_GAINS_FDIC" hidden="1">"c6723"</definedName>
    <definedName name="IQ_INSUR_RECEIV" localSheetId="12" hidden="1">"c1600"</definedName>
    <definedName name="IQ_INSUR_RECEIV" localSheetId="7" hidden="1">"c1600"</definedName>
    <definedName name="IQ_INSUR_RECEIV" hidden="1">"c288"</definedName>
    <definedName name="IQ_INSURANCE_COMMISSION_FEES_FDIC" hidden="1">"c6670"</definedName>
    <definedName name="IQ_INSURANCE_REINSURANCE_UNDERWRITING_INCOME_FFIEC" hidden="1">"c13008"</definedName>
    <definedName name="IQ_INSURANCE_REV_OPERATING_INC_FFIEC" hidden="1">"c13387"</definedName>
    <definedName name="IQ_INSURANCE_UNDERWRITING_INCOME_FDIC" hidden="1">"c6671"</definedName>
    <definedName name="IQ_INSURED_GUARANTEED_AGENCY_US_SPONSORED_ENTERPRISE_THRIFT" hidden="1">"c24830"</definedName>
    <definedName name="IQ_INT_ADVANCES_FHLB_THRIFT" hidden="1">"c24759"</definedName>
    <definedName name="IQ_INT_BEARING_DEPOSITS" hidden="1">"c1166"</definedName>
    <definedName name="IQ_INT_BEARING_FUNDS_AVG_ASSETS_FFIEC" hidden="1">"c13355"</definedName>
    <definedName name="IQ_INT_BEARING_LIABILITIES_REPRICE_ASSETS_TOT_FFIEC" hidden="1">"c13452"</definedName>
    <definedName name="IQ_INT_BORROW" hidden="1">"c583"</definedName>
    <definedName name="IQ_INT_COMM_LOANS_LEASES_THRIFT" hidden="1">"c24748"</definedName>
    <definedName name="IQ_INT_CONSUMER_LOANS_LEASES_THRIFT" hidden="1">"c24749"</definedName>
    <definedName name="IQ_INT_DEMAND_NOTES_FDIC" hidden="1">"c6567"</definedName>
    <definedName name="IQ_INT_DEPOSITS" hidden="1">"c584"</definedName>
    <definedName name="IQ_INT_DEPOSITS_DOM_FFIEC" hidden="1">"c12852"</definedName>
    <definedName name="IQ_INT_DEPOSITS_DOM_QUARTERLY_AVG_FFIEC" hidden="1">"c13088"</definedName>
    <definedName name="IQ_INT_DEPOSITS_FOREIGN_FFIEC" hidden="1">"c12855"</definedName>
    <definedName name="IQ_INT_DEPOSITS_FOREIGN_QUARTERLY_AVG_FFIEC" hidden="1">"c13089"</definedName>
    <definedName name="IQ_INT_DEPOSITS_INV_SEC_THRIFT" hidden="1">"c24745"</definedName>
    <definedName name="IQ_INT_DEPOSITS_THRIFT" hidden="1">"c24757"</definedName>
    <definedName name="IQ_INT_DIV_INC" hidden="1">"c585"</definedName>
    <definedName name="IQ_INT_DIV_INC_MBS_FFIEC" hidden="1">"c12984"</definedName>
    <definedName name="IQ_INT_DIV_INC_SECURITIES_FFIEC" hidden="1">"c12982"</definedName>
    <definedName name="IQ_INT_DIV_INC_SECURITIES_OTHER_FFIEC" hidden="1">"c12985"</definedName>
    <definedName name="IQ_INT_DIV_INC_TREASURY_SECURITIES_FFIEC" hidden="1">"c12983"</definedName>
    <definedName name="IQ_INT_DOMESTIC_DEPOSITS_FDIC" hidden="1">"c6564"</definedName>
    <definedName name="IQ_INT_EARNING_DEPOSITS_FHLBS_THRIFT" hidden="1">"c24819"</definedName>
    <definedName name="IQ_INT_ESCROWS_THRIFT" hidden="1">"c24758"</definedName>
    <definedName name="IQ_INT_EXP_AVG_ASSETS_FFIEC" hidden="1">"c13357"</definedName>
    <definedName name="IQ_INT_EXP_AVG_ASSETS_THRIFT" hidden="1">"c25648"</definedName>
    <definedName name="IQ_INT_EXP_AVG_EARNING_ASSETS_THRIFT" hidden="1">"c25667"</definedName>
    <definedName name="IQ_INT_EXP_BR" hidden="1">"c586"</definedName>
    <definedName name="IQ_INT_EXP_CM" hidden="1">"c586"</definedName>
    <definedName name="IQ_INT_EXP_COVERAGE" hidden="1">"c587"</definedName>
    <definedName name="IQ_INT_EXP_EARNING_ASSETS_FFIEC" hidden="1">"c13376"</definedName>
    <definedName name="IQ_INT_EXP_FED_FUNDS_PURCHASED_FFIEC" hidden="1">"c12996"</definedName>
    <definedName name="IQ_INT_EXP_FIN" hidden="1">"c588"</definedName>
    <definedName name="IQ_INT_EXP_FULLY_INSURED_BROKERED_DEPOSITS_THRIFT" hidden="1">"c24982"</definedName>
    <definedName name="IQ_INT_EXP_INCL_CAP" hidden="1">"c2988"</definedName>
    <definedName name="IQ_INT_EXP_INS" hidden="1">"c589"</definedName>
    <definedName name="IQ_INT_EXP_LTD" hidden="1">"c2086"</definedName>
    <definedName name="IQ_INT_EXP_OTHER_BROKERED_DEPOSITS_THRIFT" hidden="1">"c24983"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EXPENSE_AVG_ASSET" hidden="1">"c15705"</definedName>
    <definedName name="IQ_INT_FED_FUNDS_FDIC" hidden="1">"c6566"</definedName>
    <definedName name="IQ_INT_FEE_INC_ACCEPTANCE_OTHER_BANKS_DOM_FFIEC" hidden="1">"c15357"</definedName>
    <definedName name="IQ_INT_FEE_INC_AGRICULTURE_LOANS_FARMERS_DOM_FFIEC" hidden="1">"c15355"</definedName>
    <definedName name="IQ_INT_FEE_INC_COMM_IND_LOANS_DOM_FFIEC" hidden="1">"c15356"</definedName>
    <definedName name="IQ_INT_FEE_INC_CREDIT_CARDS_DOM_FFIEC" hidden="1">"c15358"</definedName>
    <definedName name="IQ_INT_FEE_INC_DEPOSITORY_LOANS_DOM_FFIEC" hidden="1">"c15354"</definedName>
    <definedName name="IQ_INT_FEE_INC_FOREIGN_GOVT_LOANS_DOM_FFIEC" hidden="1">"c15360"</definedName>
    <definedName name="IQ_INT_FEE_INC_INDIVIDUAL_LOANS_DOM_FFIEC" hidden="1">"c15359"</definedName>
    <definedName name="IQ_INT_FEE_INC_LOANS_1_4_DOM_FFIEC" hidden="1">"c12976"</definedName>
    <definedName name="IQ_INT_FEE_INC_LOANS_DOM_FFIEC" hidden="1">"c13335"</definedName>
    <definedName name="IQ_INT_FEE_INC_LOANS_FOREIGN_FFIEC" hidden="1">"c12979"</definedName>
    <definedName name="IQ_INT_FEE_INC_LOANS_OTHER_DOM_FFIEC" hidden="1">"c12978"</definedName>
    <definedName name="IQ_INT_FEE_INC_RE_LOANS_DOM_FFIEC" hidden="1">"c15353"</definedName>
    <definedName name="IQ_INT_FEE_INC_SECURED_RE_DOM_FFIEC" hidden="1">"c12977"</definedName>
    <definedName name="IQ_INT_FEE_INC_TAX_EXEMPT_OBLIGATIONS_DOM_FFIEC" hidden="1">"c15362"</definedName>
    <definedName name="IQ_INT_FEE_INC_TAXABLE_OBLIGATIONS_DOM_FFIEC" hidden="1">"c15361"</definedName>
    <definedName name="IQ_INT_FEE_INCOME_FFIEC" hidden="1">"c12974"</definedName>
    <definedName name="IQ_INT_FOREIGN_DEPOSITS_FDIC" hidden="1">"c6565"</definedName>
    <definedName name="IQ_INT_INC_AVG_ASSETS_FFIEC" hidden="1">"c13356"</definedName>
    <definedName name="IQ_INT_INC_BR" hidden="1">"c593"</definedName>
    <definedName name="IQ_INT_INC_CM" hidden="1">"c593"</definedName>
    <definedName name="IQ_INT_INC_DEPOSITORY_INST_FDIC" hidden="1">"c6558"</definedName>
    <definedName name="IQ_INT_INC_DOM_LOANS_FDIC" hidden="1">"c6555"</definedName>
    <definedName name="IQ_INT_INC_DUE_DEPOSITORY_INSTITUTIONS_FFIEC" hidden="1">"c12981"</definedName>
    <definedName name="IQ_INT_INC_EARNING_ASSETS_FFIEC" hidden="1">"c13375"</definedName>
    <definedName name="IQ_INT_INC_FED_FUNDS_FDIC" hidden="1">"c6561"</definedName>
    <definedName name="IQ_INT_INC_FED_FUNDS_SOLD_FFIEC" hidden="1">"c12987"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E_AVG_ASSETS_FFIEC" hidden="1">"c13358"</definedName>
    <definedName name="IQ_INT_INC_TE_EARNING_ASSETS_FFIEC" hidden="1">"c13377"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TRADING_ASSETS_FFIEC" hidden="1">"c12986"</definedName>
    <definedName name="IQ_INT_INC_UTI" hidden="1">"c599"</definedName>
    <definedName name="IQ_INT_INCOME_AVG_ASSET" hidden="1">"c15704"</definedName>
    <definedName name="IQ_INT_INCOME_AVG_ASSETS_THRIFT" hidden="1">"c25647"</definedName>
    <definedName name="IQ_INT_INCOME_AVG_EARNING_ASSETS_THRIFT" hidden="1">"c25666"</definedName>
    <definedName name="IQ_INT_INCOME_FTE_AVG_ASSETS_FFIEC" hidden="1">"c13856"</definedName>
    <definedName name="IQ_INT_INCOME_FTE_AVG_EARNING_ASSETS_FFIEC" hidden="1">"c13857"</definedName>
    <definedName name="IQ_INT_INCOME_FTE_FFIEC" hidden="1">"c13852"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MBS_THRIFT" hidden="1">"c24746"</definedName>
    <definedName name="IQ_INT_MORTGAGE_COLLATERALIZED_SEC_THRIFT" hidden="1">"c24761"</definedName>
    <definedName name="IQ_INT_MORTGAGE_LOANS_THRIFT" hidden="1">"c24747"</definedName>
    <definedName name="IQ_INT_ON_BORROWING_COVERAGE" hidden="1">"c603"</definedName>
    <definedName name="IQ_INT_ON_DEPOSITS_DOM_FFIEC" hidden="1">"c12991"</definedName>
    <definedName name="IQ_INT_ON_DEPOSITS_FFIEC" hidden="1">"c12990"</definedName>
    <definedName name="IQ_INT_ON_DEPOSITS_FOREIGN_FFIEC" hidden="1">"c12995"</definedName>
    <definedName name="IQ_INT_ONLY_STRIP_RECEIVABLES_OTHER_INSTRUMENTS_THRIFT" hidden="1">"c24891"</definedName>
    <definedName name="IQ_INT_OTHER_BORROWINGS_THRIFT" hidden="1">"c24762"</definedName>
    <definedName name="IQ_INT_RATE_EXPOSURE_FFIEC" hidden="1">"c13058"</definedName>
    <definedName name="IQ_INT_RATE_SPREAD" hidden="1">"c604"</definedName>
    <definedName name="IQ_INT_SAVINGS_DEPOSITS_MMDA_DOM_FFIEC" hidden="1">"c15364"</definedName>
    <definedName name="IQ_INT_SUB_DEBT_THRIFT" hidden="1">"c24760"</definedName>
    <definedName name="IQ_INT_SUB_NOTES_FDIC" hidden="1">"c6568"</definedName>
    <definedName name="IQ_INT_SUB_NOTES_FFIEC" hidden="1">"c12998"</definedName>
    <definedName name="IQ_INT_TIME_DEPOSITS_LESS_THAN_100K_DOM_FFIEC" hidden="1">"c12993"</definedName>
    <definedName name="IQ_INT_TIME_DEPOSITS_MORE_THAN_100K_DOM_FFIEC" hidden="1">"c12992"</definedName>
    <definedName name="IQ_INT_TRADING_LIABILITIES_FFIEC" hidden="1">"c12997"</definedName>
    <definedName name="IQ_INT_TRANSACTION_ACCOUNTS_DOM_FFIEC" hidden="1">"c15363"</definedName>
    <definedName name="IQ_INT_YIELD_DEPOSITS_INV_SEC_THRIFT" hidden="1">"c25679"</definedName>
    <definedName name="IQ_INT_YIELD_MBS_THRIFT" hidden="1">"c25678"</definedName>
    <definedName name="IQ_INTANGIBLE_ASSETS_ADJUSTED_ASSETS_THRIFT" hidden="1">"c25036"</definedName>
    <definedName name="IQ_INTANGIBLE_ASSETS_T1_THRIFT" hidden="1">"c25027"</definedName>
    <definedName name="IQ_INTANGIBLES_NET" localSheetId="12" hidden="1">"c1407"</definedName>
    <definedName name="IQ_INTANGIBLES_NET" localSheetId="7" hidden="1">"c1407"</definedName>
    <definedName name="IQ_INTANGIBLES_NET" hidden="1">"c86"</definedName>
    <definedName name="IQ_INTERBANK_RATIO" hidden="1">"c19134"</definedName>
    <definedName name="IQ_INTEREST_ACCRUED_ON_DEPOSITS_DOM_FFIEC" hidden="1">"c15277"</definedName>
    <definedName name="IQ_INTEREST_BEARING_BALANCES_FDIC" hidden="1">"c6371"</definedName>
    <definedName name="IQ_INTEREST_BEARING_BALANCES_QUARTERLY_AVG_FFIEC" hidden="1">"c15467"</definedName>
    <definedName name="IQ_INTEREST_BEARING_CASH_FFIEC" hidden="1">"c15259"</definedName>
    <definedName name="IQ_INTEREST_BEARING_CASH_FOREIGN_FFIEC" hidden="1">"c12776"</definedName>
    <definedName name="IQ_INTEREST_BEARING_CASH_US_FFIEC" hidden="1">"c12775"</definedName>
    <definedName name="IQ_INTEREST_BEARING_DEPOSITS_ALL_OTHER_ACCOUNTS_THRIFT" hidden="1">"c25424"</definedName>
    <definedName name="IQ_INTEREST_BEARING_DEPOSITS_DOMESTIC_FDIC" hidden="1">"c6478"</definedName>
    <definedName name="IQ_INTEREST_BEARING_DEPOSITS_EMPLOYEE_BENEFIT_RETIREMENT_RELATED_ACCOUNTS_THRIFT" hidden="1">"c25408"</definedName>
    <definedName name="IQ_INTEREST_BEARING_DEPOSITS_FDIC" hidden="1">"c6373"</definedName>
    <definedName name="IQ_INTEREST_BEARING_DEPOSITS_FOREIGN_FDIC" hidden="1">"c6485"</definedName>
    <definedName name="IQ_INTEREST_BEARING_DEPOSITS_PERSONAL_TRUST_AGENCY_INV_MANAGEMENT_AGENCY_ACCOUNTS_THRIFT_THRIFT" hidden="1">"c25392"</definedName>
    <definedName name="IQ_INTEREST_BEARING_TRANS_DOM_QUARTERLY_AVG_FFIEC" hidden="1">"c15484"</definedName>
    <definedName name="IQ_INTEREST_CASH_DEPOSITS" hidden="1">"c2255"</definedName>
    <definedName name="IQ_INTEREST_CREDITED_DEPOSITS_THRIFT" hidden="1">"c25344"</definedName>
    <definedName name="IQ_INTEREST_EXP" hidden="1">"c618"</definedName>
    <definedName name="IQ_INTEREST_EXP_ACT_OR_EST" hidden="1">"c18267"</definedName>
    <definedName name="IQ_INTEREST_EXP_ACT_OR_EST_CIQ" hidden="1">"c18273"</definedName>
    <definedName name="IQ_INTEREST_EXP_DET_EST" hidden="1">"c18175"</definedName>
    <definedName name="IQ_INTEREST_EXP_DET_EST_CIQ" hidden="1">"c18224"</definedName>
    <definedName name="IQ_INTEREST_EXP_DET_EST_CURRENCY" hidden="1">"c18308"</definedName>
    <definedName name="IQ_INTEREST_EXP_DET_EST_CURRENCY_CIQ" hidden="1">"c18347"</definedName>
    <definedName name="IQ_INTEREST_EXP_DET_EST_DATE" hidden="1">"c18282"</definedName>
    <definedName name="IQ_INTEREST_EXP_DET_EST_DATE_CIQ" hidden="1">"c18326"</definedName>
    <definedName name="IQ_INTEREST_EXP_DET_EST_INCL" hidden="1">"c18364"</definedName>
    <definedName name="IQ_INTEREST_EXP_DET_EST_INCL_CIQ" hidden="1">"c18333"</definedName>
    <definedName name="IQ_INTEREST_EXP_DET_EST_NOTE" hidden="1">"c18297"</definedName>
    <definedName name="IQ_INTEREST_EXP_DET_EST_NOTE_CIQ" hidden="1">"c18340"</definedName>
    <definedName name="IQ_INTEREST_EXP_DET_EST_ORIGIN" hidden="1">"c18319"</definedName>
    <definedName name="IQ_INTEREST_EXP_DET_EST_ORIGIN_CIQ" hidden="1">"c18354"</definedName>
    <definedName name="IQ_INTEREST_EXP_EST" hidden="1">"c18114"</definedName>
    <definedName name="IQ_INTEREST_EXP_EST_CIQ" hidden="1">"c18182"</definedName>
    <definedName name="IQ_INTEREST_EXP_EST_NOTE" hidden="1">"c18235"</definedName>
    <definedName name="IQ_INTEREST_EXP_EST_NOTE_CIQ" hidden="1">"c18242"</definedName>
    <definedName name="IQ_INTEREST_EXP_GUIDANCE" hidden="1">"c18406"</definedName>
    <definedName name="IQ_INTEREST_EXP_HIGH_EST" hidden="1">"c18134"</definedName>
    <definedName name="IQ_INTEREST_EXP_HIGH_EST_CIQ" hidden="1">"c18196"</definedName>
    <definedName name="IQ_INTEREST_EXP_HIGH_GUIDANCE" hidden="1">"c18407"</definedName>
    <definedName name="IQ_INTEREST_EXP_LOW_EST" hidden="1">"c18144"</definedName>
    <definedName name="IQ_INTEREST_EXP_LOW_EST_CIQ" hidden="1">"c18203"</definedName>
    <definedName name="IQ_INTEREST_EXP_LOW_GUIDANCE" hidden="1">"c18408"</definedName>
    <definedName name="IQ_INTEREST_EXP_MEDIAN_EST" hidden="1">"c18124"</definedName>
    <definedName name="IQ_INTEREST_EXP_MEDIAN_EST_CIQ" hidden="1">"c18189"</definedName>
    <definedName name="IQ_INTEREST_EXP_NET" localSheetId="12" hidden="1">"c1450"</definedName>
    <definedName name="IQ_INTEREST_EXP_NET" localSheetId="7" hidden="1">"c1450"</definedName>
    <definedName name="IQ_INTEREST_EXP_NET" hidden="1">"c17"</definedName>
    <definedName name="IQ_INTEREST_EXP_NON" localSheetId="12" hidden="1">"c1383"</definedName>
    <definedName name="IQ_INTEREST_EXP_NON" localSheetId="7" hidden="1">"c1383"</definedName>
    <definedName name="IQ_INTEREST_EXP_NON" hidden="1">"c24"</definedName>
    <definedName name="IQ_INTEREST_EXP_NUM_EST" hidden="1">"c18164"</definedName>
    <definedName name="IQ_INTEREST_EXP_NUM_EST_CIQ" hidden="1">"c18217"</definedName>
    <definedName name="IQ_INTEREST_EXP_STDDEV_EST" hidden="1">"c18154"</definedName>
    <definedName name="IQ_INTEREST_EXP_STDDEV_EST_CIQ" hidden="1">"c18210"</definedName>
    <definedName name="IQ_INTEREST_EXP_SUPPL" localSheetId="12" hidden="1">"c1460"</definedName>
    <definedName name="IQ_INTEREST_EXP_SUPPL" localSheetId="7" hidden="1">"c1460"</definedName>
    <definedName name="IQ_INTEREST_EXP_SUPPL" hidden="1">"c53"</definedName>
    <definedName name="IQ_INTEREST_INC" localSheetId="12" hidden="1">"c1393"</definedName>
    <definedName name="IQ_INTEREST_INC" localSheetId="7" hidden="1">"c1393"</definedName>
    <definedName name="IQ_INTEREST_INC" hidden="1">"c26"</definedName>
    <definedName name="IQ_INTEREST_INC_NON" localSheetId="12" hidden="1">"c1384"</definedName>
    <definedName name="IQ_INTEREST_INC_NON" localSheetId="7" hidden="1">"c1384"</definedName>
    <definedName name="IQ_INTEREST_INC_NON" hidden="1">"c25"</definedName>
    <definedName name="IQ_INTEREST_INVEST_INC" hidden="1">"c619"</definedName>
    <definedName name="IQ_INTEREST_PENALTIES_RECOG_BS_AFTER_TAX" hidden="1">"c15745"</definedName>
    <definedName name="IQ_INTEREST_PENALTIES_RECOG_BS_PRE_TAX" hidden="1">"c15744"</definedName>
    <definedName name="IQ_INTEREST_PENALTIES_RECOG_IS_AFTER_TAX" hidden="1">"c15743"</definedName>
    <definedName name="IQ_INTEREST_PENALTIES_RECOG_IS_PRE_TAX" hidden="1">"c15742"</definedName>
    <definedName name="IQ_INTEREST_RATE_CONTRACTS_FDIC" hidden="1">"c6512"</definedName>
    <definedName name="IQ_INTEREST_RATE_EXPOSURES_FDIC" hidden="1">"c6662"</definedName>
    <definedName name="IQ_INTERNAL_ALLOCATIONS_INC_EXP_FOREIGN_FFIEC" hidden="1">"c15394"</definedName>
    <definedName name="IQ_INTRACO_INC_CREDITS_FIDUCIARY_RELATED_SERVICES_THRIFT" hidden="1">"c24814"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IN_UNREGISTERED_FUNDS_PRIVATE_EQUITY_INV_ALL_OTHER_ACCOUNTS_THRIFT" hidden="1">"c25433"</definedName>
    <definedName name="IQ_INV_IN_UNREGISTERED_FUNDS_PRIVATE_EQUITY_INV_EMPLOYEE_BENEFIT_RETIREMENT_RELATED_ACCOUNTS_THRIFT" hidden="1">"c25417"</definedName>
    <definedName name="IQ_INV_IN_UNREGISTERED_FUNDS_PRIVATE_EQUITY_INV_PERSONAL_TRUST_AGENCY_INV_MANAGEMENT_ACCOUNTS_THRIFT" hidden="1">"c25401"</definedName>
    <definedName name="IQ_INV_MANAGEMENT_INV_ADVISORY_AGENCY_ACCOUNTS_GROSS_LOSSES_MANAGED_ACCOUNTS_THRIFT" hidden="1">"c25463"</definedName>
    <definedName name="IQ_INV_MANAGEMENT_INV_ADVISORY_AGENCY_ACCOUNTS_GROSS_LOSSES_NONMANAGED_ACCOUNTS_THRIFT" hidden="1">"c25468"</definedName>
    <definedName name="IQ_INV_MANAGEMENT_INV_ADVISORY_AGENCY_ACCOUNTS_MANAGED_ASSETS_THRIFT" hidden="1">"c25353"</definedName>
    <definedName name="IQ_INV_MANAGEMENT_INV_ADVISORY_AGENCY_ACCOUNTS_NONMANAGED_ASSETS_THRIFT" hidden="1">"c25374"</definedName>
    <definedName name="IQ_INV_MANAGEMENT_INV_ADVISORY_AGENCY_ACCOUNTS_NUMBER_MANAGED_ACCOUNTS_THRIFT" hidden="1">"c25364"</definedName>
    <definedName name="IQ_INV_MANAGEMENT_INV_ADVISORY_AGENCY_ACCOUNTS_NUMBER_NONMANAGED_ACCOUNTS_THRIFT" hidden="1">"c25386"</definedName>
    <definedName name="IQ_INV_MANAGEMENT_INV_ADVISORY_AGENCY_ACCOUNTS_RECOVERIES_THRIFT" hidden="1">"c25473"</definedName>
    <definedName name="IQ_INV_METHOD" hidden="1">"c621"</definedName>
    <definedName name="IQ_INV_MGMT_ADVISORY_AGENCY_ACCOUNTS_INC_THRIFT" hidden="1">"c24806"</definedName>
    <definedName name="IQ_INV_NONCONTROLLING_INTERESTS_IN_SUBS_T1_THRIFT" hidden="1">"c25022"</definedName>
    <definedName name="IQ_INV_REL_ID" hidden="1">"c15220"</definedName>
    <definedName name="IQ_INV_REL_NAME" hidden="1">"c15219"</definedName>
    <definedName name="IQ_INV_SEC_TOTAL_ASSETS_THRIFT" hidden="1">"c25697"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localSheetId="12" hidden="1">"c623"</definedName>
    <definedName name="IQ_INVENTORY_TURNS" localSheetId="7" hidden="1">"c623"</definedName>
    <definedName name="IQ_INVENTORY_TURNS" hidden="1">"c147"</definedName>
    <definedName name="IQ_INVENTORY_UTI" hidden="1">"c624"</definedName>
    <definedName name="IQ_INVEST_BREAKUP_ASSET_MBS" hidden="1">"c17796"</definedName>
    <definedName name="IQ_INVEST_BREAKUP_COMMON" hidden="1">"c17687"</definedName>
    <definedName name="IQ_INVEST_BREAKUP_CORP_DEBT" hidden="1">"c17684"</definedName>
    <definedName name="IQ_INVEST_BREAKUP_CORP_EQUITY" hidden="1">"c17689"</definedName>
    <definedName name="IQ_INVEST_BREAKUP_NON_US_GOVT" hidden="1">"c17794"</definedName>
    <definedName name="IQ_INVEST_BREAKUP_NOT_CLASSIFIED" hidden="1">"c17690"</definedName>
    <definedName name="IQ_INVEST_BREAKUP_OTHER_FIXED" hidden="1">"c17685"</definedName>
    <definedName name="IQ_INVEST_BREAKUP_PREFERRED" hidden="1">"c17688"</definedName>
    <definedName name="IQ_INVEST_BREAKUP_PUBLIC_UTIL_DEBT" hidden="1">"c17683"</definedName>
    <definedName name="IQ_INVEST_BREAKUP_STATE_MUNI" hidden="1">"c17795"</definedName>
    <definedName name="IQ_INVEST_BREAKUP_TOTAL_FIXED" hidden="1">"c17686"</definedName>
    <definedName name="IQ_INVEST_BREAKUP_TOTAL_INVEST" hidden="1">"c17691"</definedName>
    <definedName name="IQ_INVEST_BREAKUP_US_GOVT" hidden="1">"c17793"</definedName>
    <definedName name="IQ_INVEST_CREDIT_QUAL_AMORT_TYPE_1" hidden="1">"c17785"</definedName>
    <definedName name="IQ_INVEST_CREDIT_QUAL_AMORT_TYPE_1_PCT" hidden="1">"c17844"</definedName>
    <definedName name="IQ_INVEST_CREDIT_QUAL_AMORT_TYPE_2" hidden="1">"c17786"</definedName>
    <definedName name="IQ_INVEST_CREDIT_QUAL_AMORT_TYPE_2_PCT" hidden="1">"c17845"</definedName>
    <definedName name="IQ_INVEST_CREDIT_QUAL_AMORT_TYPE_3" hidden="1">"c17787"</definedName>
    <definedName name="IQ_INVEST_CREDIT_QUAL_AMORT_TYPE_3_PCT" hidden="1">"c17846"</definedName>
    <definedName name="IQ_INVEST_CREDIT_QUAL_AMORT_TYPE_4" hidden="1">"c17788"</definedName>
    <definedName name="IQ_INVEST_CREDIT_QUAL_AMORT_TYPE_4_PCT" hidden="1">"c17847"</definedName>
    <definedName name="IQ_INVEST_CREDIT_QUAL_AMORT_TYPE_5" hidden="1">"c17789"</definedName>
    <definedName name="IQ_INVEST_CREDIT_QUAL_AMORT_TYPE_5_PCT" hidden="1">"c17848"</definedName>
    <definedName name="IQ_INVEST_CREDIT_QUAL_AMORT_TYPE_6" hidden="1">"c17790"</definedName>
    <definedName name="IQ_INVEST_CREDIT_QUAL_AMORT_TYPE_6_PCT" hidden="1">"c17849"</definedName>
    <definedName name="IQ_INVEST_CREDIT_QUAL_AMORT_TYPE_OTHER" hidden="1">"c17791"</definedName>
    <definedName name="IQ_INVEST_CREDIT_QUAL_AMORT_TYPE_OTHER_PCT" hidden="1">"c17850"</definedName>
    <definedName name="IQ_INVEST_CREDIT_QUAL_AMORT_TYPE_TOTAL_FIXED" hidden="1">"c17792"</definedName>
    <definedName name="IQ_INVEST_CREDIT_QUAL_CV_TYPE_1" hidden="1">"c17769"</definedName>
    <definedName name="IQ_INVEST_CREDIT_QUAL_CV_TYPE_1_PCT" hidden="1">"c17830"</definedName>
    <definedName name="IQ_INVEST_CREDIT_QUAL_CV_TYPE_2" hidden="1">"c17770"</definedName>
    <definedName name="IQ_INVEST_CREDIT_QUAL_CV_TYPE_2_PCT" hidden="1">"c17831"</definedName>
    <definedName name="IQ_INVEST_CREDIT_QUAL_CV_TYPE_3" hidden="1">"c17771"</definedName>
    <definedName name="IQ_INVEST_CREDIT_QUAL_CV_TYPE_3_PCT" hidden="1">"c17832"</definedName>
    <definedName name="IQ_INVEST_CREDIT_QUAL_CV_TYPE_4" hidden="1">"c17772"</definedName>
    <definedName name="IQ_INVEST_CREDIT_QUAL_CV_TYPE_4_PCT" hidden="1">"c17833"</definedName>
    <definedName name="IQ_INVEST_CREDIT_QUAL_CV_TYPE_5" hidden="1">"c17773"</definedName>
    <definedName name="IQ_INVEST_CREDIT_QUAL_CV_TYPE_5_PCT" hidden="1">"c17834"</definedName>
    <definedName name="IQ_INVEST_CREDIT_QUAL_CV_TYPE_6" hidden="1">"c17774"</definedName>
    <definedName name="IQ_INVEST_CREDIT_QUAL_CV_TYPE_6_PCT" hidden="1">"c17835"</definedName>
    <definedName name="IQ_INVEST_CREDIT_QUAL_CV_TYPE_OTHER" hidden="1">"c17775"</definedName>
    <definedName name="IQ_INVEST_CREDIT_QUAL_CV_TYPE_OTHER_PCT" hidden="1">"c17836"</definedName>
    <definedName name="IQ_INVEST_CREDIT_QUAL_CV_TYPE_TOTAL_FIXED" hidden="1">"c17776"</definedName>
    <definedName name="IQ_INVEST_CREDIT_QUAL_FV_TYPE_1" hidden="1">"c17777"</definedName>
    <definedName name="IQ_INVEST_CREDIT_QUAL_FV_TYPE_1_PCT" hidden="1">"c17837"</definedName>
    <definedName name="IQ_INVEST_CREDIT_QUAL_FV_TYPE_2" hidden="1">"c17778"</definedName>
    <definedName name="IQ_INVEST_CREDIT_QUAL_FV_TYPE_2_PCT" hidden="1">"c17838"</definedName>
    <definedName name="IQ_INVEST_CREDIT_QUAL_FV_TYPE_3" hidden="1">"c17779"</definedName>
    <definedName name="IQ_INVEST_CREDIT_QUAL_FV_TYPE_3_PCT" hidden="1">"c17839"</definedName>
    <definedName name="IQ_INVEST_CREDIT_QUAL_FV_TYPE_4" hidden="1">"c17780"</definedName>
    <definedName name="IQ_INVEST_CREDIT_QUAL_FV_TYPE_4_PCT" hidden="1">"c17840"</definedName>
    <definedName name="IQ_INVEST_CREDIT_QUAL_FV_TYPE_5" hidden="1">"c17781"</definedName>
    <definedName name="IQ_INVEST_CREDIT_QUAL_FV_TYPE_5_PCT" hidden="1">"c17841"</definedName>
    <definedName name="IQ_INVEST_CREDIT_QUAL_FV_TYPE_6" hidden="1">"c17782"</definedName>
    <definedName name="IQ_INVEST_CREDIT_QUAL_FV_TYPE_6_PCT" hidden="1">"c17842"</definedName>
    <definedName name="IQ_INVEST_CREDIT_QUAL_FV_TYPE_OTHER" hidden="1">"c17783"</definedName>
    <definedName name="IQ_INVEST_CREDIT_QUAL_FV_TYPE_OTHER_PCT" hidden="1">"c17843"</definedName>
    <definedName name="IQ_INVEST_CREDIT_QUAL_FV_TYPE_TOTAL_FIXED" hidden="1">"c17784"</definedName>
    <definedName name="IQ_INVEST_CRITERIA_EBITDA_MAX" hidden="1">"c18907"</definedName>
    <definedName name="IQ_INVEST_CRITERIA_EBITDA_MIN" hidden="1">"c18906"</definedName>
    <definedName name="IQ_INVEST_CRITERIA_EQUITY_MAX" hidden="1">"c18901"</definedName>
    <definedName name="IQ_INVEST_CRITERIA_EQUITY_MIN" hidden="1">"c18900"</definedName>
    <definedName name="IQ_INVEST_CRITERIA_EV_MAX" hidden="1">"c18903"</definedName>
    <definedName name="IQ_INVEST_CRITERIA_EV_MIN" hidden="1">"c18902"</definedName>
    <definedName name="IQ_INVEST_CRITERIA_GEOGRAPHY" hidden="1">"c18898"</definedName>
    <definedName name="IQ_INVEST_CRITERIA_INDUSTRY" hidden="1">"c18897"</definedName>
    <definedName name="IQ_INVEST_CRITERIA_STAGES" hidden="1">"c18899"</definedName>
    <definedName name="IQ_INVEST_CRITERIA_TOT_REV_MAX" hidden="1">"c18905"</definedName>
    <definedName name="IQ_INVEST_CRITERIA_TOT_REV_MIN" hidden="1">"c18904"</definedName>
    <definedName name="IQ_INVEST_DEBT" hidden="1">"c625"</definedName>
    <definedName name="IQ_INVEST_DETAIL_AVAIL_SALE" hidden="1">"c17692"</definedName>
    <definedName name="IQ_INVEST_DETAIL_AVAIL_SALE_AMORT" hidden="1">"c17810"</definedName>
    <definedName name="IQ_INVEST_DETAIL_HELD_MATURITY" hidden="1">"c17807"</definedName>
    <definedName name="IQ_INVEST_DETAIL_OTHER" hidden="1">"c17809"</definedName>
    <definedName name="IQ_INVEST_DETAIL_TRADING" hidden="1">"c17808"</definedName>
    <definedName name="IQ_INVEST_DETAIL_TRADING_AMORT" hidden="1">"c17811"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CM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AT_AMORT_1_5_YR" hidden="1">"c17764"</definedName>
    <definedName name="IQ_INVEST_MAT_AMORT_1_5_YR_PCT" hidden="1">"c17825"</definedName>
    <definedName name="IQ_INVEST_MAT_AMORT_1_YR" hidden="1">"c17763"</definedName>
    <definedName name="IQ_INVEST_MAT_AMORT_1_YR_PCT" hidden="1">"c17824"</definedName>
    <definedName name="IQ_INVEST_MAT_AMORT_5_10_YR" hidden="1">"c17765"</definedName>
    <definedName name="IQ_INVEST_MAT_AMORT_5_10_YR_PCT" hidden="1">"c17826"</definedName>
    <definedName name="IQ_INVEST_MAT_AMORT_AFTER_10_YR" hidden="1">"c17766"</definedName>
    <definedName name="IQ_INVEST_MAT_AMORT_AFTER_10_YR_PCT" hidden="1">"c17827"</definedName>
    <definedName name="IQ_INVEST_MAT_AMORT_ASSET_MBS" hidden="1">"c17767"</definedName>
    <definedName name="IQ_INVEST_MAT_AMORT_ASSET_MBS_PCT" hidden="1">"c17828"</definedName>
    <definedName name="IQ_INVEST_MAT_AMORT_OTHER_FIXED" hidden="1">"c17768"</definedName>
    <definedName name="IQ_INVEST_MAT_AMORT_OTHER_FIXED_PCT" hidden="1">"c17829"</definedName>
    <definedName name="IQ_INVEST_MAT_CV_1_5_YR" hidden="1">"c17752"</definedName>
    <definedName name="IQ_INVEST_MAT_CV_1_5_YR_PCT" hidden="1">"c17813"</definedName>
    <definedName name="IQ_INVEST_MAT_CV_1_YR" hidden="1">"c17751"</definedName>
    <definedName name="IQ_INVEST_MAT_CV_1_YR_PCT" hidden="1">"c17812"</definedName>
    <definedName name="IQ_INVEST_MAT_CV_5_10_YR" hidden="1">"c17753"</definedName>
    <definedName name="IQ_INVEST_MAT_CV_5_10_YR_PCT" hidden="1">"c17814"</definedName>
    <definedName name="IQ_INVEST_MAT_CV_AFTER_10_YR" hidden="1">"c17754"</definedName>
    <definedName name="IQ_INVEST_MAT_CV_AFTER_10_YR_PCT" hidden="1">"c17815"</definedName>
    <definedName name="IQ_INVEST_MAT_CV_ASSET_MBS" hidden="1">"c17755"</definedName>
    <definedName name="IQ_INVEST_MAT_CV_ASSET_MBS_PCT" hidden="1">"c17816"</definedName>
    <definedName name="IQ_INVEST_MAT_CV_OTHER_FIXED" hidden="1">"c17756"</definedName>
    <definedName name="IQ_INVEST_MAT_CV_OTHER_FIXED_PCT" hidden="1">"c17817"</definedName>
    <definedName name="IQ_INVEST_MAT_FV_1_5_YR" hidden="1">"c17758"</definedName>
    <definedName name="IQ_INVEST_MAT_FV_1_5_YR_PCT" hidden="1">"c17819"</definedName>
    <definedName name="IQ_INVEST_MAT_FV_1_YR" hidden="1">"c17757"</definedName>
    <definedName name="IQ_INVEST_MAT_FV_1_YR_PCT" hidden="1">"c17818"</definedName>
    <definedName name="IQ_INVEST_MAT_FV_5_10_YR" hidden="1">"c17759"</definedName>
    <definedName name="IQ_INVEST_MAT_FV_5_10_YR_PCT" hidden="1">"c17820"</definedName>
    <definedName name="IQ_INVEST_MAT_FV_AFTER_10_YR" hidden="1">"c17760"</definedName>
    <definedName name="IQ_INVEST_MAT_FV_AFTER_10_YR_PCT" hidden="1">"c17821"</definedName>
    <definedName name="IQ_INVEST_MAT_FV_ASSET_MBS" hidden="1">"c17761"</definedName>
    <definedName name="IQ_INVEST_MAT_FV_ASSET_MBS_PCT" hidden="1">"c17822"</definedName>
    <definedName name="IQ_INVEST_MAT_FV_OTHER_FIXED" hidden="1">"c17762"</definedName>
    <definedName name="IQ_INVEST_MAT_FV_OTHER_FIXED_PCT" hidden="1">"c17823"</definedName>
    <definedName name="IQ_INVEST_MUNI_SECURITY" hidden="1">"c5512"</definedName>
    <definedName name="IQ_INVEST_REAL_ESTATE" hidden="1">"c635"</definedName>
    <definedName name="IQ_INVEST_SECURITIES_ASSETS_TOT_FFIEC" hidden="1">"c13440"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CM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_UNCONSOLIDATED_SUBS_FFIEC" hidden="1">"c12834"</definedName>
    <definedName name="IQ_INVESTMENT_ADVISOR" hidden="1">"c19236"</definedName>
    <definedName name="IQ_INVESTMENT_ADVISOR_ID" hidden="1">"c19237"</definedName>
    <definedName name="IQ_INVESTMENT_ADVISOR_PRIMARY" hidden="1">"c19239"</definedName>
    <definedName name="IQ_INVESTMENT_ADVISOR_PRIMARY_ID" hidden="1">"c19240"</definedName>
    <definedName name="IQ_INVESTMENT_ADVISOR_REL" hidden="1">"c19238"</definedName>
    <definedName name="IQ_INVESTMENT_BANKING_BROKERAGE_FEES_FFIEC" hidden="1">"c13627"</definedName>
    <definedName name="IQ_INVESTMENT_BANKING_FEES_COMMISSIONS_FFIEC" hidden="1">"c13006"</definedName>
    <definedName name="IQ_INVESTMENT_BANKING_OTHER_FEES_FDIC" hidden="1">"c6666"</definedName>
    <definedName name="IQ_INVESTMENT_PARTNERSHIP" hidden="1">"c16072"</definedName>
    <definedName name="IQ_INVESTMENTS_ALL" hidden="1">"c18891"</definedName>
    <definedName name="IQ_INVESTMENTS_ALL_COVER" hidden="1">"c19112"</definedName>
    <definedName name="IQ_INVESTMENTS_ALL_ID" hidden="1">"c18892"</definedName>
    <definedName name="IQ_INVESTMENTS_ALL_REL" hidden="1">"c18894"</definedName>
    <definedName name="IQ_INVESTMENTS_ALL_STAKE" hidden="1">"c18893"</definedName>
    <definedName name="IQ_INVESTMENTS_CURR" hidden="1">"c18881"</definedName>
    <definedName name="IQ_INVESTMENTS_CURR_COVER" hidden="1">"c19110"</definedName>
    <definedName name="IQ_INVESTMENTS_CURR_ID" hidden="1">"c18882"</definedName>
    <definedName name="IQ_INVESTMENTS_CURR_REL" hidden="1">"c18884"</definedName>
    <definedName name="IQ_INVESTMENTS_CURR_STAKE" hidden="1">"c18883"</definedName>
    <definedName name="IQ_INVESTMENTS_LP" hidden="1">"c18912"</definedName>
    <definedName name="IQ_INVESTMENTS_LP_ID" hidden="1">"c18913"</definedName>
    <definedName name="IQ_INVESTMENTS_LP_REL" hidden="1">"c18914"</definedName>
    <definedName name="IQ_INVESTMENTS_PENDING" hidden="1">"c18887"</definedName>
    <definedName name="IQ_INVESTMENTS_PENDING_COVER" hidden="1">"c19111"</definedName>
    <definedName name="IQ_INVESTMENTS_PENDING_ID" hidden="1">"c18888"</definedName>
    <definedName name="IQ_INVESTMENTS_PENDING_REL" hidden="1">"c18890"</definedName>
    <definedName name="IQ_INVESTMENTS_PENDING_STAKE" hidden="1">"c18889"</definedName>
    <definedName name="IQ_INVESTMENTS_PRIOR" hidden="1">"c18895"</definedName>
    <definedName name="IQ_INVESTMENTS_PRIOR_ID" hidden="1">"c18896"</definedName>
    <definedName name="IQ_INVESTORS_ALL" hidden="1">"c20509"</definedName>
    <definedName name="IQ_INVESTORS_ALL_COVER" hidden="1">"c20510"</definedName>
    <definedName name="IQ_INVESTORS_ALL_ID" hidden="1">"C20508"</definedName>
    <definedName name="IQ_INVESTORS_ALL_REL" hidden="1">"c20511"</definedName>
    <definedName name="IQ_INVESTORS_ALL_STAKE" hidden="1">"c20512"</definedName>
    <definedName name="IQ_INVESTORS_CURR" hidden="1">"c20514"</definedName>
    <definedName name="IQ_INVESTORS_CURR_COVER" hidden="1">"c20515"</definedName>
    <definedName name="IQ_INVESTORS_CURR_ID" hidden="1">"c20513"</definedName>
    <definedName name="IQ_INVESTORS_CURR_RECENT_AMOUNT" hidden="1">"c20516"</definedName>
    <definedName name="IQ_INVESTORS_CURR_REL" hidden="1">"c20517"</definedName>
    <definedName name="IQ_INVESTORS_CURR_STAKE" hidden="1">"c20518"</definedName>
    <definedName name="IQ_INVESTORS_CURR_TRANSACTION_DATE" hidden="1">"c20519"</definedName>
    <definedName name="IQ_INVESTORS_CURR_TRANSACTION_ID" hidden="1">"c20520"</definedName>
    <definedName name="IQ_INVESTORS_PENDING" hidden="1">"c20522"</definedName>
    <definedName name="IQ_INVESTORS_PENDING_COVER" hidden="1">"c20523"</definedName>
    <definedName name="IQ_INVESTORS_PENDING_ID" hidden="1">"c20521"</definedName>
    <definedName name="IQ_INVESTORS_PENDING_REL" hidden="1">"c20524"</definedName>
    <definedName name="IQ_INVESTORS_PENDING_STAKE" hidden="1">"c20525"</definedName>
    <definedName name="IQ_INVESTORS_PRIOR" hidden="1">"c20526"</definedName>
    <definedName name="IQ_INVESTORS_PRIOR_ID" hidden="1">"c20527"</definedName>
    <definedName name="IQ_IPRD" hidden="1">"c644"</definedName>
    <definedName name="IQ_IPRD_SUPPLE" hidden="1">"c13813"</definedName>
    <definedName name="IQ_IRA_KEOGH_ACCOUNTS_FDIC" hidden="1">"c6496"</definedName>
    <definedName name="IQ_IRA_KEOGH_ACCOUNTS_GREATER_THAN_100000_INCLUDED_IN_TIME_DEPOSITS_THRIFT" hidden="1">"c25004"</definedName>
    <definedName name="IQ_IRA_KEOGH_ACCOUNTS_THRIFT" hidden="1">"c24994"</definedName>
    <definedName name="IQ_IRAS_HSAS_SIMILAR_ACCOUNTS_MANAGED_ASSETS_THRIFT" hidden="1">"c25351"</definedName>
    <definedName name="IQ_IRAS_HSAS_SIMILAR_ACCOUNTS_NONMANAGED_ASSETS_THRIFT" hidden="1">"c25372"</definedName>
    <definedName name="IQ_IRAS_HSAS_SIMILAR_ACCOUNTS_NUMBER_MANAGED_ACCOUNTS_THRIFT" hidden="1">"c25362"</definedName>
    <definedName name="IQ_IRAS_HSAS_SIMILAR_ACCOUNTS_NUMBER_NONMANAGED_ACCOUNTS_THRIFT" hidden="1">"c25384"</definedName>
    <definedName name="IQ_ISIN" hidden="1">"c12041"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" hidden="1">"c8443"</definedName>
    <definedName name="IQ_ISM_SERVICES_APR_FC_UNUSED_UNUSED_UNUSED" hidden="1">"c8443"</definedName>
    <definedName name="IQ_ISM_SERVICES_APR_UNUSED" hidden="1">"c7563"</definedName>
    <definedName name="IQ_ISM_SERVICES_APR_UNUSED_UNUSED_UNUSED" hidden="1">"c7563"</definedName>
    <definedName name="IQ_ISM_SERVICES_FC_UNUSED" hidden="1">"c7783"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" hidden="1">"c8003"</definedName>
    <definedName name="IQ_ISM_SERVICES_POP_FC_UNUSED_UNUSED_UNUSED" hidden="1">"c8003"</definedName>
    <definedName name="IQ_ISM_SERVICES_POP_UNUSED" hidden="1">"c7123"</definedName>
    <definedName name="IQ_ISM_SERVICES_POP_UNUSED_UNUSED_UNUSED" hidden="1">"c7123"</definedName>
    <definedName name="IQ_ISM_SERVICES_UNUSED" hidden="1">"c6903"</definedName>
    <definedName name="IQ_ISM_SERVICES_UNUSED_UNUSED_UNUSED" hidden="1">"c6903"</definedName>
    <definedName name="IQ_ISM_SERVICES_YOY_FC_UNUSED" hidden="1">"c8223"</definedName>
    <definedName name="IQ_ISM_SERVICES_YOY_FC_UNUSED_UNUSED_UNUSED" hidden="1">"c8223"</definedName>
    <definedName name="IQ_ISM_SERVICES_YOY_UNUSED" hidden="1">"c7343"</definedName>
    <definedName name="IQ_ISM_SERVICES_YOY_UNUSED_UNUSED_UNUSED" hidden="1">"c7343"</definedName>
    <definedName name="IQ_ISS_DEBT_NET" localSheetId="12" hidden="1">"c1391"</definedName>
    <definedName name="IQ_ISS_DEBT_NET" localSheetId="7" hidden="1">"c1391"</definedName>
    <definedName name="IQ_ISS_DEBT_NET" hidden="1">"c132"</definedName>
    <definedName name="IQ_ISS_STOCK_NET" localSheetId="12" hidden="1">"c1601"</definedName>
    <definedName name="IQ_ISS_STOCK_NET" localSheetId="7" hidden="1">"c1601"</definedName>
    <definedName name="IQ_ISS_STOCK_NET" hidden="1">"c131"</definedName>
    <definedName name="IQ_ISSUE_CURRENCY" hidden="1">"c2156"</definedName>
    <definedName name="IQ_ISSUE_NAME" hidden="1">"c2142"</definedName>
    <definedName name="IQ_ISSUED_GUARANTEED_FNMA_FHLMC_GNMA_THRIFT" hidden="1">"c24833"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ISSUES_IN_DEFAULT_PRINCIPAL_AMT_OUTSTANDING_THRIFT" hidden="1">"c25442"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KEY_DEV_COMPANY_ID" hidden="1">"c13830"</definedName>
    <definedName name="IQ_KEY_DEV_COMPANY_NAME" hidden="1">"c13829"</definedName>
    <definedName name="IQ_KEY_DEV_DATE" hidden="1">"c13763"</definedName>
    <definedName name="IQ_KEY_DEV_HEADLINE" hidden="1">"c13761"</definedName>
    <definedName name="IQ_KEY_DEV_ID" hidden="1">"c13760"</definedName>
    <definedName name="IQ_KEY_DEV_ID_INCL_SUBS" hidden="1">"c13832"</definedName>
    <definedName name="IQ_KEY_DEV_SITUATION" hidden="1">"c13762"</definedName>
    <definedName name="IQ_KEY_DEV_SOURCE" hidden="1">"c13765"</definedName>
    <definedName name="IQ_KEY_DEV_TIME" hidden="1">"c13833"</definedName>
    <definedName name="IQ_KEY_DEV_TRANSACTION_ID" hidden="1">"c13766"</definedName>
    <definedName name="IQ_KEY_DEV_TYPE" hidden="1">"c13764"</definedName>
    <definedName name="IQ_KEY_PERSON_LIFE_INSURANCE_THRIFT" hidden="1">"c24885"</definedName>
    <definedName name="IQ_LABOR_BENEFITS_CIVILIANS" hidden="1">"c20789"</definedName>
    <definedName name="IQ_LABOR_BENEFITS_GOVT" hidden="1">"c20790"</definedName>
    <definedName name="IQ_LABOR_BENEFITS_PRIVATE_INDUSTRY" hidden="1">"c20791"</definedName>
    <definedName name="IQ_LABOR_COMP_CIVILIANS" hidden="1">"c20792"</definedName>
    <definedName name="IQ_LABOR_COMP_GOVT" hidden="1">"c20793"</definedName>
    <definedName name="IQ_LABOR_COMP_PRIVATE_INDUSTRY" hidden="1">"c20794"</definedName>
    <definedName name="IQ_LABOR_NONFARM_PAYROLL" hidden="1">"c20795"</definedName>
    <definedName name="IQ_LABOR_UNEMPLOYMENT_CLAIMS" hidden="1">"c20796"</definedName>
    <definedName name="IQ_LABOR_UNEMPLOYMENT_CLAIMS_4WEEK" hidden="1">"c20797"</definedName>
    <definedName name="IQ_LABOR_UNEMPLOYMENT_RATE" hidden="1">"c20798"</definedName>
    <definedName name="IQ_LABOR_UNEMPLOYMENT_RATE_PCT_INSURED" hidden="1">"c20799"</definedName>
    <definedName name="IQ_LABOR_WAGES_CIVILIANS" hidden="1">"c20800"</definedName>
    <definedName name="IQ_LABOR_WAGES_GOVT" hidden="1">"c20801"</definedName>
    <definedName name="IQ_LABOR_WAGES_PRIVATE_INDUSTRY" hidden="1">"c20802"</definedName>
    <definedName name="IQ_LAND" hidden="1">"c645"</definedName>
    <definedName name="IQ_LAND_LOANS_IN_PROCESS_FORECLOSURE_THRIFT" hidden="1">"c25309"</definedName>
    <definedName name="IQ_LAND_LOANS_TOTAL_LOANS_THRIFT" hidden="1">"c25747"</definedName>
    <definedName name="IQ_LAND_MINERAL_RIGHTS_TO_PPE_GROSS_COAL" hidden="1">"c15949"</definedName>
    <definedName name="IQ_LAND_MINERAL_RIGHTS_TO_PPE_NET_COAL" hidden="1">"c15950"</definedName>
    <definedName name="IQ_LAND_PML_ADJUSTED_NCOS_TOTAL_THRIFT" hidden="1">"c25208"</definedName>
    <definedName name="IQ_LAND_PML_GVA_CHARGE_OFFS_THRIFT" hidden="1">"c25123"</definedName>
    <definedName name="IQ_LAND_PML_GVA_RECOVERIES_THRIFT" hidden="1">"c25154"</definedName>
    <definedName name="IQ_LAND_PML_SVA_PROVISIONS_TRANSFERS_FROM_GVA_TOTAL_THRIFT" hidden="1">"c25177"</definedName>
    <definedName name="IQ_LANDS_MINERAL_RIGHTS_GROSS_COAL" hidden="1">"c15938"</definedName>
    <definedName name="IQ_LANDS_MINERAL_RIGHTS_NET_COAL" hidden="1">"c15939"</definedName>
    <definedName name="IQ_LAPSE_STATUTE_LIMITATIONS" hidden="1">"c15738"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localSheetId="12" hidden="1">"c646"</definedName>
    <definedName name="IQ_LASTSALEPRICE" localSheetId="7" hidden="1">"c646"</definedName>
    <definedName name="IQ_LASTSALEPRICE" hidden="1">"c191"</definedName>
    <definedName name="IQ_LASTSALEPRICE_DATE" hidden="1">"c2109"</definedName>
    <definedName name="IQ_LATEST" hidden="1">"1"</definedName>
    <definedName name="IQ_LATEST_MONTHLY_FACTOR" hidden="1">"c8971"</definedName>
    <definedName name="IQ_LATEST_MONTHLY_FACTOR_DATE" hidden="1">"c8972"</definedName>
    <definedName name="IQ_LATEST_TRANSACTION" hidden="1">"c18886"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EAD_UNDERWRITER" hidden="1">"c8957"</definedName>
    <definedName name="IQ_LEASE_EXPENSE" hidden="1">"c16039"</definedName>
    <definedName name="IQ_LEASE_FIN_RECEIVABLES_NON_US_CHARGE_OFFS_FFIEC" hidden="1">"c13631"</definedName>
    <definedName name="IQ_LEASE_FIN_RECEIVABLES_NON_US_RECOV_FFIEC" hidden="1">"c13635"</definedName>
    <definedName name="IQ_LEASE_FIN_RECEIVABLES_US_CHARGE_OFFS_FFIEC" hidden="1">"c13630"</definedName>
    <definedName name="IQ_LEASE_FIN_RECEIVABLES_US_RECOV_FFIEC" hidden="1">"c13634"</definedName>
    <definedName name="IQ_LEASE_FINANCE" hidden="1">"c5654"</definedName>
    <definedName name="IQ_LEASE_FINANCING_REC_DUE_30_89_FFIEC" hidden="1">"c13276"</definedName>
    <definedName name="IQ_LEASE_FINANCING_REC_DUE_90_FFIEC" hidden="1">"c13302"</definedName>
    <definedName name="IQ_LEASE_FINANCING_REC_NON_ACCRUAL_FFIEC" hidden="1">"c13328"</definedName>
    <definedName name="IQ_LEASE_FINANCING_RECEIVABLES_CHARGE_OFFS_FDIC" hidden="1">"c6602"</definedName>
    <definedName name="IQ_LEASE_FINANCING_RECEIVABLES_DOM_FFIEC" hidden="1">"c12915"</definedName>
    <definedName name="IQ_LEASE_FINANCING_RECEIVABLES_FDIC" hidden="1">"c6433"</definedName>
    <definedName name="IQ_LEASE_FINANCING_RECEIVABLES_NET_CHARGE_OFFS_FDIC" hidden="1">"c6640"</definedName>
    <definedName name="IQ_LEASE_FINANCING_RECEIVABLES_QUARTERLY_AVG_FFIEC" hidden="1">"c15483"</definedName>
    <definedName name="IQ_LEASE_FINANCING_RECEIVABLES_RECOVERIES_FDIC" hidden="1">"c6621"</definedName>
    <definedName name="IQ_LEASE_FINANCING_RECEIVABLES_TOTAL_LOANS_FOREIGN_FDIC" hidden="1">"c6449"</definedName>
    <definedName name="IQ_LEASE_PMT_REC_AFTER_FIVE" hidden="1">"c16099"</definedName>
    <definedName name="IQ_LEASE_PMT_REC_CY" hidden="1">"c16093"</definedName>
    <definedName name="IQ_LEASE_PMT_REC_CY1" hidden="1">"c16094"</definedName>
    <definedName name="IQ_LEASE_PMT_REC_CY2" hidden="1">"c16095"</definedName>
    <definedName name="IQ_LEASE_PMT_REC_CY3" hidden="1">"c16096"</definedName>
    <definedName name="IQ_LEASE_PMT_REC_CY4" hidden="1">"c16097"</definedName>
    <definedName name="IQ_LEASE_PMT_REC_NEXT_FIVE" hidden="1">"c16098"</definedName>
    <definedName name="IQ_LEASE_PMT_REC_TOTAL" hidden="1">"c16100"</definedName>
    <definedName name="IQ_LEASE_RECEIVABLES_FOREIGN_FFIEC" hidden="1">"c13483"</definedName>
    <definedName name="IQ_LEASE_RECEIVABLES_THRIFT" hidden="1">"c24857"</definedName>
    <definedName name="IQ_LEASE_REVENUE" hidden="1">"c16023"</definedName>
    <definedName name="IQ_LEASE_TERMINATION_FEES" hidden="1">"c16182"</definedName>
    <definedName name="IQ_LEASED_RESERVES_COAL" hidden="1">"c15918"</definedName>
    <definedName name="IQ_LEASED_RESERVES_TO_TOTAL_RESERVES_COAL" hidden="1">"c15958"</definedName>
    <definedName name="IQ_LEASEHOLD_IMPROVEMENT" hidden="1">"c17549"</definedName>
    <definedName name="IQ_LEASES_INDIVIDUALS_CHARGE_OFFS_FFIEC" hidden="1">"c13184"</definedName>
    <definedName name="IQ_LEASES_INDIVIDUALS_RECOV_FFIEC" hidden="1">"c13206"</definedName>
    <definedName name="IQ_LEASES_PERSONAL_EXP_DUE_30_89_FFIEC" hidden="1">"c13277"</definedName>
    <definedName name="IQ_LEASES_PERSONAL_EXP_DUE_90_FFIEC" hidden="1">"c13303"</definedName>
    <definedName name="IQ_LEASES_PERSONAL_EXP_NON_ACCRUAL_FFIEC" hidden="1">"c13329"</definedName>
    <definedName name="IQ_LEGAL_EXP_THRIFT" hidden="1">"c24789"</definedName>
    <definedName name="IQ_LEGAL_FEES_FFIEC" hidden="1">"c13052"</definedName>
    <definedName name="IQ_LEGAL_SETTLE" hidden="1">"c647"</definedName>
    <definedName name="IQ_LEGAL_SETTLE_BNK" hidden="1">"c648"</definedName>
    <definedName name="IQ_LEGAL_SETTLE_BR" hidden="1">"c649"</definedName>
    <definedName name="IQ_LEGAL_SETTLE_CM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SUPPLE" hidden="1">"c13815"</definedName>
    <definedName name="IQ_LEGAL_SETTLE_UTI" hidden="1">"c653"</definedName>
    <definedName name="IQ_LETTERS_CREDIT_THRIFT" hidden="1">"c25612"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ABILITIES_FAIR_VALUE" hidden="1">"c13848"</definedName>
    <definedName name="IQ_LIABILITIES_LEVEL_1" hidden="1">"c13844"</definedName>
    <definedName name="IQ_LIABILITIES_LEVEL_2" hidden="1">"c13845"</definedName>
    <definedName name="IQ_LIABILITIES_LEVEL_3" hidden="1">"c13846"</definedName>
    <definedName name="IQ_LIABILITIES_NETTING_OTHER_ADJUSTMENTS" hidden="1">"c13847"</definedName>
    <definedName name="IQ_LIABILITY_ACCEPTANCES_OUT_FFIEC" hidden="1">"c12866"</definedName>
    <definedName name="IQ_LIABILITY_SHORT_POSITIONS_DOM_FFIEC" hidden="1">"c12941"</definedName>
    <definedName name="IQ_LICENSED_POPS" hidden="1">"c2123"</definedName>
    <definedName name="IQ_LICENSED_WIRELESS_POPS" hidden="1">"c2123"</definedName>
    <definedName name="IQ_LIFE_EARNED" hidden="1">"c2739"</definedName>
    <definedName name="IQ_LIFE_INSURANCE_ASSETS_FDIC" hidden="1">"c6372"</definedName>
    <definedName name="IQ_LIFE_INSURANCE_ASSETS_FFIEC" hidden="1">"c12847"</definedName>
    <definedName name="IQ_LIFOR" hidden="1">"c655"</definedName>
    <definedName name="IQ_LIMITED_PARTNERS" hidden="1">"c18915"</definedName>
    <definedName name="IQ_LIMITED_PARTNERS_ID" hidden="1">"c18916"</definedName>
    <definedName name="IQ_LIMITED_PARTNERS_REL" hidden="1">"c19114"</definedName>
    <definedName name="IQ_LINE_EXTENSIONS_CABLE_INVEST" hidden="1">"c15803"</definedName>
    <definedName name="IQ_LIQUID_ASSETS_ASSETS_TOT_FFIEC" hidden="1">"c13439"</definedName>
    <definedName name="IQ_LIQUID_ASSETS_NON_LIQUID_ASSETS_THRIFT" hidden="1">"c25626"</definedName>
    <definedName name="IQ_LIQUID_ASSETS_NONCORE_FUNDING_FFIEC" hidden="1">"c13339"</definedName>
    <definedName name="IQ_LIQUID_ASSETS_TOTAL_ASSETS_THRIFT" hidden="1">"c25696"</definedName>
    <definedName name="IQ_LIQUIDATION_VALUE_PREFERRED_CONVERT" hidden="1">"c13835"</definedName>
    <definedName name="IQ_LIQUIDATION_VALUE_PREFERRED_NON_REDEEM" hidden="1">"c13836"</definedName>
    <definedName name="IQ_LIQUIDATION_VALUE_PREFERRED_REDEEM" hidden="1">"c13837"</definedName>
    <definedName name="IQ_LL" hidden="1">"c656"</definedName>
    <definedName name="IQ_LL_ALLOWANCE_GROSS_LOANS_THRIFT" hidden="1">"c25637"</definedName>
    <definedName name="IQ_LL_ALLOWANCE_NET_LOANS_LOSSES_THRIFT" hidden="1">"c25642"</definedName>
    <definedName name="IQ_LL_ALLOWANCE_NONACCRUAL_ASSETS_THRIFT" hidden="1">"c25638"</definedName>
    <definedName name="IQ_LME_INVENTORY" hidden="1">"c24740"</definedName>
    <definedName name="IQ_LOAN_ALLOW_GROSS_LOANS_FFIEC" hidden="1">"c13415"</definedName>
    <definedName name="IQ_LOAN_ALLOWANCE_GROSS_LOSSES_FFIEC" hidden="1">"c13352"</definedName>
    <definedName name="IQ_LOAN_ALLOWANCE_NET_LOANS_FFIEC" hidden="1">"c13472"</definedName>
    <definedName name="IQ_LOAN_ALLOWANCE_NONACCRUAL_ASSETS_FFIEC" hidden="1">"c13473"</definedName>
    <definedName name="IQ_LOAN_ALLOWANCE_PAST_DUE_NONACCRUAL_FFIEC" hidden="1">"c13474"</definedName>
    <definedName name="IQ_LOAN_COMMITMENTS_FAIR_VALUE_TOT_FFIEC" hidden="1">"c13216"</definedName>
    <definedName name="IQ_LOAN_COMMITMENTS_LEVEL_1_FFIEC" hidden="1">"c13224"</definedName>
    <definedName name="IQ_LOAN_COMMITMENTS_LEVEL_2_FFIEC" hidden="1">"c13232"</definedName>
    <definedName name="IQ_LOAN_COMMITMENTS_LEVEL_3_FFIEC" hidden="1">"c13240"</definedName>
    <definedName name="IQ_LOAN_COMMITMENTS_REVOLVING_FDIC" hidden="1">"c6524"</definedName>
    <definedName name="IQ_LOAN_LEASE_ALLOWANCE_PAST_DUE_NONACCRUAL_LOANS_THRIFT" hidden="1">"c25643"</definedName>
    <definedName name="IQ_LOAN_LEASE_RECEIV" hidden="1">"c657"</definedName>
    <definedName name="IQ_LOAN_LOSS" localSheetId="12" hidden="1">"c1386"</definedName>
    <definedName name="IQ_LOAN_LOSS" localSheetId="7" hidden="1">"c1386"</definedName>
    <definedName name="IQ_LOAN_LOSS" hidden="1">"c12"</definedName>
    <definedName name="IQ_LOAN_LOSS_ALLOW_FDIC" hidden="1">"c6326"</definedName>
    <definedName name="IQ_LOAN_LOSS_ALLOWANCE_GROSS_LOANS_THRIFT" hidden="1">"c25736"</definedName>
    <definedName name="IQ_LOAN_LOSS_ALLOWANCE_NON_PERF_ASSETS_FFIEC" hidden="1">"c13912"</definedName>
    <definedName name="IQ_LOAN_LOSS_ALLOWANCE_NONCURRENT_LOANS_FDIC" hidden="1">"c6740"</definedName>
    <definedName name="IQ_LOAN_LOSS_PROVISION_FOREIGN_FFIEC" hidden="1">"c15382"</definedName>
    <definedName name="IQ_LOAN_LOSSES_AVERAGE_LOANS_FFIEC" hidden="1">"c13350"</definedName>
    <definedName name="IQ_LOAN_LOSSES_FDIC" hidden="1">"c6580"</definedName>
    <definedName name="IQ_LOAN_RECOVERIES_AVG_LOANS_THRIFT" hidden="1">"c25644"</definedName>
    <definedName name="IQ_LOAN_SERVICE_REV" hidden="1">"c658"</definedName>
    <definedName name="IQ_LOAN_SERVICING_FEES_THRIFT" hidden="1">"c24790"</definedName>
    <definedName name="IQ_LOANS_AGRICULTURAL_PROD_LL_REC_FFIEC" hidden="1">"c12886"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CM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_LL_REC_DOM_FFIEC" hidden="1">"c25855"</definedName>
    <definedName name="IQ_LOANS_DEP_LL_REC_FFIEC" hidden="1">"c25851"</definedName>
    <definedName name="IQ_LOANS_DEP_OTHER_LL_REC_DOM_FFIEC" hidden="1">"c25854"</definedName>
    <definedName name="IQ_LOANS_DEP_OTHER_LL_REC_FFIEC" hidden="1">"c25850"</definedName>
    <definedName name="IQ_LOANS_DEPOSITORY_INST_US_LL_REC_FFIEC" hidden="1">"c12884"</definedName>
    <definedName name="IQ_LOANS_DEPOSITORY_INSTITUTIONS_FDIC" hidden="1">"c6382"</definedName>
    <definedName name="IQ_LOANS_DOM_QUARTERLY_AVG_FFIEC" hidden="1">"c13084"</definedName>
    <definedName name="IQ_LOANS_FARMERS_CHARGE_OFFS_FFIEC" hidden="1">"c13177"</definedName>
    <definedName name="IQ_LOANS_FARMERS_RECOV_FFIEC" hidden="1">"c13199"</definedName>
    <definedName name="IQ_LOANS_FINANCE_AGRICULTURAL_DUE_30_89_FFIEC" hidden="1">"c13270"</definedName>
    <definedName name="IQ_LOANS_FINANCE_AGRICULTURAL_DUE_90_FFIEC" hidden="1">"c13296"</definedName>
    <definedName name="IQ_LOANS_FINANCE_AGRICULTURAL_NON_ACCRUAL_FFIEC" hidden="1">"c13322"</definedName>
    <definedName name="IQ_LOANS_FINANCE_AGRICULTURAL_PROD_LL_REC_DOM_FFIEC" hidden="1">"c12909"</definedName>
    <definedName name="IQ_LOANS_FOR_SALE" hidden="1">"c666"</definedName>
    <definedName name="IQ_LOANS_FOREIGN_GOV_CHARGE_OFFS_FFIEC" hidden="1">"c13182"</definedName>
    <definedName name="IQ_LOANS_FOREIGN_GOV_DUE_30_89_FFIEC" hidden="1">"c13274"</definedName>
    <definedName name="IQ_LOANS_FOREIGN_GOV_DUE_90_FFIEC" hidden="1">"c13300"</definedName>
    <definedName name="IQ_LOANS_FOREIGN_GOV_LL_REC_DOM_FFIEC" hidden="1">"c12912"</definedName>
    <definedName name="IQ_LOANS_FOREIGN_GOV_NON_ACCRUAL_FFIEC" hidden="1">"c13326"</definedName>
    <definedName name="IQ_LOANS_FOREIGN_GOV_RECOV_FFIEC" hidden="1">"c13204"</definedName>
    <definedName name="IQ_LOANS_FOREIGN_INST_CHARGE_OFFS_FFIEC" hidden="1">"c13176"</definedName>
    <definedName name="IQ_LOANS_FOREIGN_INST_RECOV_FFIEC" hidden="1">"c13198"</definedName>
    <definedName name="IQ_LOANS_FOREIGN_LL_REC_FFIEC" hidden="1">"c12885"</definedName>
    <definedName name="IQ_LOANS_GOV_GUARANTEED_DUE_30_89_FFIEC" hidden="1">"c13281"</definedName>
    <definedName name="IQ_LOANS_GOV_GUARANTEED_DUE_90_FFIEC" hidden="1">"c13307"</definedName>
    <definedName name="IQ_LOANS_GOV_GUARANTEED_EXCL_GNMA_DUE_30_89_FFIEC" hidden="1">"c13282"</definedName>
    <definedName name="IQ_LOANS_GOV_GUARANTEED_EXCL_GNMA_DUE_90_FFIEC" hidden="1">"c13308"</definedName>
    <definedName name="IQ_LOANS_GOV_GUARANTEED_EXCL_GNMA_NON_ACCRUAL_FFIEC" hidden="1">"c13333"</definedName>
    <definedName name="IQ_LOANS_GOV_GUARANTEED_NON_ACCRUAL_FFIEC" hidden="1">"c13332"</definedName>
    <definedName name="IQ_LOANS_HELD_FOREIGN_FDIC" hidden="1">"c6315"</definedName>
    <definedName name="IQ_LOANS_INDIVIDUALS_FOREIGN_FFIEC" hidden="1">"c13480"</definedName>
    <definedName name="IQ_LOANS_INDIVIDUALS_GROSS_LOANS_THRIFT" hidden="1">"c25733"</definedName>
    <definedName name="IQ_LOANS_INDIVIDUALS_RISK_BASED_CAPITAL_THRIFT" hidden="1">"c25718"</definedName>
    <definedName name="IQ_LOANS_LEASES_AMOUNTS_NETTED_THRIFT" hidden="1">"c25498"</definedName>
    <definedName name="IQ_LOANS_LEASES_ASSETS_TOT_FFIEC" hidden="1">"c13437"</definedName>
    <definedName name="IQ_LOANS_LEASES_FAIR_VALUE_TOT_FFIEC" hidden="1">"c13209"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HELD_SALE_FFIEC" hidden="1">"c12808"</definedName>
    <definedName name="IQ_LOANS_LEASES_HFI_FAIR_VALUE_TOT_FFIEC" hidden="1">"c15401"</definedName>
    <definedName name="IQ_LOANS_LEASES_HFI_LEVEL_1_FFIEC" hidden="1">"c15423"</definedName>
    <definedName name="IQ_LOANS_LEASES_HFI_LEVEL_2_FFIEC" hidden="1">"c15436"</definedName>
    <definedName name="IQ_LOANS_LEASES_HFI_LEVEL_3_FFIEC" hidden="1">"c15449"</definedName>
    <definedName name="IQ_LOANS_LEASES_HFS_DUE_30_89_THRIFT" hidden="1">"c25257"</definedName>
    <definedName name="IQ_LOANS_LEASES_HFS_DUE_90_THRIFT" hidden="1">"c25278"</definedName>
    <definedName name="IQ_LOANS_LEASES_HFS_FAIR_VALUE_TOT_FFIEC" hidden="1">"c15400"</definedName>
    <definedName name="IQ_LOANS_LEASES_HFS_LEVEL_1_FFIEC" hidden="1">"c15422"</definedName>
    <definedName name="IQ_LOANS_LEASES_HFS_LEVEL_2_FFIEC" hidden="1">"c15435"</definedName>
    <definedName name="IQ_LOANS_LEASES_HFS_LEVEL_3_FFIEC" hidden="1">"c15448"</definedName>
    <definedName name="IQ_LOANS_LEASES_HFS_NON_ACCRUAL_THRIFT" hidden="1">"c25299"</definedName>
    <definedName name="IQ_LOANS_LEASES_LEVEL_1_FFIEC" hidden="1">"c13217"</definedName>
    <definedName name="IQ_LOANS_LEASES_LEVEL_1_THRIFT" hidden="1">"c25494"</definedName>
    <definedName name="IQ_LOANS_LEASES_LEVEL_2_FFIEC" hidden="1">"c13225"</definedName>
    <definedName name="IQ_LOANS_LEASES_LEVEL_2_THRIFT" hidden="1">"c25495"</definedName>
    <definedName name="IQ_LOANS_LEASES_LEVEL_3_FFIEC" hidden="1">"c13233"</definedName>
    <definedName name="IQ_LOANS_LEASES_LEVEL_3_THRIFT" hidden="1">"c25496"</definedName>
    <definedName name="IQ_LOANS_LEASES_NET_FDIC" hidden="1">"c6327"</definedName>
    <definedName name="IQ_LOANS_LEASES_NET_UNEARNED_FDIC" hidden="1">"c6325"</definedName>
    <definedName name="IQ_LOANS_LEASES_NET_UNEARNED_INC_ALLOWANCE_FFIEC" hidden="1">"c12811"</definedName>
    <definedName name="IQ_LOANS_LEASES_NET_UNEARNED_INCOME_FFIEC" hidden="1">"c12809"</definedName>
    <definedName name="IQ_LOANS_LEASES_QUARTERLY_AVG_FFIEC" hidden="1">"c13081"</definedName>
    <definedName name="IQ_LOANS_LEASES_REPORTED_WHOLLY_PARTIALLY_GUARANT_US_GOVT_AGENCY_SPONS_ENTITY_DUE_30_89_THRIFT" hidden="1">"c25258"</definedName>
    <definedName name="IQ_LOANS_LEASES_REPORTED_WHOLLY_PARTIALLY_GUARANT_US_GOVT_AGENCY_SPONS_ENTITY_DUE_90_THRIFT" hidden="1">"c25279"</definedName>
    <definedName name="IQ_LOANS_LEASES_REPORTED_WHOLLY_PARTIALLY_GUARANT_US_GOVT_AGENCY_SPONS_ENTITY_NON_ACCRUAL_THRIFT" hidden="1">"c25300"</definedName>
    <definedName name="IQ_LOANS_LEASES_TOTAL_AFTER_NETTING_THRIFT" hidden="1">"c25499"</definedName>
    <definedName name="IQ_LOANS_LEASES_TOTAL_BEFORE_NETTING_THRIFT" hidden="1">"c25497"</definedName>
    <definedName name="IQ_LOANS_LOC_ASSETS_TOT_FFIEC" hidden="1">"c13441"</definedName>
    <definedName name="IQ_LOANS_NOT_SECURED_RE_FDIC" hidden="1">"c6381"</definedName>
    <definedName name="IQ_LOANS_PAST_DUE" hidden="1">"c667"</definedName>
    <definedName name="IQ_LOANS_PURCHASE_CARRY_LL_REC_DOM_FFIEC" hidden="1">"c25856"</definedName>
    <definedName name="IQ_LOANS_PURCHASE_CARRY_LL_REC_FFIEC" hidden="1">"c25852"</definedName>
    <definedName name="IQ_LOANS_PURCHASING_CARRYING_SECURITIES_LL_REC_DOM_FFIEC" hidden="1">"c12913"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_RE_FOREIGN_CHARGE_OFFS_FFIEC" hidden="1">"c13174"</definedName>
    <definedName name="IQ_LOANS_SEC_RE_FOREIGN_RECOV_FFIEC" hidden="1">"c13196"</definedName>
    <definedName name="IQ_LOANS_SECURED_1_4_DOM_QUARTERLY_AVG_FFIEC" hidden="1">"c13082"</definedName>
    <definedName name="IQ_LOANS_SECURED_BY_RE_CHARGE_OFFS_FDIC" hidden="1">"c6588"</definedName>
    <definedName name="IQ_LOANS_SECURED_BY_RE_RECOVERIES_FDIC" hidden="1">"c6607"</definedName>
    <definedName name="IQ_LOANS_SECURED_CONSTRUCTION_TRADING_DOM_FFIEC" hidden="1">"c12925"</definedName>
    <definedName name="IQ_LOANS_SECURED_FARM_100000_THROUGH_250000_THRIFT" hidden="1">"c24968"</definedName>
    <definedName name="IQ_LOANS_SECURED_FARM_250000_THROUGH_500000_THRIFT" hidden="1">"c24970"</definedName>
    <definedName name="IQ_LOANS_SECURED_FARM_LESS_THAN_EQUAL_100000_THRIFT" hidden="1">"c24966"</definedName>
    <definedName name="IQ_LOANS_SECURED_FARMLAND_TRADING_DOM_FFIEC" hidden="1">"c12926"</definedName>
    <definedName name="IQ_LOANS_SECURED_NON_US_FDIC" hidden="1">"c6380"</definedName>
    <definedName name="IQ_LOANS_SECURED_RE_DOM_QUARTERLY_AVG_FFIEC" hidden="1">"c13083"</definedName>
    <definedName name="IQ_LOANS_SECURED_RE_FFIEC" hidden="1">"c12820"</definedName>
    <definedName name="IQ_LOANS_SECURED_RE_LL_REC_FFIEC" hidden="1">"c12883"</definedName>
    <definedName name="IQ_LOANS_SECURED_RE_NET_CHARGE_OFFS_FDIC" hidden="1">"c6626"</definedName>
    <definedName name="IQ_LOANS_SERVICED_OTHERS_THRIFT" hidden="1">"c24935"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ANS_US_INST_CHARGE_OFFS_FFIEC" hidden="1">"c13175"</definedName>
    <definedName name="IQ_LOANS_US_INST_RECOV_FFIEC" hidden="1">"c13197"</definedName>
    <definedName name="IQ_LONG_TERM_ASSETS_FDIC" hidden="1">"c6361"</definedName>
    <definedName name="IQ_LONG_TERM_DEBT" localSheetId="12" hidden="1">"c1387"</definedName>
    <definedName name="IQ_LONG_TERM_DEBT" localSheetId="7" hidden="1">"c1387"</definedName>
    <definedName name="IQ_LONG_TERM_DEBT" hidden="1">"c98"</definedName>
    <definedName name="IQ_LONG_TERM_DEBT_OVER_TOTAL_CAP" localSheetId="12" hidden="1">"c1388"</definedName>
    <definedName name="IQ_LONG_TERM_DEBT_OVER_TOTAL_CAP" localSheetId="7" hidden="1">"c1388"</definedName>
    <definedName name="IQ_LONG_TERM_DEBT_OVER_TOTAL_CAP" hidden="1">"c181"</definedName>
    <definedName name="IQ_LONG_TERM_GROWTH" localSheetId="12" hidden="1">"c671"</definedName>
    <definedName name="IQ_LONG_TERM_GROWTH" localSheetId="7" hidden="1">"c671"</definedName>
    <definedName name="IQ_LONG_TERM_GROWTH" hidden="1">"c143"</definedName>
    <definedName name="IQ_LONG_TERM_INV" localSheetId="12" hidden="1">"c1389"</definedName>
    <definedName name="IQ_LONG_TERM_INV" localSheetId="7" hidden="1">"c1389"</definedName>
    <definedName name="IQ_LONG_TERM_INV" hidden="1">"c87"</definedName>
    <definedName name="IQ_LOSS_ALLOWANCE_LOANS_FDIC" hidden="1">"c6739"</definedName>
    <definedName name="IQ_LOSS_AVAIL_SALE_EQUITY_SEC_T1_FFIEC" hidden="1">"c13132"</definedName>
    <definedName name="IQ_LOSS_LOSS_EXP" hidden="1">"c672"</definedName>
    <definedName name="IQ_LOSS_RECOGNIZED_OCI_FFIEC" hidden="1">"c25847"</definedName>
    <definedName name="IQ_LOSS_TO_NET_EARNED" hidden="1">"c2751"</definedName>
    <definedName name="IQ_LOW_DATE_RT" hidden="1">"LOWDATE"</definedName>
    <definedName name="IQ_LOW_PRICE_RT" hidden="1">"LOW"</definedName>
    <definedName name="IQ_LOW_SULFUR_CONTENT_RESERVES_COAL" hidden="1">"c15924"</definedName>
    <definedName name="IQ_LOW_SULFURE_RESERVES_TO_TOTAL_RESERVES_COAL" hidden="1">"c15961"</definedName>
    <definedName name="IQ_LOW_TARGET_PRICE" hidden="1">"c1652"</definedName>
    <definedName name="IQ_LOW_TARGET_PRICE_CIQ" hidden="1">"c4660"</definedName>
    <definedName name="IQ_LOW_TIME_RT" hidden="1">"LOWTIME"</definedName>
    <definedName name="IQ_LOWPRICE" localSheetId="12" hidden="1">"c673"</definedName>
    <definedName name="IQ_LOWPRICE" localSheetId="7" hidden="1">"c673"</definedName>
    <definedName name="IQ_LOWPRICE" hidden="1">"c194"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CM" hidden="1">"c676"</definedName>
    <definedName name="IQ_LT_DEBT_DERIVATIVES" hidden="1">"c17743"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CM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MATURING_1YR_INT_SENSITIVITY_FFIEC" hidden="1">"c13097"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CM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REPRICE_ASSETS_TOT_FFIEC" hidden="1">"c13453"</definedName>
    <definedName name="IQ_LT_DEBT_REPRICING_WITHIN_1_YR_INT_SENSITIVITY_FFIEC" hidden="1">"c13095"</definedName>
    <definedName name="IQ_LT_DEBT_UTI" hidden="1">"c696"</definedName>
    <definedName name="IQ_LT_GROWTH_DET_EST" hidden="1">"c12060"</definedName>
    <definedName name="IQ_LT_GROWTH_DET_EST_CIQ" hidden="1">"c12122"</definedName>
    <definedName name="IQ_LT_GROWTH_DET_EST_DATE" hidden="1">"c12213"</definedName>
    <definedName name="IQ_LT_GROWTH_DET_EST_DATE_CIQ" hidden="1">"c12268"</definedName>
    <definedName name="IQ_LT_GROWTH_DET_EST_INCL" hidden="1">"c12350"</definedName>
    <definedName name="IQ_LT_GROWTH_DET_EST_INCL_CIQ" hidden="1">"c12396"</definedName>
    <definedName name="IQ_LT_GROWTH_DET_EST_ORIGIN" hidden="1">"c12725"</definedName>
    <definedName name="IQ_LT_GROWTH_DET_EST_ORIGIN_CIQ" hidden="1">"c12721"</definedName>
    <definedName name="IQ_LT_INVEST" hidden="1">"c697"</definedName>
    <definedName name="IQ_LT_INVEST_BR" hidden="1">"c698"</definedName>
    <definedName name="IQ_LT_INVEST_CM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localSheetId="12" hidden="1">"c1602"</definedName>
    <definedName name="IQ_LT_NOTE_RECEIV" localSheetId="7" hidden="1">"c1602"</definedName>
    <definedName name="IQ_LT_NOTE_RECEIV" hidden="1">"c289"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DATE" hidden="1">"IQ_LTM_DATE"</definedName>
    <definedName name="IQ_LTM_REVENUE_OVER_EMPLOYEES" localSheetId="12" hidden="1">"c1437"</definedName>
    <definedName name="IQ_LTM_REVENUE_OVER_EMPLOYEES" localSheetId="7" hidden="1">"c1437"</definedName>
    <definedName name="IQ_LTM_REVENUE_OVER_EMPLOYEES" hidden="1">"c179"</definedName>
    <definedName name="IQ_LTMMONTH" hidden="1">120000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CRO_SURVEY_BUSINESS_BAROMETER" hidden="1">"c20803"</definedName>
    <definedName name="IQ_MACRO_SURVEY_BUSINESS_CONDITION" hidden="1">"c20804"</definedName>
    <definedName name="IQ_MACRO_SURVEY_BUSINESS_CONDITIONS" hidden="1">"c20805"</definedName>
    <definedName name="IQ_MACRO_SURVEY_CONSUMER_COMFORT" hidden="1">"c20806"</definedName>
    <definedName name="IQ_MACRO_SURVEY_CONSUMER_CONFIDENCE" hidden="1">"c20807"</definedName>
    <definedName name="IQ_MACRO_SURVEY_ISM_NONMANUFACTURING" hidden="1">"c20809"</definedName>
    <definedName name="IQ_MACRO_SURVEY_ISM_PMI" hidden="1">"c20810"</definedName>
    <definedName name="IQ_MACRO_SURVEY_LEADING_INDICATOR" hidden="1">"c20811"</definedName>
    <definedName name="IQ_MACRO_SURVEY_PMAC_DIFFUSION" hidden="1">"c20812"</definedName>
    <definedName name="IQ_MAINT_CAPEX" hidden="1">"c2947"</definedName>
    <definedName name="IQ_MAINT_CAPEX_ACT_OR_EST_CIQ" hidden="1">"c4987"</definedName>
    <definedName name="IQ_MAINT_CAPEX_DET_EST_CIQ" hidden="1">"c24574"</definedName>
    <definedName name="IQ_MAINT_CAPEX_DET_EST_CURRENCY_CIQ" hidden="1">"c24578"</definedName>
    <definedName name="IQ_MAINT_CAPEX_DET_EST_DATE_CIQ" hidden="1">"c24575"</definedName>
    <definedName name="IQ_MAINT_CAPEX_DET_EST_INCL_CIQ" hidden="1">"c24576"</definedName>
    <definedName name="IQ_MAINT_CAPEX_DET_EST_NOTE_CIQ" hidden="1">"c24577"</definedName>
    <definedName name="IQ_MAINT_CAPEX_DET_EST_ORIGIN_CIQ" hidden="1">"c24579"</definedName>
    <definedName name="IQ_MAINT_CAPEX_EST_CIQ" hidden="1">"c4986"</definedName>
    <definedName name="IQ_MAINT_CAPEX_EST_DOWN_2MONTH_CIQ" hidden="1">"c24586"</definedName>
    <definedName name="IQ_MAINT_CAPEX_EST_DOWN_3MONTH_CIQ" hidden="1">"c24590"</definedName>
    <definedName name="IQ_MAINT_CAPEX_EST_DOWN_MONTH_CIQ" hidden="1">"c24582"</definedName>
    <definedName name="IQ_MAINT_CAPEX_EST_NOTE_CIQ" hidden="1">"c24573"</definedName>
    <definedName name="IQ_MAINT_CAPEX_EST_NUM_ANALYSTS_2MONTH_CIQ" hidden="1">"c24584"</definedName>
    <definedName name="IQ_MAINT_CAPEX_EST_NUM_ANALYSTS_3MONTH_CIQ" hidden="1">"c24588"</definedName>
    <definedName name="IQ_MAINT_CAPEX_EST_NUM_ANALYSTS_MONTH_CIQ" hidden="1">"c24580"</definedName>
    <definedName name="IQ_MAINT_CAPEX_EST_TOTAL_REVISED_2MONTH_CIQ" hidden="1">"c24587"</definedName>
    <definedName name="IQ_MAINT_CAPEX_EST_TOTAL_REVISED_3MONTH_CIQ" hidden="1">"c24591"</definedName>
    <definedName name="IQ_MAINT_CAPEX_EST_TOTAL_REVISED_MONTH_CIQ" hidden="1">"c24583"</definedName>
    <definedName name="IQ_MAINT_CAPEX_EST_UP_2MONTH_CIQ" hidden="1">"c24585"</definedName>
    <definedName name="IQ_MAINT_CAPEX_EST_UP_3MONTH_CIQ" hidden="1">"c24589"</definedName>
    <definedName name="IQ_MAINT_CAPEX_EST_UP_MONTH_CIQ" hidden="1">"c24581"</definedName>
    <definedName name="IQ_MAINT_CAPEX_GUIDANCE" hidden="1">"c4459"</definedName>
    <definedName name="IQ_MAINT_CAPEX_HIGH_EST_CIQ" hidden="1">"c4989"</definedName>
    <definedName name="IQ_MAINT_CAPEX_HIGH_GUIDANCE" hidden="1">"c4197"</definedName>
    <definedName name="IQ_MAINT_CAPEX_LOW_EST_CIQ" hidden="1">"c4990"</definedName>
    <definedName name="IQ_MAINT_CAPEX_LOW_GUIDANCE" hidden="1">"c4237"</definedName>
    <definedName name="IQ_MAINT_CAPEX_MEDIAN_EST_CIQ" hidden="1">"c4991"</definedName>
    <definedName name="IQ_MAINT_CAPEX_NUM_EST_CIQ" hidden="1">"c5001"</definedName>
    <definedName name="IQ_MAINT_CAPEX_STDDEV_EST_CIQ" hidden="1">"c5002"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NUFACTURING_INV_APPAREL" hidden="1">"c20813"</definedName>
    <definedName name="IQ_MANUFACTURING_INV_BEVERAGE" hidden="1">"c20814"</definedName>
    <definedName name="IQ_MANUFACTURING_INV_CHEMICALS" hidden="1">"c20815"</definedName>
    <definedName name="IQ_MANUFACTURING_INV_COMPUTER" hidden="1">"c20816"</definedName>
    <definedName name="IQ_MANUFACTURING_INV_DUR" hidden="1">"c20817"</definedName>
    <definedName name="IQ_MANUFACTURING_INV_DUR_MISC" hidden="1">"c20818"</definedName>
    <definedName name="IQ_MANUFACTURING_INV_ELECTRIC" hidden="1">"c20819"</definedName>
    <definedName name="IQ_MANUFACTURING_INV_FAB_METALS" hidden="1">"c20820"</definedName>
    <definedName name="IQ_MANUFACTURING_INV_FOOD" hidden="1">"c20821"</definedName>
    <definedName name="IQ_MANUFACTURING_INV_FURNITURE" hidden="1">"c20822"</definedName>
    <definedName name="IQ_MANUFACTURING_INV_LEATHER" hidden="1">"c20823"</definedName>
    <definedName name="IQ_MANUFACTURING_INV_MACHINERY" hidden="1">"c20824"</definedName>
    <definedName name="IQ_MANUFACTURING_INV_MINERAL" hidden="1">"c20825"</definedName>
    <definedName name="IQ_MANUFACTURING_INV_NONDUR" hidden="1">"c20826"</definedName>
    <definedName name="IQ_MANUFACTURING_INV_PAPER" hidden="1">"c20827"</definedName>
    <definedName name="IQ_MANUFACTURING_INV_PETROLEUM" hidden="1">"c20828"</definedName>
    <definedName name="IQ_MANUFACTURING_INV_PLASTICS" hidden="1">"c20829"</definedName>
    <definedName name="IQ_MANUFACTURING_INV_PRIMARY_METALS" hidden="1">"c20830"</definedName>
    <definedName name="IQ_MANUFACTURING_INV_PRINTING" hidden="1">"c20831"</definedName>
    <definedName name="IQ_MANUFACTURING_INV_SALES_RATIO" hidden="1">"c20832"</definedName>
    <definedName name="IQ_MANUFACTURING_INV_TEXTILE_MILLS" hidden="1">"c20833"</definedName>
    <definedName name="IQ_MANUFACTURING_INV_TEXTILE_PRODUCTS" hidden="1">"c20834"</definedName>
    <definedName name="IQ_MANUFACTURING_INV_TOTAL" hidden="1">"c20835"</definedName>
    <definedName name="IQ_MANUFACTURING_INV_TRANSPORTATION" hidden="1">"c20836"</definedName>
    <definedName name="IQ_MANUFACTURING_INV_WOOD" hidden="1">"c20837"</definedName>
    <definedName name="IQ_MANUFACTURING_NEW_ORDERS" hidden="1">"c20838"</definedName>
    <definedName name="IQ_MANUFACTURING_NEW_ORDERS_COMPUTERS" hidden="1">"c20839"</definedName>
    <definedName name="IQ_MANUFACTURING_NEW_ORDERS_DUR" hidden="1">"c20840"</definedName>
    <definedName name="IQ_MANUFACTURING_NEW_ORDERS_ELECTRIC" hidden="1">"c20841"</definedName>
    <definedName name="IQ_MANUFACTURING_NEW_ORDERS_FAB_METALS" hidden="1">"c20842"</definedName>
    <definedName name="IQ_MANUFACTURING_NEW_ORDERS_FURNITURE" hidden="1">"c20843"</definedName>
    <definedName name="IQ_MANUFACTURING_NEW_ORDERS_MACHINERY" hidden="1">"c20844"</definedName>
    <definedName name="IQ_MANUFACTURING_NEW_ORDERS_METALS" hidden="1">"c20845"</definedName>
    <definedName name="IQ_MANUFACTURING_NEW_ORDERS_NONDUR" hidden="1">"c20846"</definedName>
    <definedName name="IQ_MANUFACTURING_NEW_ORDERS_TRANSPORTATION" hidden="1">"c20847"</definedName>
    <definedName name="IQ_MANUFACTURING_SHIPMENTS_APPAREL" hidden="1">"c20848"</definedName>
    <definedName name="IQ_MANUFACTURING_SHIPMENTS_BEVERAGE" hidden="1">"c20849"</definedName>
    <definedName name="IQ_MANUFACTURING_SHIPMENTS_CHEMICALS" hidden="1">"c20850"</definedName>
    <definedName name="IQ_MANUFACTURING_SHIPMENTS_DUR" hidden="1">"c20851"</definedName>
    <definedName name="IQ_MANUFACTURING_SHIPMENTS_DUR_COMPUTER" hidden="1">"c20852"</definedName>
    <definedName name="IQ_MANUFACTURING_SHIPMENTS_DUR_ELECTRIC" hidden="1">"c20853"</definedName>
    <definedName name="IQ_MANUFACTURING_SHIPMENTS_DUR_FAB_METALS" hidden="1">"c20854"</definedName>
    <definedName name="IQ_MANUFACTURING_SHIPMENTS_DUR_FURNITURE" hidden="1">"c20855"</definedName>
    <definedName name="IQ_MANUFACTURING_SHIPMENTS_DUR_MACHINERY" hidden="1">"c20856"</definedName>
    <definedName name="IQ_MANUFACTURING_SHIPMENTS_DUR_MINERALS" hidden="1">"c20857"</definedName>
    <definedName name="IQ_MANUFACTURING_SHIPMENTS_DUR_MISC" hidden="1">"c20858"</definedName>
    <definedName name="IQ_MANUFACTURING_SHIPMENTS_DUR_PRIM_METALS" hidden="1">"c20859"</definedName>
    <definedName name="IQ_MANUFACTURING_SHIPMENTS_DUR_TRANSPORTATION" hidden="1">"c20860"</definedName>
    <definedName name="IQ_MANUFACTURING_SHIPMENTS_DUR_WOOD" hidden="1">"c20861"</definedName>
    <definedName name="IQ_MANUFACTURING_SHIPMENTS_FOOD" hidden="1">"c20862"</definedName>
    <definedName name="IQ_MANUFACTURING_SHIPMENTS_LEATHER" hidden="1">"c20863"</definedName>
    <definedName name="IQ_MANUFACTURING_SHIPMENTS_NONDUR" hidden="1">"c20864"</definedName>
    <definedName name="IQ_MANUFACTURING_SHIPMENTS_PAPER" hidden="1">"c20865"</definedName>
    <definedName name="IQ_MANUFACTURING_SHIPMENTS_PETROLEUM" hidden="1">"c20866"</definedName>
    <definedName name="IQ_MANUFACTURING_SHIPMENTS_PLASTICS" hidden="1">"c20867"</definedName>
    <definedName name="IQ_MANUFACTURING_SHIPMENTS_PRINTING" hidden="1">"c20868"</definedName>
    <definedName name="IQ_MANUFACTURING_SHIPMENTS_TEXTILE_MILLS" hidden="1">"c20869"</definedName>
    <definedName name="IQ_MANUFACTURING_SHIPMENTS_TEXTILE_PRODUCTS" hidden="1">"c20870"</definedName>
    <definedName name="IQ_MANUFACTURING_SHIPMENTS_TOTAL" hidden="1">"c20871"</definedName>
    <definedName name="IQ_MANUFACTURING_UNFILLED_ORDERS" hidden="1">"c20872"</definedName>
    <definedName name="IQ_MANUFACTURING_UNFILLED_ORDERS_COMPUTERS" hidden="1">"c20873"</definedName>
    <definedName name="IQ_MANUFACTURING_UNFILLED_ORDERS_DUR" hidden="1">"c20874"</definedName>
    <definedName name="IQ_MANUFACTURING_UNFILLED_ORDERS_ELECTRIC" hidden="1">"c20875"</definedName>
    <definedName name="IQ_MANUFACTURING_UNFILLED_ORDERS_FAB_METALS" hidden="1">"c20876"</definedName>
    <definedName name="IQ_MANUFACTURING_UNFILLED_ORDERS_FURNITURE" hidden="1">"c20877"</definedName>
    <definedName name="IQ_MANUFACTURING_UNFILLED_ORDERS_MACHINERY" hidden="1">"c20878"</definedName>
    <definedName name="IQ_MANUFACTURING_UNFILLED_ORDERS_METALS" hidden="1">"c20879"</definedName>
    <definedName name="IQ_MANUFACTURING_UNFILLED_ORDERS_TRANSPORTATION" hidden="1">"c20880"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localSheetId="12" hidden="1">"c712"</definedName>
    <definedName name="IQ_MARKETCAP" localSheetId="7" hidden="1">"c712"</definedName>
    <definedName name="IQ_MARKETCAP" hidden="1">"c200"</definedName>
    <definedName name="IQ_MARKETING" hidden="1">"c2239"</definedName>
    <definedName name="IQ_MARKETING_OTHER_PROF_SERVICES_THRIFT" hidden="1">"c24788"</definedName>
    <definedName name="IQ_MARKETING_PROMOTION_EXPENSE" hidden="1">"c16035"</definedName>
    <definedName name="IQ_MATERIALS_SUPPLES_INVENTORY_COAL" hidden="1">"c15942"</definedName>
    <definedName name="IQ_MATURITY_DATE" hidden="1">"c2146"</definedName>
    <definedName name="IQ_MATURITY_ONE_YEAR_LESS_FDIC" hidden="1">"c6425"</definedName>
    <definedName name="IQ_MBS_INVEST_SECURITIES_FFIEC" hidden="1">"c13460"</definedName>
    <definedName name="IQ_MBS_OTHER_ISSUED_FNMA_HTM_AMORT_COST_FFIEC" hidden="1">"c20444"</definedName>
    <definedName name="IQ_MBS_OTHER_ISSUED_FNMA_HTM_FAIR_VAL_FFIEC" hidden="1">"c20479"</definedName>
    <definedName name="IQ_MBS_OTHER_ISSUED_FNMA_OTHERS_AFS_AMORT_COST_FFIEC" hidden="1">"c20496"</definedName>
    <definedName name="IQ_MBS_OTHER_ISSUED_FNMA_OTHERS_AFS_FAIR_VAL_FFIEC" hidden="1">"c20461"</definedName>
    <definedName name="IQ_MBS_OTHER_ISSUED_FNMA_OTHERS_AVAIL_SALE_FFIEC" hidden="1">"c12799"</definedName>
    <definedName name="IQ_MBS_OTHER_ISSUED_FNMA_OTHERS_FFIEC" hidden="1">"c12785"</definedName>
    <definedName name="IQ_MBS_PASS_THROUGH_FNMA_AFS_AMORT_COST_FFIEC" hidden="1">"c20494"</definedName>
    <definedName name="IQ_MBS_PASS_THROUGH_FNMA_AFS_FAIR_VAL_FFIEC" hidden="1">"c20459"</definedName>
    <definedName name="IQ_MBS_PASS_THROUGH_FNMA_AVAIL_SALE_FFIEC" hidden="1">"c12797"</definedName>
    <definedName name="IQ_MBS_PASS_THROUGH_FNMA_FFIEC" hidden="1">"c12783"</definedName>
    <definedName name="IQ_MBS_PASS_THROUGH_FNMA_HTM_AMORT_COST_FFIEC" hidden="1">"c20442"</definedName>
    <definedName name="IQ_MBS_PASS_THROUGH_FNMA_HTM_FAIR_VAL_FFIEC" hidden="1">"c20477"</definedName>
    <definedName name="IQ_MBS_PASS_THROUGH_GNMA_AFS_AMORT_COST_FFIEC" hidden="1">"c20493"</definedName>
    <definedName name="IQ_MBS_PASS_THROUGH_GNMA_AFS_FAIR_VAL_FFIEC" hidden="1">"c20458"</definedName>
    <definedName name="IQ_MBS_PASS_THROUGH_GNMA_AVAIL_SALE_FFIEC" hidden="1">"c12796"</definedName>
    <definedName name="IQ_MBS_PASS_THROUGH_GNMA_FFIEC" hidden="1">"c12782"</definedName>
    <definedName name="IQ_MBS_PASS_THROUGH_GNMA_HTM_AMORT_COST_FFIEC" hidden="1">"c20441"</definedName>
    <definedName name="IQ_MBS_PASS_THROUGH_GNMA_HTM_FAIR_VAL_FFIEC" hidden="1">"c20476"</definedName>
    <definedName name="IQ_MBS_PASS_THROUGH_ISSUED_FNMA_GNMA_TRADING_DOM_FFIEC" hidden="1">"c12921"</definedName>
    <definedName name="IQ_MBS_PASS_THROUGH_OTHER_AFS_AMORT_COST_FFIEC" hidden="1">"c20495"</definedName>
    <definedName name="IQ_MBS_PASS_THROUGH_OTHER_AFS_FAIR_VAL_FFIEC" hidden="1">"c20460"</definedName>
    <definedName name="IQ_MBS_PASS_THROUGH_OTHER_AVAIL_SALE_FFIEC" hidden="1">"c12798"</definedName>
    <definedName name="IQ_MBS_PASS_THROUGH_OTHER_FFIEC" hidden="1">"c12784"</definedName>
    <definedName name="IQ_MBS_PASS_THROUGH_OTHER_HTM_AMORT_COST_FFIEC" hidden="1">"c20443"</definedName>
    <definedName name="IQ_MBS_PASS_THROUGH_OTHER_HTM_FAIR_VAL_FFIEC" hidden="1">"c20478"</definedName>
    <definedName name="IQ_MBS_QUARTERLY_AVG_FFIEC" hidden="1">"c15471"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COMMERCIAL_ASO_FEES" hidden="1">"c15862"</definedName>
    <definedName name="IQ_MC_COMMERCIAL_NON_RISK_MEMBERS" hidden="1">"c15835"</definedName>
    <definedName name="IQ_MC_COMMERCIAL_PREMIUMS" hidden="1">"c15852"</definedName>
    <definedName name="IQ_MC_DAYS_CLAIMS_PAYABLE" hidden="1">"c9937"</definedName>
    <definedName name="IQ_MC_DAYS_CLAIMS_PAYABLE_EXCL_CAPITATION" hidden="1">"c9938"</definedName>
    <definedName name="IQ_MC_DENTAL_MEMBERS" hidden="1">"c15832"</definedName>
    <definedName name="IQ_MC_DENTAL_PREMIUMS" hidden="1">"c15858"</definedName>
    <definedName name="IQ_MC_HMO_MEMBERS" hidden="1">"c15824"</definedName>
    <definedName name="IQ_MC_HMO_PREMIUMS" hidden="1">"c15850"</definedName>
    <definedName name="IQ_MC_INDEMNITY_MEMBERS" hidden="1">"c15825"</definedName>
    <definedName name="IQ_MC_INDEMNITY_PREMIUMS" hidden="1">"c15851"</definedName>
    <definedName name="IQ_MC_MEDICAID_ASO_FEES" hidden="1">"c15865"</definedName>
    <definedName name="IQ_MC_MEDICAID_MEMBERS" hidden="1">"c15830"</definedName>
    <definedName name="IQ_MC_MEDICAID_NON_RISK_MEMBERS" hidden="1">"c15838"</definedName>
    <definedName name="IQ_MC_MEDICAID_PREMIUMS" hidden="1">"c15856"</definedName>
    <definedName name="IQ_MC_MEDICAL_COST" hidden="1">"c15847"</definedName>
    <definedName name="IQ_MC_MEDICAL_COSTS_PMPM" hidden="1">"c9925"</definedName>
    <definedName name="IQ_MC_MEDICARE_ASO_FEES" hidden="1">"c15864"</definedName>
    <definedName name="IQ_MC_MEDICARE_MEMBERS" hidden="1">"c15828"</definedName>
    <definedName name="IQ_MC_MEDICARE_NON_RISK_MEMBERS" hidden="1">"c15837"</definedName>
    <definedName name="IQ_MC_MEDICARE_PART_D_MEMBERS" hidden="1">"c15829"</definedName>
    <definedName name="IQ_MC_MEDICARE_PART_D_PREMIUMS" hidden="1">"c15855"</definedName>
    <definedName name="IQ_MC_MEDICARE_PREMIUMS" hidden="1">"c15854"</definedName>
    <definedName name="IQ_MC_MILITARY_ASO_FEES" hidden="1">"c15863"</definedName>
    <definedName name="IQ_MC_MILITARY_MEMBERS" hidden="1">"c15827"</definedName>
    <definedName name="IQ_MC_MILITARY_NON_RISK_MEMBERS" hidden="1">"c15836"</definedName>
    <definedName name="IQ_MC_MILITARY_PREMIUMS" hidden="1">"c15853"</definedName>
    <definedName name="IQ_MC_NET_INVESTMENT_INCOME" hidden="1">"c15845"</definedName>
    <definedName name="IQ_MC_OTHER_REV" hidden="1">"c15846"</definedName>
    <definedName name="IQ_MC_PARENT_CASH" hidden="1">"c9942"</definedName>
    <definedName name="IQ_MC_PPO_POS_MEMBERS" hidden="1">"c15823"</definedName>
    <definedName name="IQ_MC_PPO_POS_PREMIUMS" hidden="1">"c15849"</definedName>
    <definedName name="IQ_MC_PREMIUMS" hidden="1">"c15861"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PECIALTY_ASO_FEES" hidden="1">"c15867"</definedName>
    <definedName name="IQ_MC_SPECIALTY_NON_RISK_MEMBERS" hidden="1">"c15840"</definedName>
    <definedName name="IQ_MC_STATUTORY_SURPLUS" hidden="1">"c2772"</definedName>
    <definedName name="IQ_MC_TANGIBLE_EQUITY_MEDICAL_COST" hidden="1">"c15848"</definedName>
    <definedName name="IQ_MC_TANGIBLE_EQUITY_PER_MEMBER" hidden="1">"c15843"</definedName>
    <definedName name="IQ_MC_TOTAL_ASO_FEES" hidden="1">"c15868"</definedName>
    <definedName name="IQ_MC_TOTAL_COMMERCIAL_MEMBERS" hidden="1">"c15826"</definedName>
    <definedName name="IQ_MC_TOTAL_COVERED_LIVES" hidden="1">"c9919"</definedName>
    <definedName name="IQ_MC_TOTAL_EQUITY_PER_MEMBER" hidden="1">"c15842"</definedName>
    <definedName name="IQ_MC_TOTAL_GOVT_ASO_FEES" hidden="1">"c15866"</definedName>
    <definedName name="IQ_MC_TOTAL_GOVT_MEMBERS" hidden="1">"c15831"</definedName>
    <definedName name="IQ_MC_TOTAL_GOVT_NON_RISK_MEMBERS" hidden="1">"c15839"</definedName>
    <definedName name="IQ_MC_TOTAL_GOVT_PREMIUMS" hidden="1">"c15857"</definedName>
    <definedName name="IQ_MC_TOTAL_MEMBERSHIP" hidden="1">"c9922"</definedName>
    <definedName name="IQ_MC_TOTAL_MEMBERSHIP_CAPITATION" hidden="1">"c9923"</definedName>
    <definedName name="IQ_MC_TOTAL_OTHER_MEMBERS" hidden="1">"c15833"</definedName>
    <definedName name="IQ_MC_TOTAL_OTHER_PREMIUMS" hidden="1">"c15859"</definedName>
    <definedName name="IQ_MC_TOTAL_RESERVES_PER_MEMBER" hidden="1">"c15844"</definedName>
    <definedName name="IQ_MC_TOTAL_SEPCIALTY_MEMBERS" hidden="1">"c15834"</definedName>
    <definedName name="IQ_MC_TOTAL_SEPCIALTY_PREMIUMS" hidden="1">"c15860"</definedName>
    <definedName name="IQ_MC_TOTAL_STATUTORY_CAPITAL_SURPLUS_PER_MEMBER" hidden="1">"c15841"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" hidden="1">"c8460"</definedName>
    <definedName name="IQ_MEDIAN_NEW_HOME_SALES_APR_FC_UNUSED_UNUSED_UNUSED" hidden="1">"c8460"</definedName>
    <definedName name="IQ_MEDIAN_NEW_HOME_SALES_APR_UNUSED" hidden="1">"c7580"</definedName>
    <definedName name="IQ_MEDIAN_NEW_HOME_SALES_APR_UNUSED_UNUSED_UNUSED" hidden="1">"c7580"</definedName>
    <definedName name="IQ_MEDIAN_NEW_HOME_SALES_FC_UNUSED" hidden="1">"c7800"</definedName>
    <definedName name="IQ_MEDIAN_NEW_HOME_SALES_FC_UNUSED_UNUSED_UNUSED" hidden="1">"c7800"</definedName>
    <definedName name="IQ_MEDIAN_NEW_HOME_SALES_POP_FC_UNUSED" hidden="1">"c8020"</definedName>
    <definedName name="IQ_MEDIAN_NEW_HOME_SALES_POP_FC_UNUSED_UNUSED_UNUSED" hidden="1">"c8020"</definedName>
    <definedName name="IQ_MEDIAN_NEW_HOME_SALES_POP_UNUSED" hidden="1">"c7140"</definedName>
    <definedName name="IQ_MEDIAN_NEW_HOME_SALES_POP_UNUSED_UNUSED_UNUSED" hidden="1">"c7140"</definedName>
    <definedName name="IQ_MEDIAN_NEW_HOME_SALES_UNUSED" hidden="1">"c6920"</definedName>
    <definedName name="IQ_MEDIAN_NEW_HOME_SALES_UNUSED_UNUSED_UNUSED" hidden="1">"c6920"</definedName>
    <definedName name="IQ_MEDIAN_NEW_HOME_SALES_YOY_FC_UNUSED" hidden="1">"c8240"</definedName>
    <definedName name="IQ_MEDIAN_NEW_HOME_SALES_YOY_FC_UNUSED_UNUSED_UNUSED" hidden="1">"c8240"</definedName>
    <definedName name="IQ_MEDIAN_NEW_HOME_SALES_YOY_UNUSED" hidden="1">"c7360"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DIUM_SULFUR_CONTENT_RESERVES_COAL" hidden="1">"c15926"</definedName>
    <definedName name="IQ_MEDIUM_SULFURE_RESERVES_TO_TOTAL_RESERVES_COAL" hidden="1">"c15962"</definedName>
    <definedName name="IQ_MEMO_LOANS_SOLD_WITH_RECOURSE_120_DAYS_LESS_THRIFT" hidden="1">"c25337"</definedName>
    <definedName name="IQ_MEMO_LOANS_SOLD_WITH_RECOURSE_GREATER_THAN_120_DAYS_THRIFT" hidden="1">"c25338"</definedName>
    <definedName name="IQ_MEMO_REFINANCING_LOANS_THRIFT" hidden="1">"c25336"</definedName>
    <definedName name="IQ_MERGER" hidden="1">"c713"</definedName>
    <definedName name="IQ_MERGER_BNK" hidden="1">"c714"</definedName>
    <definedName name="IQ_MERGER_BR" hidden="1">"c715"</definedName>
    <definedName name="IQ_MERGER_CM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CM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SUPPLE" hidden="1">"c13810"</definedName>
    <definedName name="IQ_MERGER_UTI" hidden="1">"c726"</definedName>
    <definedName name="IQ_METRIC_NAME" hidden="1">"c18017"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LES_PASSED" hidden="1">"c2848"</definedName>
    <definedName name="IQ_MIN_USE_PER_SUB" hidden="1">"c15764"</definedName>
    <definedName name="IQ_MINE_DEVELOPMENT_GROSS_COAL" hidden="1">"c15940"</definedName>
    <definedName name="IQ_MINORITY_INT_AVG_ASSETS_FFIEC" hidden="1">"c13367"</definedName>
    <definedName name="IQ_MINORITY_INT_AVG_ASSETS_THRIFT" hidden="1">"c25660"</definedName>
    <definedName name="IQ_MINORITY_INT_BS_FFIEC" hidden="1">"c12874"</definedName>
    <definedName name="IQ_MINORITY_INT_FFIEC" hidden="1">"c13031"</definedName>
    <definedName name="IQ_MINORITY_INT_REDEEM" hidden="1">"c25787"</definedName>
    <definedName name="IQ_MINORITY_INT_REDEEM_TOT" hidden="1">"c25789"</definedName>
    <definedName name="IQ_MINORITY_INT_THRIFT" hidden="1">"c24926"</definedName>
    <definedName name="IQ_MINORITY_INTEREST" localSheetId="12" hidden="1">"c727"</definedName>
    <definedName name="IQ_MINORITY_INTEREST" localSheetId="7" hidden="1">"c727"</definedName>
    <definedName name="IQ_MINORITY_INTEREST" hidden="1">"c103"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CM" hidden="1">"c729"</definedName>
    <definedName name="IQ_MINORITY_INTEREST_FIN" hidden="1">"c731"</definedName>
    <definedName name="IQ_MINORITY_INTEREST_INS" hidden="1">"c732"</definedName>
    <definedName name="IQ_MINORITY_INTEREST_IS" localSheetId="12" hidden="1">"c733"</definedName>
    <definedName name="IQ_MINORITY_INTEREST_IS" localSheetId="7" hidden="1">"c733"</definedName>
    <definedName name="IQ_MINORITY_INTEREST_IS" hidden="1">"c32"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NTUTES_USED_LOCAL" hidden="1">"c15808"</definedName>
    <definedName name="IQ_MINTUTES_USED_LONG_DIST" hidden="1">"c15809"</definedName>
    <definedName name="IQ_MISC_ADJUST_CF" hidden="1">"c736"</definedName>
    <definedName name="IQ_MISC_EARN_ADJ" localSheetId="12" hidden="1">"c1603"</definedName>
    <definedName name="IQ_MISC_EARN_ADJ" localSheetId="7" hidden="1">"c1603"</definedName>
    <definedName name="IQ_MISC_EARN_ADJ" hidden="1">"c41"</definedName>
    <definedName name="IQ_MISCELLANEOUS_ASSETS_ALL_OTHER_ACCOUNTS_THRIFT" hidden="1">"c25437"</definedName>
    <definedName name="IQ_MISCELLANEOUS_ASSETS_EMPLOYEE_BENEFIT_RETIREMENT_RELATED_ACCOUNTS_THRIFT" hidden="1">"c25421"</definedName>
    <definedName name="IQ_MISCELLANEOUS_ASSETS_PERSONAL_TRUST_AGENCY_INV_MANAGEMENT_ACCOUNTS_THRIFT" hidden="1">"c25405"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MDA_NON_TRANS_ACCTS_FFIEC" hidden="1">"c15330"</definedName>
    <definedName name="IQ_MMDA_SAVINGS_TOT_DEPOSITS_FFIEC" hidden="1">"c13905"</definedName>
    <definedName name="IQ_MMDA_SAVINGS_TOTAL_DEPOSITS_THRIFT" hidden="1">"c25778"</definedName>
    <definedName name="IQ_MOBILE_HOME_LOANS_THRIFT" hidden="1">"c24863"</definedName>
    <definedName name="IQ_MONEY_MARKET_ACCOUNTS_COMMERCIAL_BANK_SUBS_FFIEC" hidden="1">"c12947"</definedName>
    <definedName name="IQ_MONEY_MARKET_ACCOUNTS_OTHER_INSTITUTIONS_FFIEC" hidden="1">"c12952"</definedName>
    <definedName name="IQ_MONEY_MARKET_DEPOSIT_ACCOUNTS_FDIC" hidden="1">"c6553"</definedName>
    <definedName name="IQ_MONEY_MARKET_DEPOSIT_ACCOUNTS_THRIFT" hidden="1">"c24999"</definedName>
    <definedName name="IQ_MONEY_MKT_DEPOSITS_TOTAL_DEPOSITS" hidden="1">"c15720"</definedName>
    <definedName name="IQ_MONEY_MKT_SAVINGS_ACCT_DEPOSITS_TOTAL_DEPOSITS" hidden="1">"c15722"</definedName>
    <definedName name="IQ_MONEY_SUPPLY_M1" hidden="1">"c20881"</definedName>
    <definedName name="IQ_MONEY_SUPPLY_M2" hidden="1">"c20882"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ASSET_BACKED_SEC_ELIGIBLE_20_PCT_RISK_WEIGHT_THRIFT" hidden="1">"c25057"</definedName>
    <definedName name="IQ_MORTGAGE_ASSET_BACKED_SEC_ELIGIBLE_50_PCT_RISK_WEIGHT_THRIFT" hidden="1">"c25066"</definedName>
    <definedName name="IQ_MORTGAGE_BACKED_SEC_ADJUSTED_NCOS_THRIFT" hidden="1">"c25198"</definedName>
    <definedName name="IQ_MORTGAGE_BACKED_SEC_GVA_CHARGE_OFFS_THRIFT" hidden="1">"c25113"</definedName>
    <definedName name="IQ_MORTGAGE_BACKED_SEC_GVA_RECOVERIES_THRIFT" hidden="1">"c25144"</definedName>
    <definedName name="IQ_MORTGAGE_BACKED_SEC_INV_SEC_THRIFT" hidden="1">"c25673"</definedName>
    <definedName name="IQ_MORTGAGE_BACKED_SEC_SVA_PROVISIONS_TRANSFERS_FROM_GVA_THRIFT" hidden="1">"c25167"</definedName>
    <definedName name="IQ_MORTGAGE_BACKED_SECURITIES_FDIC" hidden="1">"c6402"</definedName>
    <definedName name="IQ_MORTGAGE_DEBT_UNDER_CAPITAL_LEASES_FFIEC" hidden="1">"c15276"</definedName>
    <definedName name="IQ_MORTGAGE_LOAN_SERVICING_FEES_THRIFT" hidden="1">"c24766"</definedName>
    <definedName name="IQ_MORTGAGE_LOANS_ADJUSTED_NCOS_TOTAL_THRIFT" hidden="1">"c25199"</definedName>
    <definedName name="IQ_MORTGAGE_LOANS_CASH_REPAYMENT_PRINCIPAL_THRIFT" hidden="1">"c25334"</definedName>
    <definedName name="IQ_MORTGAGE_LOANS_DEBITS_LESS_CREDITS_OTHER_THAN_REPAYMENT_PRINCIPAL_THRIFT" hidden="1">"c25335"</definedName>
    <definedName name="IQ_MORTGAGE_LOANS_FORECLOSED_DURING_QUARTER_TOTAL_THRIFT" hidden="1">"c25236"</definedName>
    <definedName name="IQ_MORTGAGE_LOANS_GROSS_LOANS_THRIFT" hidden="1">"c25721"</definedName>
    <definedName name="IQ_MORTGAGE_LOANS_GVA_RECOVERIES_TOTAL_THRIFT" hidden="1">"c25145"</definedName>
    <definedName name="IQ_MORTGAGE_LOANS_PARTICIPATIONS_PURCHASED_FROM_ENTITIES_OTHER_THAN_FEDERALLY_INSURED_DEPOSITORY_INSTITUTIONS_THEIR_SUBSIDIARIES_THRIFT" hidden="1">"c25326"</definedName>
    <definedName name="IQ_MORTGAGE_LOANS_PARTICIPATIONS_PURCHASED_SECURED_1_4_DWELLING_UNITS_THRIFT" hidden="1">"c25325"</definedName>
    <definedName name="IQ_MORTGAGE_LOANS_PARTICIPATIONS_PURCHASED_SECURED_HOME_EQUITY_JUNIOR_LIENS_THRIFT" hidden="1">"c25327"</definedName>
    <definedName name="IQ_MORTGAGE_LOANS_PARTICIPATIONS_PURCHASED_SECURED_MULTIFAMILY_5_MORE_DWELLING_UNITS_THRIFT" hidden="1">"c25328"</definedName>
    <definedName name="IQ_MORTGAGE_LOANS_PARTICIPATIONS_PURCHASED_SECURED_NONRES_THRIFT" hidden="1">"c25329"</definedName>
    <definedName name="IQ_MORTGAGE_LOANS_PARTICIPATIONS_SOLD_SECURED_1_4_DWELLING_UNITS_THRIFT" hidden="1">"c25330"</definedName>
    <definedName name="IQ_MORTGAGE_LOANS_PARTICIPATIONS_SOLD_SECURED_HOME_EQUITY_JUNIOR_LIENS_THRIFT" hidden="1">"c25331"</definedName>
    <definedName name="IQ_MORTGAGE_LOANS_PARTICIPATIONS_SOLD_SECURED_MULTIFAMILY_5_MORE_DWELLING_UNITS_THRIFT" hidden="1">"c25332"</definedName>
    <definedName name="IQ_MORTGAGE_LOANS_PARTICIPATIONS_SOLD_SECURED_NONRES_THRIFT" hidden="1">"c25333"</definedName>
    <definedName name="IQ_MORTGAGE_LOANS_RISK_BASED_CAPITAL_THRIFT" hidden="1">"c25706"</definedName>
    <definedName name="IQ_MORTGAGE_LOANS_SECURED_NON_RES_PROPERTY_100000_THROUGH_250000_THRIFT" hidden="1">"c24954"</definedName>
    <definedName name="IQ_MORTGAGE_LOANS_SECURED_NON_RES_PROPERTY_250000_THROUGH_1000000_THRIFT" hidden="1">"c24956"</definedName>
    <definedName name="IQ_MORTGAGE_LOANS_SECURED_NON_RES_PROPERTY_LESS_THAN_EQUAL_100000_THRIFT" hidden="1">"c24952"</definedName>
    <definedName name="IQ_MORTGAGE_LOANS_SVA_PROVISIONS_TRANSFERS_FROM_GVA_TOTAL_THRIFT" hidden="1">"c25168"</definedName>
    <definedName name="IQ_MORTGAGE_LOANS_TOTAL_GVA_CHARGE_OFFS_THRIFT" hidden="1">"c25114"</definedName>
    <definedName name="IQ_MORTGAGE_LOANS_TOTAL_LOANS_THRIFT" hidden="1">"c25740"</definedName>
    <definedName name="IQ_MORTGAGE_SERV_RIGHTS" hidden="1">"c2242"</definedName>
    <definedName name="IQ_MORTGAGE_SERVICING_ASSETS_FFIEC" hidden="1">"c12838"</definedName>
    <definedName name="IQ_MORTGAGE_SERVICING_FDIC" hidden="1">"c6335"</definedName>
    <definedName name="IQ_MORTGAGE_SERVICING_RIGHTS_AMOUNTS_NETTED_THRIFT" hidden="1">"c25504"</definedName>
    <definedName name="IQ_MORTGAGE_SERVICING_RIGHTS_LEVEL_1_THRIFT" hidden="1">"c25500"</definedName>
    <definedName name="IQ_MORTGAGE_SERVICING_RIGHTS_LEVEL_2_THRIFT" hidden="1">"c25501"</definedName>
    <definedName name="IQ_MORTGAGE_SERVICING_RIGHTS_LEVEL_3_THRIFT" hidden="1">"c25502"</definedName>
    <definedName name="IQ_MORTGAGE_SERVICING_RIGHTS_TOTAL_AFTER_NETTING_THRIFT" hidden="1">"c25505"</definedName>
    <definedName name="IQ_MORTGAGE_SERVICING_RIGHTS_TOTAL_BEFORE_NETTING_THRIFT" hidden="1">"c25503"</definedName>
    <definedName name="IQ_MTD" hidden="1">800000</definedName>
    <definedName name="IQ_MTM_ADJ" hidden="1">"c16000"</definedName>
    <definedName name="IQ_MULTI_RES_PROPERTIES_TRADING_DOM_FFIEC" hidden="1">"c12930"</definedName>
    <definedName name="IQ_MULTIFAM_5_LOANS_TOT_LOANS_FFIEC" hidden="1">"c13869"</definedName>
    <definedName name="IQ_MULTIFAMILY_5_MORE_DWELLING_UNITS_CONSTRUCTION_MORTGAGE_LOANS_ADJUSTED_NCOS_TOTAL_THRIFT" hidden="1">"c25201"</definedName>
    <definedName name="IQ_MULTIFAMILY_5_MORE_DWELLING_UNITS_CONSTRUCTION_MORTGAGE_LOANS_GVA_CHARGE_OFFS_THRIFT" hidden="1">"c25116"</definedName>
    <definedName name="IQ_MULTIFAMILY_5_MORE_DWELLING_UNITS_CONSTRUCTION_MORTGAGE_LOANS_GVA_RECOVERIES_THRIFT" hidden="1">"c25147"</definedName>
    <definedName name="IQ_MULTIFAMILY_5_MORE_DWELLING_UNITS_CONSTRUCTION_MORTGAGE_LOANS_SVA_PROVISIONS_TRANSFERS_FROM_GVA_TOTAL_THRIFT" hidden="1">"c25170"</definedName>
    <definedName name="IQ_MULTIFAMILY_5_MORE_DWELLING_UNITS_IN_PROCESS_FORECLOSURE_THRIFT" hidden="1">"c25307"</definedName>
    <definedName name="IQ_MULTIFAMILY_5_MORE_DWELLING_UNITS_PML_ADJUSTED_NCOS_TOTAL_THRIFT" hidden="1">"c25206"</definedName>
    <definedName name="IQ_MULTIFAMILY_5_MORE_DWELLING_UNITS_PML_GVA_CHARGE_OFFS_THRIFT" hidden="1">"c25121"</definedName>
    <definedName name="IQ_MULTIFAMILY_5_MORE_DWELLING_UNITS_PML_GVA_RECOVERIES_THRIFT" hidden="1">"c25152"</definedName>
    <definedName name="IQ_MULTIFAMILY_5_MORE_DWELLING_UNITS_PML_SVA_PROVISIONS_TRANSFERS_FROM_GVA_TOTAL_THRIFT" hidden="1">"c25175"</definedName>
    <definedName name="IQ_MULTIFAMILY_5_MORE_LOANS_TOTAL_LOANS_THRIFT" hidden="1">"c25745"</definedName>
    <definedName name="IQ_MULTIFAMILY_LOANS_GROSS_LOANS_FFIEC" hidden="1">"c13404"</definedName>
    <definedName name="IQ_MULTIFAMILY_LOANS_GROSS_LOANS_THRIFT" hidden="1">"c25729"</definedName>
    <definedName name="IQ_MULTIFAMILY_LOANS_RISK_BASED_CAPITAL_THRIFT" hidden="1">"c25714"</definedName>
    <definedName name="IQ_MULTIFAMILY_LOANS_RISK_BASED_FFIEC" hidden="1">"c13425"</definedName>
    <definedName name="IQ_MULTIFAMILY_RES_DOM_FFIEC" hidden="1">"c15270"</definedName>
    <definedName name="IQ_MULTIFAMILY_RESIDENTIAL_LOANS_FDIC" hidden="1">"c6311"</definedName>
    <definedName name="IQ_MUNI_ADVALOREM_TAX" hidden="1">"c15144"</definedName>
    <definedName name="IQ_MUNI_AMT_TAX" hidden="1">"c15146"</definedName>
    <definedName name="IQ_MUNI_BANK_QUALIFIED" hidden="1">"c15148"</definedName>
    <definedName name="IQ_MUNI_DEP_TRUST_ELIGIBLE" hidden="1">"c15149"</definedName>
    <definedName name="IQ_MUNI_ECONOMIC_DEFEASANCE" hidden="1">"c15151"</definedName>
    <definedName name="IQ_MUNI_ESCROW" hidden="1">"c15228"</definedName>
    <definedName name="IQ_MUNI_FED_TAX" hidden="1">"c15147"</definedName>
    <definedName name="IQ_MUNI_LEGAL_DEFEASANCE" hidden="1">"c15150"</definedName>
    <definedName name="IQ_MUNI_OFFERING_TYPE" hidden="1">"c15143"</definedName>
    <definedName name="IQ_MUNI_OPTIONAL_REDEMPTION_DEFEASANCE" hidden="1">"c15152"</definedName>
    <definedName name="IQ_MUNI_PRE_REFUNDED_DATE" hidden="1">"c15154"</definedName>
    <definedName name="IQ_MUNI_PRE_REFUNDED_DATED_DATE" hidden="1">"c15156"</definedName>
    <definedName name="IQ_MUNI_PRE_REFUNDED_PRICE" hidden="1">"c15155"</definedName>
    <definedName name="IQ_MUNI_PRE_REFUNDED_TYPE" hidden="1">"c15153"</definedName>
    <definedName name="IQ_MUNI_PURPOSE" hidden="1">"c15226"</definedName>
    <definedName name="IQ_MUNI_STATE_TAX" hidden="1">"c15145"</definedName>
    <definedName name="IQ_MUNI_TERRITORY" hidden="1">"c15142"</definedName>
    <definedName name="IQ_MUNI_TYPE" hidden="1">"c15227"</definedName>
    <definedName name="IQ_MUNICIPAL_INVEST_SECURITIES_FFIEC" hidden="1">"c13459"</definedName>
    <definedName name="IQ_MUNICIPAL_SEC_INV_SEC_THRIFT" hidden="1">"c25672"</definedName>
    <definedName name="IQ_MUTUAL_FUND_ACQUISITIONS_OTHER" hidden="1">"c20425"</definedName>
    <definedName name="IQ_MUTUAL_FUND_APPRECIATION_DEPRECIATION" hidden="1">"c20424"</definedName>
    <definedName name="IQ_MUTUAL_FUND_BOP" hidden="1">"c20420"</definedName>
    <definedName name="IQ_MUTUAL_FUND_EOP" hidden="1">"c20426"</definedName>
    <definedName name="IQ_MUTUAL_FUND_NET_SALES" hidden="1">"c20423"</definedName>
    <definedName name="IQ_MUTUAL_FUND_REDEMPTIONS" hidden="1">"c20422"</definedName>
    <definedName name="IQ_MUTUAL_FUND_SALES" hidden="1">"c20421"</definedName>
    <definedName name="IQ_MUTUAL_FUNDS_EQUITY_ALL_OTHER_ACCOUNTS_THRIFT" hidden="1">"c25428"</definedName>
    <definedName name="IQ_MUTUAL_FUNDS_EQUITY_EMPLOYEE_BENEFIT_RETIREMENT_RELATED_ACCOUNTS_THRIFT" hidden="1">"c25412"</definedName>
    <definedName name="IQ_MUTUAL_FUNDS_EQUITY_PERSONAL_TRUST_AGENCY_INV_MANAGEMENT_ACCOUNTS_THRIFT" hidden="1">"c25396"</definedName>
    <definedName name="IQ_MUTUAL_FUNDS_MONEY_MARKET_ALL_OTHER_ACCOUNTS_THRIFT" hidden="1">"c25427"</definedName>
    <definedName name="IQ_MUTUAL_FUNDS_MONEY_MARKET_EMPLOYEE_BENEFIT_RETIREMENT_RELATED_ACCOUNTS_THRIFT" hidden="1">"c25411"</definedName>
    <definedName name="IQ_MUTUAL_FUNDS_MONEY_MARKET_PERSONAL_TRUST_AGENCY_INV_MANAGEMENT_ACCOUNTS_THRIFT" hidden="1">"c25395"</definedName>
    <definedName name="IQ_MUTUAL_FUNDS_OTHER_ALL_OTHER_ACCOUNTS_THRIFT" hidden="1">"c25429"</definedName>
    <definedName name="IQ_MUTUAL_FUNDS_OTHER_EMPLOYEE_BENEFIT_RETIREMENT_RELATED_ACCOUNTS_THRIFT" hidden="1">"c25413"</definedName>
    <definedName name="IQ_MUTUAL_FUNDS_OTHER_PERSONAL_TRUST_AGENCY_INV_MANAGEMENT_ACCOUNTS_THRIFT" hidden="1">"c25397"</definedName>
    <definedName name="IQ_NAMES_REVISION_DATE_" localSheetId="12" hidden="1">40543.4119907407</definedName>
    <definedName name="IQ_NAMES_REVISION_DATE_" localSheetId="7" hidden="1">40543.4119907407</definedName>
    <definedName name="IQ_NAMES_REVISION_DATE_" hidden="1">40458.5574189815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ATIVE_COMPANY_NAME" hidden="1">"c13822"</definedName>
    <definedName name="IQ_NATURAL_RESOURCES_COST" hidden="1">"c17550"</definedName>
    <definedName name="IQ_NAV_ACT_OR_EST" hidden="1">"c2225"</definedName>
    <definedName name="IQ_NAV_ACT_OR_EST_CIQ" hidden="1">"c18262"</definedName>
    <definedName name="IQ_NAV_DET_EST" hidden="1">"c18379"</definedName>
    <definedName name="IQ_NAV_DET_EST_CIQ" hidden="1">"c18169"</definedName>
    <definedName name="IQ_NAV_DET_EST_CURRENCY" hidden="1">"c18383"</definedName>
    <definedName name="IQ_NAV_DET_EST_CURRENCY_CIQ" hidden="1">"c18302"</definedName>
    <definedName name="IQ_NAV_DET_EST_DATE" hidden="1">"c18380"</definedName>
    <definedName name="IQ_NAV_DET_EST_DATE_CIQ" hidden="1">"c18366"</definedName>
    <definedName name="IQ_NAV_DET_EST_INCL" hidden="1">"c18381"</definedName>
    <definedName name="IQ_NAV_DET_EST_INCL_CIQ" hidden="1">"c18287"</definedName>
    <definedName name="IQ_NAV_DET_EST_NOTE" hidden="1">"c18382"</definedName>
    <definedName name="IQ_NAV_DET_EST_NOTE_CIQ" hidden="1">"c18291"</definedName>
    <definedName name="IQ_NAV_DET_EST_ORIGIN" hidden="1">"c18384"</definedName>
    <definedName name="IQ_NAV_DET_EST_ORIGIN_CIQ" hidden="1">"c18313"</definedName>
    <definedName name="IQ_NAV_EST" hidden="1">"c1751"</definedName>
    <definedName name="IQ_NAV_EST_CIQ" hidden="1">"c18109"</definedName>
    <definedName name="IQ_NAV_EST_DOWN_2MONTH" hidden="1">"c16501"</definedName>
    <definedName name="IQ_NAV_EST_DOWN_3MONTH" hidden="1">"c16505"</definedName>
    <definedName name="IQ_NAV_EST_DOWN_MONTH" hidden="1">"c16497"</definedName>
    <definedName name="IQ_NAV_EST_NOTE_CIQ" hidden="1">"c18229"</definedName>
    <definedName name="IQ_NAV_EST_NUM_ANALYSTS_2MONTH" hidden="1">"c16499"</definedName>
    <definedName name="IQ_NAV_EST_NUM_ANALYSTS_3MONTH" hidden="1">"c16503"</definedName>
    <definedName name="IQ_NAV_EST_NUM_ANALYSTS_MONTH" hidden="1">"c16495"</definedName>
    <definedName name="IQ_NAV_EST_TOTAL_REVISED_2MONTH" hidden="1">"c16502"</definedName>
    <definedName name="IQ_NAV_EST_TOTAL_REVISED_3MONTH" hidden="1">"c16506"</definedName>
    <definedName name="IQ_NAV_EST_TOTAL_REVISED_MONTH" hidden="1">"c16498"</definedName>
    <definedName name="IQ_NAV_EST_UP_2MONTH" hidden="1">"c16500"</definedName>
    <definedName name="IQ_NAV_EST_UP_3MONTH" hidden="1">"c16504"</definedName>
    <definedName name="IQ_NAV_EST_UP_MONTH" hidden="1">"c16496"</definedName>
    <definedName name="IQ_NAV_GUIDANCE" hidden="1">"c18391"</definedName>
    <definedName name="IQ_NAV_HIGH_EST" hidden="1">"c1753"</definedName>
    <definedName name="IQ_NAV_HIGH_EST_CIQ" hidden="1">"c18129"</definedName>
    <definedName name="IQ_NAV_HIGH_GUIDANCE" hidden="1">"c18392"</definedName>
    <definedName name="IQ_NAV_LOW_EST" hidden="1">"c1754"</definedName>
    <definedName name="IQ_NAV_LOW_EST_CIQ" hidden="1">"c18139"</definedName>
    <definedName name="IQ_NAV_LOW_GUIDANCE" hidden="1">"c18393"</definedName>
    <definedName name="IQ_NAV_MEDIAN_EST" hidden="1">"c1752"</definedName>
    <definedName name="IQ_NAV_MEDIAN_EST_CIQ" hidden="1">"c18119"</definedName>
    <definedName name="IQ_NAV_NUM_EST" hidden="1">"c1755"</definedName>
    <definedName name="IQ_NAV_NUM_EST_CIQ" hidden="1">"c18159"</definedName>
    <definedName name="IQ_NAV_RE" hidden="1">"c15996"</definedName>
    <definedName name="IQ_NAV_SHARE_ACT_OR_EST" hidden="1">"c2225"</definedName>
    <definedName name="IQ_NAV_SHARE_ACT_OR_EST_CIQ" hidden="1">"c12038"</definedName>
    <definedName name="IQ_NAV_SHARE_DET_EST_CIQ" hidden="1">"c12123"</definedName>
    <definedName name="IQ_NAV_SHARE_DET_EST_CURRENCY_CIQ" hidden="1">"c12514"</definedName>
    <definedName name="IQ_NAV_SHARE_DET_EST_DATE_CIQ" hidden="1">"c12269"</definedName>
    <definedName name="IQ_NAV_SHARE_DET_EST_INCL_CIQ" hidden="1">"c12397"</definedName>
    <definedName name="IQ_NAV_SHARE_DET_EST_NOTE" hidden="1">"c17540"</definedName>
    <definedName name="IQ_NAV_SHARE_DET_EST_NOTE_CIQ" hidden="1">"c17493"</definedName>
    <definedName name="IQ_NAV_SHARE_DET_EST_ORIGIN" hidden="1">"c12585"</definedName>
    <definedName name="IQ_NAV_SHARE_DET_EST_ORIGIN_CIQ" hidden="1">"c12638"</definedName>
    <definedName name="IQ_NAV_SHARE_EST" hidden="1">"c5609"</definedName>
    <definedName name="IQ_NAV_SHARE_EST_CIQ" hidden="1">"c12032"</definedName>
    <definedName name="IQ_NAV_SHARE_EST_DOWN_2MONTH" hidden="1">"c16561"</definedName>
    <definedName name="IQ_NAV_SHARE_EST_DOWN_2MONTH_CIQ" hidden="1">"c16825"</definedName>
    <definedName name="IQ_NAV_SHARE_EST_DOWN_3MONTH" hidden="1">"c16565"</definedName>
    <definedName name="IQ_NAV_SHARE_EST_DOWN_3MONTH_CIQ" hidden="1">"c16829"</definedName>
    <definedName name="IQ_NAV_SHARE_EST_DOWN_MONTH" hidden="1">"c16557"</definedName>
    <definedName name="IQ_NAV_SHARE_EST_DOWN_MONTH_CIQ" hidden="1">"c16821"</definedName>
    <definedName name="IQ_NAV_SHARE_EST_NOTE" hidden="1">"c17522"</definedName>
    <definedName name="IQ_NAV_SHARE_EST_NOTE_CIQ" hidden="1">"c17475"</definedName>
    <definedName name="IQ_NAV_SHARE_EST_NUM_ANALYSTS_2MONTH" hidden="1">"c16559"</definedName>
    <definedName name="IQ_NAV_SHARE_EST_NUM_ANALYSTS_2MONTH_CIQ" hidden="1">"c16823"</definedName>
    <definedName name="IQ_NAV_SHARE_EST_NUM_ANALYSTS_3MONTH" hidden="1">"c16563"</definedName>
    <definedName name="IQ_NAV_SHARE_EST_NUM_ANALYSTS_3MONTH_CIQ" hidden="1">"c16827"</definedName>
    <definedName name="IQ_NAV_SHARE_EST_NUM_ANALYSTS_MONTH" hidden="1">"c16555"</definedName>
    <definedName name="IQ_NAV_SHARE_EST_NUM_ANALYSTS_MONTH_CIQ" hidden="1">"c16819"</definedName>
    <definedName name="IQ_NAV_SHARE_EST_TOTAL_REVISED_2MONTH" hidden="1">"c16562"</definedName>
    <definedName name="IQ_NAV_SHARE_EST_TOTAL_REVISED_2MONTH_CIQ" hidden="1">"c16826"</definedName>
    <definedName name="IQ_NAV_SHARE_EST_TOTAL_REVISED_3MONTH" hidden="1">"c16566"</definedName>
    <definedName name="IQ_NAV_SHARE_EST_TOTAL_REVISED_3MONTH_CIQ" hidden="1">"c16830"</definedName>
    <definedName name="IQ_NAV_SHARE_EST_TOTAL_REVISED_MONTH" hidden="1">"c16558"</definedName>
    <definedName name="IQ_NAV_SHARE_EST_TOTAL_REVISED_MONTH_CIQ" hidden="1">"c16822"</definedName>
    <definedName name="IQ_NAV_SHARE_EST_UP_2MONTH" hidden="1">"c16560"</definedName>
    <definedName name="IQ_NAV_SHARE_EST_UP_2MONTH_CIQ" hidden="1">"c16824"</definedName>
    <definedName name="IQ_NAV_SHARE_EST_UP_3MONTH" hidden="1">"c16564"</definedName>
    <definedName name="IQ_NAV_SHARE_EST_UP_3MONTH_CIQ" hidden="1">"c16828"</definedName>
    <definedName name="IQ_NAV_SHARE_EST_UP_MONTH" hidden="1">"c16556"</definedName>
    <definedName name="IQ_NAV_SHARE_EST_UP_MONTH_CIQ" hidden="1">"c16820"</definedName>
    <definedName name="IQ_NAV_SHARE_HIGH_EST" hidden="1">"c5612"</definedName>
    <definedName name="IQ_NAV_SHARE_HIGH_EST_CIQ" hidden="1">"c12035"</definedName>
    <definedName name="IQ_NAV_SHARE_LOW_EST" hidden="1">"c5613"</definedName>
    <definedName name="IQ_NAV_SHARE_LOW_EST_CIQ" hidden="1">"c12036"</definedName>
    <definedName name="IQ_NAV_SHARE_MEDIAN_EST" hidden="1">"c5610"</definedName>
    <definedName name="IQ_NAV_SHARE_MEDIAN_EST_CIQ" hidden="1">"c12033"</definedName>
    <definedName name="IQ_NAV_SHARE_NUM_EST" hidden="1">"c5614"</definedName>
    <definedName name="IQ_NAV_SHARE_NUM_EST_CIQ" hidden="1">"c12037"</definedName>
    <definedName name="IQ_NAV_SHARE_RE" hidden="1">"c16011"</definedName>
    <definedName name="IQ_NAV_SHARE_STDDEV_EST" hidden="1">"c5611"</definedName>
    <definedName name="IQ_NAV_SHARE_STDDEV_EST_CIQ" hidden="1">"c12034"</definedName>
    <definedName name="IQ_NAV_STDDEV_EST" hidden="1">"c1756"</definedName>
    <definedName name="IQ_NAV_STDDEV_EST_CIQ" hidden="1">"c18149"</definedName>
    <definedName name="IQ_NCLS_CLOSED_END_1_4_FAM_LOANS_TOT_LOANS_FFIEC" hidden="1">"c13891"</definedName>
    <definedName name="IQ_NCLS_CLOSED_END_1_4_FAMILY_LOANS_TOTAL_LOANS_THRIFT" hidden="1">"c25769"</definedName>
    <definedName name="IQ_NCLS_COMM_IND_LOANS_TOT_LOANS_FFIEC" hidden="1">"c13898"</definedName>
    <definedName name="IQ_NCLS_COMM_LOANS_TOTAL_LOANS_THRIFT" hidden="1">"c25775"</definedName>
    <definedName name="IQ_NCLS_COMM_RE_FARM_LOANS_TOT_LOANS_FFIEC" hidden="1">"c13897"</definedName>
    <definedName name="IQ_NCLS_COMM_RE_FARM_LOANS_TOTAL_LOANS_THRIFT" hidden="1">"c25771"</definedName>
    <definedName name="IQ_NCLS_COMM_RE_NONFARM_NONRES_TOT_LOANS_FFIEC" hidden="1">"c13896"</definedName>
    <definedName name="IQ_NCLS_COMM_RE_NONFARM_NONRESIDENTIAL_TOTAL_LOANS_THRIFT" hidden="1">"c25773"</definedName>
    <definedName name="IQ_NCLS_CONST_LAND_DEV_LOANS_TOT_LOANS_FFIEC" hidden="1">"c13890"</definedName>
    <definedName name="IQ_NCLS_CONSTRUCTION_LAND_DEVELOPMENT_LOANS_TOTAL_LOANS_THRIFT" hidden="1">"c25767"</definedName>
    <definedName name="IQ_NCLS_CONSUMER_LOANS_TOT_LOANS_FFIEC" hidden="1">"c13899"</definedName>
    <definedName name="IQ_NCLS_CONSUMER_LOANS_TOTAL_LOANS_THRIFT" hidden="1">"c25776"</definedName>
    <definedName name="IQ_NCLS_FARM_LOANS_TOT_LOANS_FFIEC" hidden="1">"c13895"</definedName>
    <definedName name="IQ_NCLS_HOME_EQUITY_LOANS_TOT_LOANS_FFIEC" hidden="1">"c13892"</definedName>
    <definedName name="IQ_NCLS_LAND_LOANS_TOTAL_LOANS_THRIFT" hidden="1">"c25772"</definedName>
    <definedName name="IQ_NCLS_MULTIFAM_5_LOANS_TOT_LOANS_FFIEC" hidden="1">"c13894"</definedName>
    <definedName name="IQ_NCLS_MULTIFAMILY_5_MORE_LOANS_TOTAL_LOANS_THRIFT" hidden="1">"c25770"</definedName>
    <definedName name="IQ_NCLS_TOT_1_4_FAM_LOANS_TOT_LOANS_FFIEC" hidden="1">"c13893"</definedName>
    <definedName name="IQ_NCLS_TOT_LEASES_TOT_LOANS_FFIEC" hidden="1">"c13900"</definedName>
    <definedName name="IQ_NCLS_TOT_LOANS_TOT_LOANS_FFIEC" hidden="1">"c13901"</definedName>
    <definedName name="IQ_NCLS_TOTAL_1_4_FAMILY_LOANS_TOTAL_LOANS_THRIFT" hidden="1">"c25768"</definedName>
    <definedName name="IQ_NCLS_TOTAL_LOANS_TOTAL_LOANS_THRIFT" hidden="1">"c25765"</definedName>
    <definedName name="IQ_NCLS_TOTAL_MORTGAGE_LOANS_TOTAL_LOANS_THRIFT" hidden="1">"c25766"</definedName>
    <definedName name="IQ_NCLS_TOTAL_NON_RE_LOANS_TOTAL_LOANS_THRIFT" hidden="1">"c25774"</definedName>
    <definedName name="IQ_NCOS_CLOSED_END_1_4_FAM_LOANS_TOT_LOANS_FFIEC" hidden="1">"c13879"</definedName>
    <definedName name="IQ_NCOS_CLOSED_END_1_4_FAMILY_LOANS_TOTAL_LOANS_THRIFT" hidden="1">"c25757"</definedName>
    <definedName name="IQ_NCOS_COMM_IND_LOANS_TOT_LOANS_FFIEC" hidden="1">"c13886"</definedName>
    <definedName name="IQ_NCOS_COMM_LOANS_TOTAL_LOANS_THRIFT" hidden="1">"c25763"</definedName>
    <definedName name="IQ_NCOS_COMM_RE_FARM_LOANS_TOT_LOANS_FFIEC" hidden="1">"c13885"</definedName>
    <definedName name="IQ_NCOS_COMM_RE_FARM_LOANS_TOTAL_LOANS_THRIFT" hidden="1">"c25759"</definedName>
    <definedName name="IQ_NCOS_COMM_RE_NONFARM_NONRES_TOT_LOANS_FFIEC" hidden="1">"c13884"</definedName>
    <definedName name="IQ_NCOS_COMM_RE_NONFARM_NONRESIDENTIAL_TOTAL_LOANS_THRIFT" hidden="1">"c25761"</definedName>
    <definedName name="IQ_NCOS_CONST_LAND_DEV_LOANS_TOT_LOANS_FFIEC" hidden="1">"c13878"</definedName>
    <definedName name="IQ_NCOS_CONSTRUCTION_LAND_DEVELOPMENT_LOANS_TOTAL_LOANS_THRIFT" hidden="1">"c25755"</definedName>
    <definedName name="IQ_NCOS_CONSUMER_LOANS_TOT_LOANS_FFIEC" hidden="1">"c13887"</definedName>
    <definedName name="IQ_NCOS_CONSUMER_LOANS_TOTAL_LOANS_THRIFT" hidden="1">"c25764"</definedName>
    <definedName name="IQ_NCOS_FARM_LOANS_TOT_LOANS_FFIEC" hidden="1">"c13883"</definedName>
    <definedName name="IQ_NCOS_HOME_EQUITY_LOANS_TOT_LOANS_FFIEC" hidden="1">"c13880"</definedName>
    <definedName name="IQ_NCOS_LAND_LOANS_TOTAL_LOANS_THRIFT" hidden="1">"c25760"</definedName>
    <definedName name="IQ_NCOS_MULTIFAM_5_LOANS_TOT_LOANS_FFIEC" hidden="1">"c13882"</definedName>
    <definedName name="IQ_NCOS_MULTIFAMILY_5_MORE_LOANS_TOTAL_LOANS_THRIFT" hidden="1">"c25758"</definedName>
    <definedName name="IQ_NCOS_TOT_1_4_FAM_LOANS_TOT_LOANS_FFIEC" hidden="1">"c13881"</definedName>
    <definedName name="IQ_NCOS_TOT_LEASES_TOT_LOANS_FFIEC" hidden="1">"c13888"</definedName>
    <definedName name="IQ_NCOS_TOT_LOANS_TOT_LOANS_FFIEC" hidden="1">"c13889"</definedName>
    <definedName name="IQ_NCOS_TOTAL_1_4_FAMILY_LOANS_TOTAL_LOANS_THRIFT" hidden="1">"c25756"</definedName>
    <definedName name="IQ_NCOS_TOTAL_LOANS_TOTAL_LOANS_THRIFT" hidden="1">"c25753"</definedName>
    <definedName name="IQ_NCOS_TOTAL_MORTGAGE_LOANS_TOTAL_LOANS_THRIFT" hidden="1">"c25754"</definedName>
    <definedName name="IQ_NCOS_TOTAL_NON_RE_LOANS_TOTAL_LOANS_THRIFT" hidden="1">"c25762"</definedName>
    <definedName name="IQ_NEARBY_CONTRACT_ID" hidden="1">"c14328"</definedName>
    <definedName name="IQ_NEGATIVE_FAIR_VALUE_DERIVATIVES_BENEFICIARY_FFIEC" hidden="1">"c13124"</definedName>
    <definedName name="IQ_NEGATIVE_FAIR_VALUE_DERIVATIVES_GUARANTOR_FFIEC" hidden="1">"c13117"</definedName>
    <definedName name="IQ_NET_ADD_BASIC" hidden="1">"c15782"</definedName>
    <definedName name="IQ_NET_ADD_BBAND" hidden="1">"c15785"</definedName>
    <definedName name="IQ_NET_ADD_DIG" hidden="1">"c15783"</definedName>
    <definedName name="IQ_NET_ADD_PHONE" hidden="1">"c15786"</definedName>
    <definedName name="IQ_NET_ADD_POSTPAID_WIRELESS" hidden="1">"c15754"</definedName>
    <definedName name="IQ_NET_ADD_PREPAID_WIRELESS" hidden="1">"c15755"</definedName>
    <definedName name="IQ_NET_ADD_RESELL_WHOLESALE_WIRELESS" hidden="1">"c15756"</definedName>
    <definedName name="IQ_NET_ADD_RGU" hidden="1">"c15787"</definedName>
    <definedName name="IQ_NET_ADD_SATELLITE" hidden="1">"c15784"</definedName>
    <definedName name="IQ_NET_ADD_TOTAL_WIRELESS" hidden="1">"c15757"</definedName>
    <definedName name="IQ_NET_BOOKING_LOCATION_ADJUSTMENT_FOREIGN_FFIEC" hidden="1">"c15385"</definedName>
    <definedName name="IQ_NET_CHANGE" localSheetId="12" hidden="1">"c749"</definedName>
    <definedName name="IQ_NET_CHANGE" localSheetId="7" hidden="1">"c749"</definedName>
    <definedName name="IQ_NET_CHANGE" hidden="1">"c135"</definedName>
    <definedName name="IQ_NET_CHARGE_OFFS_FDIC" hidden="1">"c6641"</definedName>
    <definedName name="IQ_NET_CHARGE_OFFS_LOANS_FDIC" hidden="1">"c6751"</definedName>
    <definedName name="IQ_NET_CLAIM_ADJ_EXP_RESERVE_BOP" hidden="1">"c15877"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localSheetId="12" hidden="1">"c1584"</definedName>
    <definedName name="IQ_NET_DEBT" localSheetId="7" hidden="1">"c1584"</definedName>
    <definedName name="IQ_NET_DEBT" hidden="1">"c118"</definedName>
    <definedName name="IQ_NET_DEBT_ACT_OR_EST" hidden="1">"c3583"</definedName>
    <definedName name="IQ_NET_DEBT_ACT_OR_EST_CIQ" hidden="1">"c5070"</definedName>
    <definedName name="IQ_NET_DEBT_DET_EST" hidden="1">"c12061"</definedName>
    <definedName name="IQ_NET_DEBT_DET_EST_CIQ" hidden="1">"c12124"</definedName>
    <definedName name="IQ_NET_DEBT_DET_EST_CURRENCY" hidden="1">"c12468"</definedName>
    <definedName name="IQ_NET_DEBT_DET_EST_CURRENCY_CIQ" hidden="1">"c12515"</definedName>
    <definedName name="IQ_NET_DEBT_DET_EST_DATE" hidden="1">"c12214"</definedName>
    <definedName name="IQ_NET_DEBT_DET_EST_DATE_CIQ" hidden="1">"c12270"</definedName>
    <definedName name="IQ_NET_DEBT_DET_EST_INCL" hidden="1">"c12351"</definedName>
    <definedName name="IQ_NET_DEBT_DET_EST_INCL_CIQ" hidden="1">"c12398"</definedName>
    <definedName name="IQ_NET_DEBT_DET_EST_NOTE" hidden="1">"c17541"</definedName>
    <definedName name="IQ_NET_DEBT_DET_EST_NOTE_CIQ" hidden="1">"c17494"</definedName>
    <definedName name="IQ_NET_DEBT_DET_EST_ORIGIN" hidden="1">"c12586"</definedName>
    <definedName name="IQ_NET_DEBT_DET_EST_ORIGIN_CIQ" hidden="1">"c12639"</definedName>
    <definedName name="IQ_NET_DEBT_EBITDA" hidden="1">"c750"</definedName>
    <definedName name="IQ_NET_DEBT_EBITDA_CAPEX" hidden="1">"c2949"</definedName>
    <definedName name="IQ_NET_DEBT_EST" hidden="1">"c3517"</definedName>
    <definedName name="IQ_NET_DEBT_EST_CIQ" hidden="1">"c3814"</definedName>
    <definedName name="IQ_NET_DEBT_EST_DOWN_2MONTH" hidden="1">"c16513"</definedName>
    <definedName name="IQ_NET_DEBT_EST_DOWN_2MONTH_CIQ" hidden="1">"c16777"</definedName>
    <definedName name="IQ_NET_DEBT_EST_DOWN_3MONTH" hidden="1">"c16517"</definedName>
    <definedName name="IQ_NET_DEBT_EST_DOWN_3MONTH_CIQ" hidden="1">"c16781"</definedName>
    <definedName name="IQ_NET_DEBT_EST_DOWN_MONTH" hidden="1">"c16509"</definedName>
    <definedName name="IQ_NET_DEBT_EST_DOWN_MONTH_CIQ" hidden="1">"c16773"</definedName>
    <definedName name="IQ_NET_DEBT_EST_NOTE" hidden="1">"c17518"</definedName>
    <definedName name="IQ_NET_DEBT_EST_NOTE_CIQ" hidden="1">"c17471"</definedName>
    <definedName name="IQ_NET_DEBT_EST_NUM_ANALYSTS_2MONTH" hidden="1">"c16511"</definedName>
    <definedName name="IQ_NET_DEBT_EST_NUM_ANALYSTS_2MONTH_CIQ" hidden="1">"c16775"</definedName>
    <definedName name="IQ_NET_DEBT_EST_NUM_ANALYSTS_3MONTH" hidden="1">"c16515"</definedName>
    <definedName name="IQ_NET_DEBT_EST_NUM_ANALYSTS_3MONTH_CIQ" hidden="1">"c16779"</definedName>
    <definedName name="IQ_NET_DEBT_EST_NUM_ANALYSTS_MONTH" hidden="1">"c16507"</definedName>
    <definedName name="IQ_NET_DEBT_EST_NUM_ANALYSTS_MONTH_CIQ" hidden="1">"c16771"</definedName>
    <definedName name="IQ_NET_DEBT_EST_TOTAL_REVISED_2MONTH" hidden="1">"c16514"</definedName>
    <definedName name="IQ_NET_DEBT_EST_TOTAL_REVISED_2MONTH_CIQ" hidden="1">"c16778"</definedName>
    <definedName name="IQ_NET_DEBT_EST_TOTAL_REVISED_3MONTH" hidden="1">"c16518"</definedName>
    <definedName name="IQ_NET_DEBT_EST_TOTAL_REVISED_3MONTH_CIQ" hidden="1">"c16782"</definedName>
    <definedName name="IQ_NET_DEBT_EST_TOTAL_REVISED_MONTH" hidden="1">"c16510"</definedName>
    <definedName name="IQ_NET_DEBT_EST_TOTAL_REVISED_MONTH_CIQ" hidden="1">"c16774"</definedName>
    <definedName name="IQ_NET_DEBT_EST_UP_2MONTH" hidden="1">"c16512"</definedName>
    <definedName name="IQ_NET_DEBT_EST_UP_2MONTH_CIQ" hidden="1">"c16776"</definedName>
    <definedName name="IQ_NET_DEBT_EST_UP_3MONTH" hidden="1">"c16516"</definedName>
    <definedName name="IQ_NET_DEBT_EST_UP_3MONTH_CIQ" hidden="1">"c16780"</definedName>
    <definedName name="IQ_NET_DEBT_EST_UP_MONTH" hidden="1">"c16508"</definedName>
    <definedName name="IQ_NET_DEBT_EST_UP_MONTH_CIQ" hidden="1">"c16772"</definedName>
    <definedName name="IQ_NET_DEBT_GUIDANCE" hidden="1">"c4467"</definedName>
    <definedName name="IQ_NET_DEBT_HIGH_EST" hidden="1">"c3518"</definedName>
    <definedName name="IQ_NET_DEBT_HIGH_EST_CIQ" hidden="1">"c3816"</definedName>
    <definedName name="IQ_NET_DEBT_HIGH_GUIDANCE" hidden="1">"c4181"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CM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DEBT_LOW_EST" hidden="1">"c3519"</definedName>
    <definedName name="IQ_NET_DEBT_LOW_EST_CIQ" hidden="1">"c3817"</definedName>
    <definedName name="IQ_NET_DEBT_LOW_GUIDANCE" hidden="1">"c4221"</definedName>
    <definedName name="IQ_NET_DEBT_MEDIAN_EST" hidden="1">"c3520"</definedName>
    <definedName name="IQ_NET_DEBT_MEDIAN_EST_CIQ" hidden="1">"c3815"</definedName>
    <definedName name="IQ_NET_DEBT_NUM_EST" hidden="1">"c3515"</definedName>
    <definedName name="IQ_NET_DEBT_NUM_EST_CIQ" hidden="1">"c3818"</definedName>
    <definedName name="IQ_NET_DEBT_STDDEV_EST" hidden="1">"c3516"</definedName>
    <definedName name="IQ_NET_DEBT_STDDEV_EST_CIQ" hidden="1">"c3819"</definedName>
    <definedName name="IQ_NET_EARNED" hidden="1">"c2734"</definedName>
    <definedName name="IQ_NET_FED_FUNDS_PURCHASED_TOTAL_ASSETS_THRIFT" hidden="1">"c25704"</definedName>
    <definedName name="IQ_NET_FIDUCIARY_RELATED_SERVICES_INC_THRIFT" hidden="1">"c24815"</definedName>
    <definedName name="IQ_NET_FUNDS_PURCHASED_ASSETS_TOT_FFIEC" hidden="1">"c13448"</definedName>
    <definedName name="IQ_NET_GAIN_LOSS_OREO_EXP_FFIEC" hidden="1">"c15370"</definedName>
    <definedName name="IQ_NET_GAIN_LOSS_OREO_INC_FFIEC" hidden="1">"c15367"</definedName>
    <definedName name="IQ_NET_GAIN_LOSS_SALES_LOANS_EXP_FFIEC" hidden="1">"c15371"</definedName>
    <definedName name="IQ_NET_GAIN_LOSS_SALES_LOANS_INC_FFIEC" hidden="1">"c15368"</definedName>
    <definedName name="IQ_NET_GAIN_SALE_AFS_SEC_THRIFT" hidden="1">"c24770"</definedName>
    <definedName name="IQ_NET_GAIN_SALE_LOANS_HELD_INV_THRIFT" hidden="1">"c24774"</definedName>
    <definedName name="IQ_NET_GAIN_SALE_LOANS_LEASES_HFS_THRIFT" hidden="1">"c24771"</definedName>
    <definedName name="IQ_NET_GAIN_SALE_OTHER_ASSETS_HELD_INV_THRIFT" hidden="1">"c24775"</definedName>
    <definedName name="IQ_NET_GAIN_SALE_OTHER_ASSETS_HFS_THRIFT" hidden="1">"c24772"</definedName>
    <definedName name="IQ_NET_GAIN_SALE_PREMISES_FIXED_ASSETS_EXP_FFIEC" hidden="1">"c15372"</definedName>
    <definedName name="IQ_NET_GAIN_SALE_PREMISES_FIXED_ASSETS_INC_FFIEC" hidden="1">"c15369"</definedName>
    <definedName name="IQ_NET_GAIN_SALE_SEC_HTM_THRIFT" hidden="1">"c24773"</definedName>
    <definedName name="IQ_NET_GAINS_FIN_ASSETS_LIABILITIES_FV_THRIFT" hidden="1">"c24776"</definedName>
    <definedName name="IQ_NET_IMPAIR_LOSS_FFIEC" hidden="1">"c25848"</definedName>
    <definedName name="IQ_NET_INC" localSheetId="12" hidden="1">"c1394"</definedName>
    <definedName name="IQ_NET_INC" localSheetId="7" hidden="1">"c1394"</definedName>
    <definedName name="IQ_NET_INC" hidden="1">"c39"</definedName>
    <definedName name="IQ_NET_INC_BEFORE" localSheetId="12" hidden="1">"c1368"</definedName>
    <definedName name="IQ_NET_INC_BEFORE" localSheetId="7" hidden="1">"c1368"</definedName>
    <definedName name="IQ_NET_INC_BEFORE" hidden="1">"c35"</definedName>
    <definedName name="IQ_NET_INC_CF" localSheetId="12" hidden="1">"c1397"</definedName>
    <definedName name="IQ_NET_INC_CF" localSheetId="7" hidden="1">"c1397"</definedName>
    <definedName name="IQ_NET_INC_CF" hidden="1">"c119"</definedName>
    <definedName name="IQ_NET_INC_MARGIN" localSheetId="12" hidden="1">"c1398"</definedName>
    <definedName name="IQ_NET_INC_MARGIN" localSheetId="7" hidden="1">"c1398"</definedName>
    <definedName name="IQ_NET_INC_MARGIN" hidden="1">"c142"</definedName>
    <definedName name="IQ_NET_INCOME_AVG_ASSETS_THRIFT" hidden="1">"c25661"</definedName>
    <definedName name="IQ_NET_INCOME_FDIC" hidden="1">"c6587"</definedName>
    <definedName name="IQ_NET_INCOME_HOMEBUILDING_SALES" hidden="1">"c15818"</definedName>
    <definedName name="IQ_NET_INCOME_LH_FFIEC" hidden="1">"c13110"</definedName>
    <definedName name="IQ_NET_INCOME_LOCOM_ADJUST_THRIFT" hidden="1">"c24779"</definedName>
    <definedName name="IQ_NET_INCOME_LOSS_ATTRIBUTABLE_SAVINGS_ASSOCIATION_THRIFT" hidden="1">"c25009"</definedName>
    <definedName name="IQ_NET_INCOME_PC_FFIEC" hidden="1">"c13103"</definedName>
    <definedName name="IQ_NET_INCOME_REPOSSESS_ASSETS_THRIFT" hidden="1">"c24778"</definedName>
    <definedName name="IQ_NET_INCOME_SALE_ASSETS_HFS_AFS_SEC_THRIFT" hidden="1">"c24769"</definedName>
    <definedName name="IQ_NET_INCOME_SHE_FFIEC" hidden="1">"c12960"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CM" hidden="1">"c765"</definedName>
    <definedName name="IQ_NET_INT_INC_FIN" hidden="1">"c766"</definedName>
    <definedName name="IQ_NET_INT_INC_TOTAL_REV" hidden="1">"c767"</definedName>
    <definedName name="IQ_NET_INT_INCOME_AFTER_PROVISION_THRIFT" hidden="1">"c25871"</definedName>
    <definedName name="IQ_NET_INT_INCOME_AVG_ASSET" hidden="1">"c15706"</definedName>
    <definedName name="IQ_NET_INT_INCOME_AVG_ASSETS_THRIFT" hidden="1">"c25649"</definedName>
    <definedName name="IQ_NET_INT_INCOME_AVG_EARNING_ASSETS_THRIFT" hidden="1">"c25668"</definedName>
    <definedName name="IQ_NET_INT_INCOME_FFIEC" hidden="1">"c13001"</definedName>
    <definedName name="IQ_NET_INT_INCOME_FTE_FFIEC" hidden="1">"c13036"</definedName>
    <definedName name="IQ_NET_INT_INCOME_THRIFT" hidden="1">"c24765"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localSheetId="12" hidden="1">"c1392"</definedName>
    <definedName name="IQ_NET_INTEREST_INC" localSheetId="7" hidden="1">"c1392"</definedName>
    <definedName name="IQ_NET_INTEREST_INC" hidden="1">"c11"</definedName>
    <definedName name="IQ_NET_INTEREST_INC_AFTER_LL" localSheetId="12" hidden="1">"c1604"</definedName>
    <definedName name="IQ_NET_INTEREST_INC_AFTER_LL" localSheetId="7" hidden="1">"c1604"</definedName>
    <definedName name="IQ_NET_INTEREST_INC_AFTER_LL" hidden="1">"c13"</definedName>
    <definedName name="IQ_NET_INTEREST_INC_INTERNATIONAL_OPS_FFIEC" hidden="1">"c15375"</definedName>
    <definedName name="IQ_NET_INTEREST_MARGIN_FDIC" hidden="1">"c6726"</definedName>
    <definedName name="IQ_NET_LIFE_INS_IN_FORCE" hidden="1">"c2769"</definedName>
    <definedName name="IQ_NET_LOAN_LOSSES_AVG_LOANS_THRIFT" hidden="1">"c25635"</definedName>
    <definedName name="IQ_NET_LOANS" localSheetId="12" hidden="1">"c772"</definedName>
    <definedName name="IQ_NET_LOANS" localSheetId="7" hidden="1">"c772"</definedName>
    <definedName name="IQ_NET_LOANS" hidden="1">"c75"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CORE_DEPOSITS_FFIEC" hidden="1">"c13341"</definedName>
    <definedName name="IQ_NET_LOANS_CORE_DEPOSITS_THRIFT" hidden="1">"c25628"</definedName>
    <definedName name="IQ_NET_LOANS_DEPOSITS_FFIEC" hidden="1">"c13340"</definedName>
    <definedName name="IQ_NET_LOANS_EQUITY_FFIEC" hidden="1">"c13347"</definedName>
    <definedName name="IQ_NET_LOANS_EQUITY_THRIFT" hidden="1">"c25632"</definedName>
    <definedName name="IQ_NET_LOANS_LEASES_CORE_DEPOSITS_FDIC" hidden="1">"c6743"</definedName>
    <definedName name="IQ_NET_LOANS_LEASES_DEPOSITS_FDIC" hidden="1">"c6742"</definedName>
    <definedName name="IQ_NET_LOANS_LEASES_LETTERS_CREDIT_TOTAL_ASSETS_THRIFT" hidden="1">"c25698"</definedName>
    <definedName name="IQ_NET_LOANS_LEASES_TOTAL_ASSETS_THRIFT" hidden="1">"c25694"</definedName>
    <definedName name="IQ_NET_LOANS_TOTAL_DEPOSITS" hidden="1">"c779"</definedName>
    <definedName name="IQ_NET_LOANS_TOTAL_DEPOSITS_THRIFT" hidden="1">"c25627"</definedName>
    <definedName name="IQ_NET_LOSSES" hidden="1">"c15873"</definedName>
    <definedName name="IQ_NET_LOSSES_FIDUCIARY_RELATED_SERVICES_THRIFT" hidden="1">"c24813"</definedName>
    <definedName name="IQ_NET_NEW_CLIENT_ASSETS" hidden="1">"c20430"</definedName>
    <definedName name="IQ_NET_NONCORE_FUNDING_DEPENDENCE_SHORT_TERM_THRIFT" hidden="1">"c25624"</definedName>
    <definedName name="IQ_NET_NONCORE_FUNDING_DEPENDENCE_THRIFT" hidden="1">"c25623"</definedName>
    <definedName name="IQ_NET_NONINTEREST_INC_EXP_INTERNATIONAL_OPS_FFIEC" hidden="1">"c15387"</definedName>
    <definedName name="IQ_NET_OCCUPANCY_EXP_ADJUSTED_OPERATING_INCOME_THRIFT" hidden="1">"c25686"</definedName>
    <definedName name="IQ_NET_OPERATING_INCOME_ASSETS_FDIC" hidden="1">"c6729"</definedName>
    <definedName name="IQ_NET_PREMIUM_WRITTEN_STATUTORY_SURPLUS" hidden="1">"c15880"</definedName>
    <definedName name="IQ_NET_PREMIUMS_WRITTEN_AVG_ASSETS" hidden="1">"c15888"</definedName>
    <definedName name="IQ_NET_PREMIUMS_WRITTEN_AVG_EQUITY" hidden="1">"c15891"</definedName>
    <definedName name="IQ_NET_PREMIUMS_WRITTEN_AVG_STATUTORY_SURPLUS" hidden="1">"c15890"</definedName>
    <definedName name="IQ_NET_PREMIUMS_WRITTEN_GROSS_PREMIUMS_WRITTEN" hidden="1">"c15889"</definedName>
    <definedName name="IQ_NET_PROVISION_LOSS_GVA_THRIFT" hidden="1">"c25092"</definedName>
    <definedName name="IQ_NET_PROVISION_LOSS_SVA_THRIFT" hidden="1">"c25100"</definedName>
    <definedName name="IQ_NET_PROVISION_LOSS_TVA_THRIFT" hidden="1">"c25107"</definedName>
    <definedName name="IQ_NET_RENTAL_EXP_FN" hidden="1">"c780"</definedName>
    <definedName name="IQ_NET_SECURITIZATION_INC_FOREIGN_FFIEC" hidden="1">"c15379"</definedName>
    <definedName name="IQ_NET_SECURITIZATION_INCOME_FDIC" hidden="1">"c6669"</definedName>
    <definedName name="IQ_NET_SERVICING_FEES_ADJUSTED_OPERATING_INCOME_THRIFT" hidden="1">"c25690"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BASIS_ACCOUNTING_ADJUSTMENTS_SAVINGS_ASSOCIATION_THRIFT" hidden="1">"c25015"</definedName>
    <definedName name="IQ_NEW_DEPOSITS_RECEIVED_LESS_DEPOSITS_WITHDRAWN_THRIFT" hidden="1">"c25343"</definedName>
    <definedName name="IQ_NEW_PREM" hidden="1">"c2785"</definedName>
    <definedName name="IQ_NEWS" hidden="1">"c13743"</definedName>
    <definedName name="IQ_NEWS_DATE" hidden="1">"c13746"</definedName>
    <definedName name="IQ_NEWS_SOURCE" hidden="1">"c13745"</definedName>
    <definedName name="IQ_NEWS_TIME" hidden="1">"c13759"</definedName>
    <definedName name="IQ_NEWS_URL" hidden="1">"c13744"</definedName>
    <definedName name="IQ_NEXT_CALL_DATE" hidden="1">"c2198"</definedName>
    <definedName name="IQ_NEXT_CALL_PRICE" hidden="1">"c2199"</definedName>
    <definedName name="IQ_NEXT_CONTRACT_ID" hidden="1">"c13928"</definedName>
    <definedName name="IQ_NEXT_DIV_AMOUNT" hidden="1">"c17414"</definedName>
    <definedName name="IQ_NEXT_DIV_PAYMENT_DATE" hidden="1">"c17413"</definedName>
    <definedName name="IQ_NEXT_DIV_PAYMENT_TYPE" hidden="1">"c17415"</definedName>
    <definedName name="IQ_NEXT_DIV_RECORD_DATE" hidden="1">"c17412"</definedName>
    <definedName name="IQ_NEXT_EARNINGS_DATE" hidden="1">"c13592"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XDIV_DATE" hidden="1">"c17411"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CT_OR_EST" hidden="1">"c2222"</definedName>
    <definedName name="IQ_NI_ACT_OR_EST_CIQ" hidden="1">"c5065"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AVG_ASSETS_FFIEC" hidden="1">"c13370"</definedName>
    <definedName name="IQ_NI_BANK_AND_NONCONTROLLING_INTEREST_FFIEC" hidden="1">"c15365"</definedName>
    <definedName name="IQ_NI_BANK_NONCONTROLLING_INT_THRIFT" hidden="1">"c24798"</definedName>
    <definedName name="IQ_NI_BEFORE_CAPITALIZED" hidden="1">"c792"</definedName>
    <definedName name="IQ_NI_BEFORE_INTERNAL_ALLOCATIONS_FOREIGN_FFIEC" hidden="1">"c15393"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COMPANY" hidden="1">"c25786"</definedName>
    <definedName name="IQ_NI_DET_EST" hidden="1">"c12062"</definedName>
    <definedName name="IQ_NI_DET_EST_CIQ" hidden="1">"c12125"</definedName>
    <definedName name="IQ_NI_DET_EST_CURRENCY" hidden="1">"c12469"</definedName>
    <definedName name="IQ_NI_DET_EST_CURRENCY_CIQ" hidden="1">"c12516"</definedName>
    <definedName name="IQ_NI_DET_EST_DATE" hidden="1">"c12215"</definedName>
    <definedName name="IQ_NI_DET_EST_DATE_CIQ" hidden="1">"c12271"</definedName>
    <definedName name="IQ_NI_DET_EST_INCL" hidden="1">"c12352"</definedName>
    <definedName name="IQ_NI_DET_EST_INCL_CIQ" hidden="1">"c12399"</definedName>
    <definedName name="IQ_NI_DET_EST_NOTE" hidden="1">"c17533"</definedName>
    <definedName name="IQ_NI_DET_EST_NOTE_CIQ" hidden="1">"c17486"</definedName>
    <definedName name="IQ_NI_DET_EST_ORIGIN" hidden="1">"c12587"</definedName>
    <definedName name="IQ_NI_DET_EST_ORIGIN_CIQ" hidden="1">"c12640"</definedName>
    <definedName name="IQ_NI_EST" hidden="1">"c1716"</definedName>
    <definedName name="IQ_NI_EST_CIQ" hidden="1">"c4702"</definedName>
    <definedName name="IQ_NI_EST_DOWN_2MONTH" hidden="1">"c16429"</definedName>
    <definedName name="IQ_NI_EST_DOWN_2MONTH_CIQ" hidden="1">"c16717"</definedName>
    <definedName name="IQ_NI_EST_DOWN_3MONTH" hidden="1">"c16433"</definedName>
    <definedName name="IQ_NI_EST_DOWN_3MONTH_CIQ" hidden="1">"c16721"</definedName>
    <definedName name="IQ_NI_EST_DOWN_MONTH" hidden="1">"c16425"</definedName>
    <definedName name="IQ_NI_EST_DOWN_MONTH_CIQ" hidden="1">"c16713"</definedName>
    <definedName name="IQ_NI_EST_NOTE" hidden="1">"c17514"</definedName>
    <definedName name="IQ_NI_EST_NOTE_CIQ" hidden="1">"c17467"</definedName>
    <definedName name="IQ_NI_EST_NUM_ANALYSTS_2MONTH" hidden="1">"c16427"</definedName>
    <definedName name="IQ_NI_EST_NUM_ANALYSTS_2MONTH_CIQ" hidden="1">"c16715"</definedName>
    <definedName name="IQ_NI_EST_NUM_ANALYSTS_3MONTH" hidden="1">"c16431"</definedName>
    <definedName name="IQ_NI_EST_NUM_ANALYSTS_3MONTH_CIQ" hidden="1">"c16719"</definedName>
    <definedName name="IQ_NI_EST_NUM_ANALYSTS_MONTH" hidden="1">"c16423"</definedName>
    <definedName name="IQ_NI_EST_NUM_ANALYSTS_MONTH_CIQ" hidden="1">"c16711"</definedName>
    <definedName name="IQ_NI_EST_TOTAL_REVISED_2MONTH" hidden="1">"c16430"</definedName>
    <definedName name="IQ_NI_EST_TOTAL_REVISED_2MONTH_CIQ" hidden="1">"c16718"</definedName>
    <definedName name="IQ_NI_EST_TOTAL_REVISED_3MONTH" hidden="1">"c16434"</definedName>
    <definedName name="IQ_NI_EST_TOTAL_REVISED_3MONTH_CIQ" hidden="1">"c16722"</definedName>
    <definedName name="IQ_NI_EST_TOTAL_REVISED_MONTH" hidden="1">"c16426"</definedName>
    <definedName name="IQ_NI_EST_TOTAL_REVISED_MONTH_CIQ" hidden="1">"c16714"</definedName>
    <definedName name="IQ_NI_EST_UP_2MONTH" hidden="1">"c16428"</definedName>
    <definedName name="IQ_NI_EST_UP_2MONTH_CIQ" hidden="1">"c16716"</definedName>
    <definedName name="IQ_NI_EST_UP_3MONTH" hidden="1">"c16432"</definedName>
    <definedName name="IQ_NI_EST_UP_3MONTH_CIQ" hidden="1">"c16720"</definedName>
    <definedName name="IQ_NI_EST_UP_MONTH" hidden="1">"c16424"</definedName>
    <definedName name="IQ_NI_EST_UP_MONTH_CIQ" hidden="1">"c16712"</definedName>
    <definedName name="IQ_NI_FFIEC" hidden="1">"c13034"</definedName>
    <definedName name="IQ_NI_GAAP_GUIDANCE" hidden="1">"c4470"</definedName>
    <definedName name="IQ_NI_GAAP_HIGH_GUIDANCE" hidden="1">"c4177"</definedName>
    <definedName name="IQ_NI_GAAP_LOW_GUIDANCE" hidden="1">"c4217"</definedName>
    <definedName name="IQ_NI_GUIDANCE" hidden="1">"c4469"</definedName>
    <definedName name="IQ_NI_GW_DET_EST" hidden="1">"c12063"</definedName>
    <definedName name="IQ_NI_GW_DET_EST_CIQ" hidden="1">"c12126"</definedName>
    <definedName name="IQ_NI_GW_DET_EST_CURRENCY" hidden="1">"c12470"</definedName>
    <definedName name="IQ_NI_GW_DET_EST_CURRENCY_CIQ" hidden="1">"c12517"</definedName>
    <definedName name="IQ_NI_GW_DET_EST_DATE" hidden="1">"c12216"</definedName>
    <definedName name="IQ_NI_GW_DET_EST_DATE_CIQ" hidden="1">"c12272"</definedName>
    <definedName name="IQ_NI_GW_DET_EST_INCL" hidden="1">"c12353"</definedName>
    <definedName name="IQ_NI_GW_DET_EST_INCL_CIQ" hidden="1">"c12400"</definedName>
    <definedName name="IQ_NI_GW_DET_EST_NOTE" hidden="1">"c17532"</definedName>
    <definedName name="IQ_NI_GW_DET_EST_NOTE_CIQ" hidden="1">"c17485"</definedName>
    <definedName name="IQ_NI_GW_DET_EST_ORIGIN_CIQ" hidden="1">"c12641"</definedName>
    <definedName name="IQ_NI_GW_EST" hidden="1">"c1723"</definedName>
    <definedName name="IQ_NI_GW_EST_CIQ" hidden="1">"c4709"</definedName>
    <definedName name="IQ_NI_GW_EST_DOWN_2MONTH" hidden="1">"c16453"</definedName>
    <definedName name="IQ_NI_GW_EST_DOWN_2MONTH_CIQ" hidden="1">"c16741"</definedName>
    <definedName name="IQ_NI_GW_EST_DOWN_3MONTH" hidden="1">"c16457"</definedName>
    <definedName name="IQ_NI_GW_EST_DOWN_3MONTH_CIQ" hidden="1">"c16745"</definedName>
    <definedName name="IQ_NI_GW_EST_DOWN_MONTH" hidden="1">"c16449"</definedName>
    <definedName name="IQ_NI_GW_EST_DOWN_MONTH_CIQ" hidden="1">"c16737"</definedName>
    <definedName name="IQ_NI_GW_EST_NOTE" hidden="1">"c17516"</definedName>
    <definedName name="IQ_NI_GW_EST_NOTE_CIQ" hidden="1">"c17469"</definedName>
    <definedName name="IQ_NI_GW_EST_NUM_ANALYSTS_2MONTH" hidden="1">"c16451"</definedName>
    <definedName name="IQ_NI_GW_EST_NUM_ANALYSTS_2MONTH_CIQ" hidden="1">"c16739"</definedName>
    <definedName name="IQ_NI_GW_EST_NUM_ANALYSTS_3MONTH" hidden="1">"c16455"</definedName>
    <definedName name="IQ_NI_GW_EST_NUM_ANALYSTS_3MONTH_CIQ" hidden="1">"c16743"</definedName>
    <definedName name="IQ_NI_GW_EST_NUM_ANALYSTS_MONTH" hidden="1">"c16447"</definedName>
    <definedName name="IQ_NI_GW_EST_NUM_ANALYSTS_MONTH_CIQ" hidden="1">"c16735"</definedName>
    <definedName name="IQ_NI_GW_EST_TOTAL_REVISED_2MONTH" hidden="1">"c16454"</definedName>
    <definedName name="IQ_NI_GW_EST_TOTAL_REVISED_2MONTH_CIQ" hidden="1">"c16742"</definedName>
    <definedName name="IQ_NI_GW_EST_TOTAL_REVISED_3MONTH" hidden="1">"c16458"</definedName>
    <definedName name="IQ_NI_GW_EST_TOTAL_REVISED_3MONTH_CIQ" hidden="1">"c16746"</definedName>
    <definedName name="IQ_NI_GW_EST_TOTAL_REVISED_MONTH" hidden="1">"c16450"</definedName>
    <definedName name="IQ_NI_GW_EST_TOTAL_REVISED_MONTH_CIQ" hidden="1">"c16738"</definedName>
    <definedName name="IQ_NI_GW_EST_UP_2MONTH" hidden="1">"c16452"</definedName>
    <definedName name="IQ_NI_GW_EST_UP_2MONTH_CIQ" hidden="1">"c16740"</definedName>
    <definedName name="IQ_NI_GW_EST_UP_3MONTH" hidden="1">"c16456"</definedName>
    <definedName name="IQ_NI_GW_EST_UP_3MONTH_CIQ" hidden="1">"c16744"</definedName>
    <definedName name="IQ_NI_GW_EST_UP_MONTH" hidden="1">"c16448"</definedName>
    <definedName name="IQ_NI_GW_EST_UP_MONTH_CIQ" hidden="1">"c16736"</definedName>
    <definedName name="IQ_NI_GW_GUIDANCE" hidden="1">"c4471"</definedName>
    <definedName name="IQ_NI_GW_HIGH_EST" hidden="1">"c1725"</definedName>
    <definedName name="IQ_NI_GW_HIGH_EST_CIQ" hidden="1">"c4711"</definedName>
    <definedName name="IQ_NI_GW_HIGH_GUIDANCE" hidden="1">"c4178"</definedName>
    <definedName name="IQ_NI_GW_LOW_EST" hidden="1">"c1726"</definedName>
    <definedName name="IQ_NI_GW_LOW_EST_CIQ" hidden="1">"c4712"</definedName>
    <definedName name="IQ_NI_GW_LOW_GUIDANCE" hidden="1">"c4218"</definedName>
    <definedName name="IQ_NI_GW_MEDIAN_EST" hidden="1">"c1724"</definedName>
    <definedName name="IQ_NI_GW_MEDIAN_EST_CIQ" hidden="1">"c4710"</definedName>
    <definedName name="IQ_NI_GW_NUM_EST" hidden="1">"c1727"</definedName>
    <definedName name="IQ_NI_GW_NUM_EST_CIQ" hidden="1">"c4713"</definedName>
    <definedName name="IQ_NI_GW_STDDEV_EST" hidden="1">"c1728"</definedName>
    <definedName name="IQ_NI_GW_STDDEV_EST_CIQ" hidden="1">"c4714"</definedName>
    <definedName name="IQ_NI_HIGH_EST" hidden="1">"c1718"</definedName>
    <definedName name="IQ_NI_HIGH_EST_CIQ" hidden="1">"c4704"</definedName>
    <definedName name="IQ_NI_HIGH_GUIDANCE" hidden="1">"c4176"</definedName>
    <definedName name="IQ_NI_LOW_EST" hidden="1">"c1719"</definedName>
    <definedName name="IQ_NI_LOW_EST_CIQ" hidden="1">"c4705"</definedName>
    <definedName name="IQ_NI_LOW_GUIDANCE" hidden="1">"c4216"</definedName>
    <definedName name="IQ_NI_MARGIN" hidden="1">"c794"</definedName>
    <definedName name="IQ_NI_MEDIAN_EST" hidden="1">"c1717"</definedName>
    <definedName name="IQ_NI_MEDIAN_EST_CIQ" hidden="1">"c4703"</definedName>
    <definedName name="IQ_NI_NON_CONTROLLING_INTERESTS_FFIEC" hidden="1">"c15366"</definedName>
    <definedName name="IQ_NI_NONCONTROLLING_INT_THRIFT" hidden="1">"c24799"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NUM_EST" hidden="1">"c1720"</definedName>
    <definedName name="IQ_NI_NUM_EST_CIQ" hidden="1">"c4706"</definedName>
    <definedName name="IQ_NI_REPORTED_DET_EST_CIQ" hidden="1">"c12127"</definedName>
    <definedName name="IQ_NI_REPORTED_DET_EST_CURRENCY_CIQ" hidden="1">"c12518"</definedName>
    <definedName name="IQ_NI_REPORTED_DET_EST_DATE_CIQ" hidden="1">"c12273"</definedName>
    <definedName name="IQ_NI_REPORTED_DET_EST_INCL_CIQ" hidden="1">"c12401"</definedName>
    <definedName name="IQ_NI_REPORTED_DET_EST_NOTE" hidden="1">"c17537"</definedName>
    <definedName name="IQ_NI_REPORTED_DET_EST_NOTE_CIQ" hidden="1">"c17490"</definedName>
    <definedName name="IQ_NI_REPORTED_DET_EST_ORIGIN" hidden="1">"c12588"</definedName>
    <definedName name="IQ_NI_REPORTED_DET_EST_ORIGIN_CIQ" hidden="1">"c12642"</definedName>
    <definedName name="IQ_NI_REPORTED_EST" hidden="1">"c1730"</definedName>
    <definedName name="IQ_NI_REPORTED_EST_CIQ" hidden="1">"c4716"</definedName>
    <definedName name="IQ_NI_REPORTED_EST_DOWN_2MONTH" hidden="1">"c16441"</definedName>
    <definedName name="IQ_NI_REPORTED_EST_DOWN_2MONTH_CIQ" hidden="1">"c16729"</definedName>
    <definedName name="IQ_NI_REPORTED_EST_DOWN_3MONTH" hidden="1">"c16445"</definedName>
    <definedName name="IQ_NI_REPORTED_EST_DOWN_3MONTH_CIQ" hidden="1">"c16733"</definedName>
    <definedName name="IQ_NI_REPORTED_EST_DOWN_MONTH" hidden="1">"c16437"</definedName>
    <definedName name="IQ_NI_REPORTED_EST_DOWN_MONTH_CIQ" hidden="1">"c16725"</definedName>
    <definedName name="IQ_NI_REPORTED_EST_NOTE" hidden="1">"c17515"</definedName>
    <definedName name="IQ_NI_REPORTED_EST_NOTE_CIQ" hidden="1">"c17468"</definedName>
    <definedName name="IQ_NI_REPORTED_EST_NUM_ANALYSTS_2MONTH" hidden="1">"c16439"</definedName>
    <definedName name="IQ_NI_REPORTED_EST_NUM_ANALYSTS_2MONTH_CIQ" hidden="1">"c16727"</definedName>
    <definedName name="IQ_NI_REPORTED_EST_NUM_ANALYSTS_3MONTH" hidden="1">"c16443"</definedName>
    <definedName name="IQ_NI_REPORTED_EST_NUM_ANALYSTS_3MONTH_CIQ" hidden="1">"c16731"</definedName>
    <definedName name="IQ_NI_REPORTED_EST_NUM_ANALYSTS_MONTH" hidden="1">"c16435"</definedName>
    <definedName name="IQ_NI_REPORTED_EST_NUM_ANALYSTS_MONTH_CIQ" hidden="1">"c16723"</definedName>
    <definedName name="IQ_NI_REPORTED_EST_TOTAL_REVISED_2MONTH" hidden="1">"c16442"</definedName>
    <definedName name="IQ_NI_REPORTED_EST_TOTAL_REVISED_2MONTH_CIQ" hidden="1">"c16730"</definedName>
    <definedName name="IQ_NI_REPORTED_EST_TOTAL_REVISED_3MONTH" hidden="1">"c16446"</definedName>
    <definedName name="IQ_NI_REPORTED_EST_TOTAL_REVISED_3MONTH_CIQ" hidden="1">"c16734"</definedName>
    <definedName name="IQ_NI_REPORTED_EST_TOTAL_REVISED_MONTH" hidden="1">"c16438"</definedName>
    <definedName name="IQ_NI_REPORTED_EST_TOTAL_REVISED_MONTH_CIQ" hidden="1">"c16726"</definedName>
    <definedName name="IQ_NI_REPORTED_EST_UP_2MONTH" hidden="1">"c16440"</definedName>
    <definedName name="IQ_NI_REPORTED_EST_UP_2MONTH_CIQ" hidden="1">"c16728"</definedName>
    <definedName name="IQ_NI_REPORTED_EST_UP_3MONTH" hidden="1">"c16444"</definedName>
    <definedName name="IQ_NI_REPORTED_EST_UP_3MONTH_CIQ" hidden="1">"c16732"</definedName>
    <definedName name="IQ_NI_REPORTED_EST_UP_MONTH" hidden="1">"c16436"</definedName>
    <definedName name="IQ_NI_REPORTED_EST_UP_MONTH_CIQ" hidden="1">"c16724"</definedName>
    <definedName name="IQ_NI_REPORTED_HIGH_EST" hidden="1">"c1732"</definedName>
    <definedName name="IQ_NI_REPORTED_HIGH_EST_CIQ" hidden="1">"c4718"</definedName>
    <definedName name="IQ_NI_REPORTED_LOW_EST" hidden="1">"c1733"</definedName>
    <definedName name="IQ_NI_REPORTED_LOW_EST_CIQ" hidden="1">"c4719"</definedName>
    <definedName name="IQ_NI_REPORTED_MEDIAN_EST" hidden="1">"c1731"</definedName>
    <definedName name="IQ_NI_REPORTED_MEDIAN_EST_CIQ" hidden="1">"c4717"</definedName>
    <definedName name="IQ_NI_REPORTED_NUM_EST" hidden="1">"c1734"</definedName>
    <definedName name="IQ_NI_REPORTED_NUM_EST_CIQ" hidden="1">"c4720"</definedName>
    <definedName name="IQ_NI_REPORTED_STDDEV_EST" hidden="1">"c1735"</definedName>
    <definedName name="IQ_NI_REPORTED_STDDEV_EST_CIQ" hidden="1">"c4721"</definedName>
    <definedName name="IQ_NI_SBC_ACT_OR_EST" hidden="1">"c4474"</definedName>
    <definedName name="IQ_NI_SBC_ACT_OR_EST_CIQ" hidden="1">"c5012"</definedName>
    <definedName name="IQ_NI_SBC_EST" hidden="1">"c4473"</definedName>
    <definedName name="IQ_NI_SBC_EST_CIQ" hidden="1">"c5011"</definedName>
    <definedName name="IQ_NI_SBC_GW_ACT_OR_EST" hidden="1">"c4478"</definedName>
    <definedName name="IQ_NI_SBC_GW_ACT_OR_EST_CIQ" hidden="1">"c5016"</definedName>
    <definedName name="IQ_NI_SBC_GW_EST" hidden="1">"c4477"</definedName>
    <definedName name="IQ_NI_SBC_GW_EST_CIQ" hidden="1">"c5015"</definedName>
    <definedName name="IQ_NI_SBC_GW_HIGH_EST" hidden="1">"c4480"</definedName>
    <definedName name="IQ_NI_SBC_GW_HIGH_EST_CIQ" hidden="1">"c5018"</definedName>
    <definedName name="IQ_NI_SBC_GW_LOW_EST" hidden="1">"c4481"</definedName>
    <definedName name="IQ_NI_SBC_GW_LOW_EST_CIQ" hidden="1">"c5019"</definedName>
    <definedName name="IQ_NI_SBC_GW_MEDIAN_EST" hidden="1">"c4482"</definedName>
    <definedName name="IQ_NI_SBC_GW_MEDIAN_EST_CIQ" hidden="1">"c5020"</definedName>
    <definedName name="IQ_NI_SBC_GW_NUM_EST" hidden="1">"c4483"</definedName>
    <definedName name="IQ_NI_SBC_GW_NUM_EST_CIQ" hidden="1">"c5021"</definedName>
    <definedName name="IQ_NI_SBC_GW_STDDEV_EST" hidden="1">"c4484"</definedName>
    <definedName name="IQ_NI_SBC_GW_STDDEV_EST_CIQ" hidden="1">"c5022"</definedName>
    <definedName name="IQ_NI_SBC_HIGH_EST" hidden="1">"c4486"</definedName>
    <definedName name="IQ_NI_SBC_HIGH_EST_CIQ" hidden="1">"c5024"</definedName>
    <definedName name="IQ_NI_SBC_LOW_EST" hidden="1">"c4487"</definedName>
    <definedName name="IQ_NI_SBC_LOW_EST_CIQ" hidden="1">"c5025"</definedName>
    <definedName name="IQ_NI_SBC_MEDIAN_EST" hidden="1">"c4488"</definedName>
    <definedName name="IQ_NI_SBC_MEDIAN_EST_CIQ" hidden="1">"c5026"</definedName>
    <definedName name="IQ_NI_SBC_NUM_EST" hidden="1">"c4489"</definedName>
    <definedName name="IQ_NI_SBC_NUM_EST_CIQ" hidden="1">"c5027"</definedName>
    <definedName name="IQ_NI_SBC_STDDEV_EST" hidden="1">"c4490"</definedName>
    <definedName name="IQ_NI_SBC_STDDEV_EST_CIQ" hidden="1">"c5028"</definedName>
    <definedName name="IQ_NI_SFAS" hidden="1">"c795"</definedName>
    <definedName name="IQ_NI_STDDEV_EST" hidden="1">"c1721"</definedName>
    <definedName name="IQ_NI_STDDEV_EST_CIQ" hidden="1">"c4707"</definedName>
    <definedName name="IQ_NI_SUBTOTAL_AP" hidden="1">"c8983"</definedName>
    <definedName name="IQ_NI_THRIFT" hidden="1">"c24800"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I_INCL_UNCONSOL" hidden="1">"c16068"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M_DOMESTIC_PURCHASES" hidden="1">"c20883"</definedName>
    <definedName name="IQ_NOM_EXPORT" hidden="1">"c20884"</definedName>
    <definedName name="IQ_NOM_EXPORT_GOODS" hidden="1">"c20885"</definedName>
    <definedName name="IQ_NOM_EXPORT_INCOME" hidden="1">"c20886"</definedName>
    <definedName name="IQ_NOM_EXPORT_SERVICES" hidden="1">"c20887"</definedName>
    <definedName name="IQ_NOM_GDP" hidden="1">"c20888"</definedName>
    <definedName name="IQ_NOM_GDP_RESIDUAL" hidden="1">"c20889"</definedName>
    <definedName name="IQ_NOM_GNP" hidden="1">"c20890"</definedName>
    <definedName name="IQ_NOM_GOVT_CONSUM_INVEST" hidden="1">"c20891"</definedName>
    <definedName name="IQ_NOM_GOVT_CONSUM_INVEST_DEF" hidden="1">"c20892"</definedName>
    <definedName name="IQ_NOM_GOVT_CONSUM_INVEST_DEF_CONSUM" hidden="1">"c20893"</definedName>
    <definedName name="IQ_NOM_GOVT_CONSUM_INVEST_DEF_INVEST" hidden="1">"c20894"</definedName>
    <definedName name="IQ_NOM_GOVT_CONSUM_INVEST_FEDERAL" hidden="1">"c20895"</definedName>
    <definedName name="IQ_NOM_GOVT_CONSUM_INVEST_NONDEF" hidden="1">"c20896"</definedName>
    <definedName name="IQ_NOM_GOVT_CONSUM_INVEST_NONDEF_CONSUM" hidden="1">"c20897"</definedName>
    <definedName name="IQ_NOM_GOVT_CONSUM_INVEST_NONDEF_INVEST" hidden="1">"c20898"</definedName>
    <definedName name="IQ_NOM_GOVT_CONSUM_INVEST_STATE_LOCAL" hidden="1">"c20899"</definedName>
    <definedName name="IQ_NOM_GOVT_CONSUM_INVEST_STATE_LOCAL_CONSUM" hidden="1">"c20900"</definedName>
    <definedName name="IQ_NOM_GOVT_CONSUM_INVEST_STATE_LOCAL_INVEST" hidden="1">"c20901"</definedName>
    <definedName name="IQ_NOM_IMPORT" hidden="1">"c20902"</definedName>
    <definedName name="IQ_NOM_IMPORT_GOODS" hidden="1">"c20903"</definedName>
    <definedName name="IQ_NOM_IMPORT_INCOME" hidden="1">"c20904"</definedName>
    <definedName name="IQ_NOM_IMPORT_SERVICES" hidden="1">"c20905"</definedName>
    <definedName name="IQ_NOM_NET_DOMESTIC_PRODUCTION" hidden="1">"c20906"</definedName>
    <definedName name="IQ_NOM_NET_EXPORT" hidden="1">"c20907"</definedName>
    <definedName name="IQ_NOM_PCE" hidden="1">"c20908"</definedName>
    <definedName name="IQ_NOM_PCE_CLOTHING" hidden="1">"c20909"</definedName>
    <definedName name="IQ_NOM_PCE_DUR_GOODS" hidden="1">"c20910"</definedName>
    <definedName name="IQ_NOM_PCE_DUR_GOODS_OTHER" hidden="1">"c20911"</definedName>
    <definedName name="IQ_NOM_PCE_FINANCIAL" hidden="1">"c20912"</definedName>
    <definedName name="IQ_NOM_PCE_FOOD_ACCOMADATIONS" hidden="1">"c20913"</definedName>
    <definedName name="IQ_NOM_PCE_FOOD_BEVERAGE" hidden="1">"c20914"</definedName>
    <definedName name="IQ_NOM_PCE_FURNISHINGS" hidden="1">"c20915"</definedName>
    <definedName name="IQ_NOM_PCE_GAS" hidden="1">"c20916"</definedName>
    <definedName name="IQ_NOM_PCE_GOOD" hidden="1">"c20917"</definedName>
    <definedName name="IQ_NOM_PCE_HEALTH_CARE" hidden="1">"c20918"</definedName>
    <definedName name="IQ_NOM_PCE_HOUSEHOLD_CONSUM" hidden="1">"c20919"</definedName>
    <definedName name="IQ_NOM_PCE_HOUSEHOLD_CONSUM_OTHER" hidden="1">"c20920"</definedName>
    <definedName name="IQ_NOM_PCE_HOUSING" hidden="1">"c20921"</definedName>
    <definedName name="IQ_NOM_PCE_MOTOR_VEHICLE" hidden="1">"c20922"</definedName>
    <definedName name="IQ_NOM_PCE_NONDUR_GOODS" hidden="1">"c20923"</definedName>
    <definedName name="IQ_NOM_PCE_NONDUR_GOODS_OTHER" hidden="1">"c20924"</definedName>
    <definedName name="IQ_NOM_PCE_NONPROFIT_CONSUM" hidden="1">"c20925"</definedName>
    <definedName name="IQ_NOM_PCE_NONPROFIT_OUTPUT" hidden="1">"c20926"</definedName>
    <definedName name="IQ_NOM_PCE_NONPROFIT_RECEIPTS" hidden="1">"c20927"</definedName>
    <definedName name="IQ_NOM_PCE_RECREATION_GOODS" hidden="1">"c20928"</definedName>
    <definedName name="IQ_NOM_PCE_RECREATION_SERVICES" hidden="1">"c20929"</definedName>
    <definedName name="IQ_NOM_PCE_SERVICES" hidden="1">"c20930"</definedName>
    <definedName name="IQ_NOM_PCE_TRANSPORTATION" hidden="1">"c20931"</definedName>
    <definedName name="IQ_NOM_PRIVATE_INVEST" hidden="1">"c20932"</definedName>
    <definedName name="IQ_NOM_PRIVATE_INVEST_EQUIP" hidden="1">"c20933"</definedName>
    <definedName name="IQ_NOM_PRIVATE_INVEST_EQUIP_OTHER" hidden="1">"c20934"</definedName>
    <definedName name="IQ_NOM_PRIVATE_INVEST_FIXED" hidden="1">"c20935"</definedName>
    <definedName name="IQ_NOM_PRIVATE_INVEST_INDUSTRIAL_EQUIP" hidden="1">"c20936"</definedName>
    <definedName name="IQ_NOM_PRIVATE_INVEST_INFO_EQUIP" hidden="1">"c20937"</definedName>
    <definedName name="IQ_NOM_PRIVATE_INVEST_INFO_EQUIP_COMPUTERS" hidden="1">"c20938"</definedName>
    <definedName name="IQ_NOM_PRIVATE_INVEST_INFO_EQUIP_OTHER" hidden="1">"c20939"</definedName>
    <definedName name="IQ_NOM_PRIVATE_INVEST_INFO_EQUIP_SOFTWARE" hidden="1">"c20940"</definedName>
    <definedName name="IQ_NOM_PRIVATE_INVEST_NONRES" hidden="1">"c20941"</definedName>
    <definedName name="IQ_NOM_PRIVATE_INVEST_PRIVATE_INV_CHANGE" hidden="1">"c20942"</definedName>
    <definedName name="IQ_NOM_PRIVATE_INVEST_PRIVATE_INV_FARMS" hidden="1">"c20943"</definedName>
    <definedName name="IQ_NOM_PRIVATE_INVEST_PRIVATE_INV_NONFARMS" hidden="1">"c20944"</definedName>
    <definedName name="IQ_NOM_PRIVATE_INVEST_RES" hidden="1">"c20945"</definedName>
    <definedName name="IQ_NOM_PRIVATE_INVEST_STRUCTURES" hidden="1">"c20946"</definedName>
    <definedName name="IQ_NOM_PRIVATE_INVEST_TRANSPORTATION_EQUIP" hidden="1">"c20947"</definedName>
    <definedName name="IQ_NOM_SALES_TO_DOMESTIC_PURCHASES" hidden="1">"c20948"</definedName>
    <definedName name="IQ_NOMINAL_GDP" hidden="1">"c20949"</definedName>
    <definedName name="IQ_NOMINAL_GDP_FC" hidden="1">"c20950"</definedName>
    <definedName name="IQ_NOMINAL_GDP_PER_CAPITA" hidden="1">"c20951"</definedName>
    <definedName name="IQ_NOMINAL_GDP_PER_CAPITA_FC" hidden="1">"c20952"</definedName>
    <definedName name="IQ_NON_ACCRU_ALLOW_RECEIVABLES_FFIEC" hidden="1">"c13353"</definedName>
    <definedName name="IQ_NON_ACCRUAL_ASSET_SOLD_DURING_QTR_FFIEC" hidden="1">"c15350"</definedName>
    <definedName name="IQ_NON_ACCRUAL_LOANS" hidden="1">"c796"</definedName>
    <definedName name="IQ_NON_CASH" localSheetId="12" hidden="1">"c1399"</definedName>
    <definedName name="IQ_NON_CASH" localSheetId="7" hidden="1">"c1399"</definedName>
    <definedName name="IQ_NON_CASH" hidden="1">"c123"</definedName>
    <definedName name="IQ_NON_CASH_ITEMS" hidden="1">"c797"</definedName>
    <definedName name="IQ_NON_CD_DEPOSITS" hidden="1">"c15718"</definedName>
    <definedName name="IQ_NON_CD_DEPOSITS_TOTAL_DEPOSITS" hidden="1">"c15725"</definedName>
    <definedName name="IQ_NON_CURRENT_LOANS_FFIEC" hidden="1">"c13860"</definedName>
    <definedName name="IQ_NON_FARM_NONRES_PROPERTIES_TRADING_DOM_FFIEC" hidden="1">"c12931"</definedName>
    <definedName name="IQ_NON_INS_EXP" hidden="1">"c798"</definedName>
    <definedName name="IQ_NON_INS_REV" hidden="1">"c799"</definedName>
    <definedName name="IQ_NON_INT_BAL_OTHER_INSTITUTIONS_FFIEC" hidden="1">"c12950"</definedName>
    <definedName name="IQ_NON_INT_BEAR_CD" hidden="1">"c800"</definedName>
    <definedName name="IQ_NON_INT_BEARING_DEMAND_DEPOSITS_THRIFT" hidden="1">"c25007"</definedName>
    <definedName name="IQ_NON_INT_BEARING_DEPOSITS" hidden="1">"c800"</definedName>
    <definedName name="IQ_NON_INT_DEPOSITS_DOM_FFIEC" hidden="1">"c12851"</definedName>
    <definedName name="IQ_NON_INT_DEPOSITS_FOREIGN_FFIEC" hidden="1">"c12854"</definedName>
    <definedName name="IQ_NON_INT_EXP" hidden="1">"c801"</definedName>
    <definedName name="IQ_NON_INT_EXP_AFTER_PROVISION_THRIFT" hidden="1">"c25872"</definedName>
    <definedName name="IQ_NON_INT_EXP_AVG_ASSETS_FFIEC" hidden="1">"c18878"</definedName>
    <definedName name="IQ_NON_INT_EXP_AVG_ASSETS_THRIFT" hidden="1">"c25784"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EXP_THRIFT" hidden="1">"c24793"</definedName>
    <definedName name="IQ_NON_INT_EXPENSE_AVG_ASSET" hidden="1">"c15708"</definedName>
    <definedName name="IQ_NON_INT_EXPENSE_FFIEC" hidden="1">"c13028"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AVG_ASSETS_FFIEC" hidden="1">"c13359"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_INC_OPERATING_INC_FFIEC" hidden="1">"c13382"</definedName>
    <definedName name="IQ_NON_INT_INCOME_ADJUSTED_OPERATING_INCOME_THRIFT" hidden="1">"c25688"</definedName>
    <definedName name="IQ_NON_INT_INCOME_AVG_ASSET" hidden="1">"c15707"</definedName>
    <definedName name="IQ_NON_INT_INCOME_AVG_ASSETS_THRIFT" hidden="1">"c25650"</definedName>
    <definedName name="IQ_NON_INT_INCOME_FFIEC" hidden="1">"c13017"</definedName>
    <definedName name="IQ_NON_INT_INCOME_THRIFT" hidden="1">"c24781"</definedName>
    <definedName name="IQ_NON_INTEREST_BEARING_DEPOSITS_ALL_OTHER_ACCOUNTS_THRIFT" hidden="1">"c25423"</definedName>
    <definedName name="IQ_NON_INTEREST_BEARING_DEPOSITS_EMPLOYEE_BENEFIT_RETIREMENT_RELATED_ACCOUNTS_THRIFT" hidden="1">"c25407"</definedName>
    <definedName name="IQ_NON_INTEREST_BEARING_DEPOSITS_PERSONAL_TRUST_AGENCY_INV_MANAGEMENT_ACCOUNTS_THRIFT" hidden="1">"c25391"</definedName>
    <definedName name="IQ_NON_INTEREST_EXP" localSheetId="12" hidden="1">"c1400"</definedName>
    <definedName name="IQ_NON_INTEREST_EXP" localSheetId="7" hidden="1">"c1400"</definedName>
    <definedName name="IQ_NON_INTEREST_EXP" hidden="1">"c15"</definedName>
    <definedName name="IQ_NON_INTEREST_INC" localSheetId="12" hidden="1">"c1401"</definedName>
    <definedName name="IQ_NON_INTEREST_INC" localSheetId="7" hidden="1">"c1401"</definedName>
    <definedName name="IQ_NON_INTEREST_INC" hidden="1">"c14"</definedName>
    <definedName name="IQ_NON_MORTGAGE_AGRICULTURE_FARMERS_COMM_LOANS_100000_THROUGH_250000_THRIFT" hidden="1">"c24974"</definedName>
    <definedName name="IQ_NON_MORTGAGE_AGRICULTURE_FARMERS_COMM_LOANS_250000_THROUGH_500000_THRIFT" hidden="1">"c24976"</definedName>
    <definedName name="IQ_NON_MORTGAGE_AGRICULTURE_FARMERS_COMM_LOANS_LESS_THAN_EQUAL_100000_THRIFT" hidden="1">"c24972"</definedName>
    <definedName name="IQ_NON_MORTGAGE_LOANS_ADJUSTED_NCOS_TOTAL_TOTAL_THRIFT" hidden="1">"c25209"</definedName>
    <definedName name="IQ_NON_MORTGAGE_LOANS_GVA_CHARGE_OFFS_TOTAL_THRIFT" hidden="1">"c25124"</definedName>
    <definedName name="IQ_NON_MORTGAGE_LOANS_GVA_RECOVERIES_TOTAL_THRIFT" hidden="1">"c25155"</definedName>
    <definedName name="IQ_NON_MORTGAGE_LOANS_SVA_PROVISIONS_TRANSFERS_FROM_GVA_TOTAL_TOTAL_THRIFT" hidden="1">"c25178"</definedName>
    <definedName name="IQ_NON_MORTGAGE_NON_AGRICULTURE_COMM_LOANS_100000_THROUGH_250000_THRIFT" hidden="1">"c24961"</definedName>
    <definedName name="IQ_NON_MORTGAGE_NON_AGRICULTURE_COMM_LOANS_250000_THROUGH_1000000_THRIFT" hidden="1">"c24963"</definedName>
    <definedName name="IQ_NON_MORTGAGE_NON_AGRICULTURE_COMM_LOANS_LESS_THAN_EQUAL_100000_THRIFT" hidden="1">"c24959"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EQUITY" hidden="1">"c15702"</definedName>
    <definedName name="IQ_NON_PERF_ASSETS_LOANS_OREO" hidden="1">"c15701"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ASSETS_FFIEC" hidden="1">"c13859"</definedName>
    <definedName name="IQ_NON_PERFORMING_LOANS" hidden="1">"c827"</definedName>
    <definedName name="IQ_NON_PERFORMING_LOANS_FFIEC" hidden="1">"c13861"</definedName>
    <definedName name="IQ_NON_RE_DA" hidden="1">"c16179"</definedName>
    <definedName name="IQ_NON_RENTAL_NOI" hidden="1">"c16066"</definedName>
    <definedName name="IQ_NON_RENTAL_OPERATING_EXPENSE" hidden="1">"c16046"</definedName>
    <definedName name="IQ_NON_US_ADDRESS_LEASE_FIN_REC_FFIEC" hidden="1">"c13625"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INCOME_AMORT_CLOSED_END_LOANS_FFIEC" hidden="1">"c13078"</definedName>
    <definedName name="IQ_NONCASH_PENSION_EXP" hidden="1">"c3000"</definedName>
    <definedName name="IQ_NONCORE_ASSETS_TOT_FFIEC" hidden="1">"c13443"</definedName>
    <definedName name="IQ_NONCORE_FUNDING_TOTAL_ASSETS_THRIFT" hidden="1">"c25700"</definedName>
    <definedName name="IQ_NONCUMULATIVE_PREF_THRIFT" hidden="1">"c24916"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NONRES_DOM_FFIEC" hidden="1">"c15271"</definedName>
    <definedName name="IQ_NONFARM_NONRES_GROSS_LOANS_FFIEC" hidden="1">"c13405"</definedName>
    <definedName name="IQ_NONFARM_NONRES_LL_REC_DOM_FFIEC" hidden="1">"c13626"</definedName>
    <definedName name="IQ_NONFARM_NONRES_LOANS_GROSS_LOANS_THRIFT" hidden="1">"c25730"</definedName>
    <definedName name="IQ_NONFARM_NONRES_LOANS_RISK_BASED_CAPITAL_THRIFT" hidden="1">"c25715"</definedName>
    <definedName name="IQ_NONFARM_NONRES_RISK_BASED_FFIEC" hidden="1">"c13426"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CASH_FFIEC" hidden="1">"c12774"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_FOREIGN_FFIEC" hidden="1">"c15376"</definedName>
    <definedName name="IQ_NONINTEREST_INCOME_EARNING_ASSETS_FDIC" hidden="1">"c6727"</definedName>
    <definedName name="IQ_NONMORTGAGE_SERVICING_FDIC" hidden="1">"c6336"</definedName>
    <definedName name="IQ_NONQUALIFYING_PREFERRED_T1_FFIEC" hidden="1">"c13134"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" hidden="1">"c8468"</definedName>
    <definedName name="IQ_NONRES_FIXED_INVEST_PRIV_APR_FC_UNUSED_UNUSED_UNUSED" hidden="1">"c8468"</definedName>
    <definedName name="IQ_NONRES_FIXED_INVEST_PRIV_APR_UNUSED" hidden="1">"c7588"</definedName>
    <definedName name="IQ_NONRES_FIXED_INVEST_PRIV_APR_UNUSED_UNUSED_UNUSED" hidden="1">"c7588"</definedName>
    <definedName name="IQ_NONRES_FIXED_INVEST_PRIV_FC_UNUSED" hidden="1">"c7808"</definedName>
    <definedName name="IQ_NONRES_FIXED_INVEST_PRIV_FC_UNUSED_UNUSED_UNUSED" hidden="1">"c7808"</definedName>
    <definedName name="IQ_NONRES_FIXED_INVEST_PRIV_POP_FC_UNUSED" hidden="1">"c8028"</definedName>
    <definedName name="IQ_NONRES_FIXED_INVEST_PRIV_POP_FC_UNUSED_UNUSED_UNUSED" hidden="1">"c8028"</definedName>
    <definedName name="IQ_NONRES_FIXED_INVEST_PRIV_POP_UNUSED" hidden="1">"c7148"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" hidden="1">"c6928"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" hidden="1">"c8248"</definedName>
    <definedName name="IQ_NONRES_FIXED_INVEST_PRIV_YOY_FC_UNUSED_UNUSED_UNUSED" hidden="1">"c8248"</definedName>
    <definedName name="IQ_NONRES_FIXED_INVEST_PRIV_YOY_UNUSED" hidden="1">"c7368"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RES_PROPERTY_CONSTRUCTION_MORTGAGE_LOANS_GVA_CHARGE_OFFS_THRIFT" hidden="1">"c25117"</definedName>
    <definedName name="IQ_NONRES_PROPERTY_CONSTRUCTION_MORTGAGE_LOANS_GVA_RECOVERIES_THRIFT" hidden="1">"c25148"</definedName>
    <definedName name="IQ_NONRES_PROPERTY_DWELLING_UNITS_CONSTRUCTION_MORTGAGE_LOANS_ADJUSTED_NCOS_TOTAL_THRIFT" hidden="1">"c25202"</definedName>
    <definedName name="IQ_NONRES_PROPERTY_DWELLING_UNITS_CONSTRUCTION_MORTGAGE_LOANS_SVA_PROVISIONS_TRANSFERS_FROM_GVA_TOTAL_THRIFT" hidden="1">"c25171"</definedName>
    <definedName name="IQ_NONRES_PROPERTY_EXCEPT_LAND_IN_PROCESS_FORECLOSURE_THRIFT" hidden="1">"c25308"</definedName>
    <definedName name="IQ_NONRES_PROPERTY_EXCEPT_LAND_PML_ADJUSTED_NCOS_TOTAL_THRIFT" hidden="1">"c25207"</definedName>
    <definedName name="IQ_NONRES_PROPERTY_EXCEPT_LAND_PML_GVA_CHARGE_OFFS_THRIFT" hidden="1">"c25122"</definedName>
    <definedName name="IQ_NONRES_PROPERTY_EXCEPT_LAND_PML_GVA_RECOVERIES_THRIFT" hidden="1">"c25153"</definedName>
    <definedName name="IQ_NONRES_PROPERTY_EXCEPT_LAND_PML_SVA_PROVISIONS_TRANSFERS_FROM_GVA_TOTAL_THRIFT" hidden="1">"c25176"</definedName>
    <definedName name="IQ_NONTRADING_SECURITIES_FAIR_VALUE_TOT_FFIEC" hidden="1">"c13211"</definedName>
    <definedName name="IQ_NONTRADING_SECURITIES_LEVEL_1_FFIEC" hidden="1">"c13219"</definedName>
    <definedName name="IQ_NONTRADING_SECURITIES_LEVEL_2_FFIEC" hidden="1">"c13227"</definedName>
    <definedName name="IQ_NONTRADING_SECURITIES_LEVEL_3_FFIEC" hidden="1">"c13235"</definedName>
    <definedName name="IQ_NONTRANSACTION_ACCOUNTS_FDIC" hidden="1">"c6552"</definedName>
    <definedName name="IQ_NONUTIL_REV" hidden="1">"c2089"</definedName>
    <definedName name="IQ_NORM_EPS_ACT_OR_EST" hidden="1">"c2249"</definedName>
    <definedName name="IQ_NORM_EPS_ACT_OR_EST_CIQ" hidden="1">"c5069"</definedName>
    <definedName name="IQ_NORMAL_INC_AFTER" localSheetId="12" hidden="1">"c1605"</definedName>
    <definedName name="IQ_NORMAL_INC_AFTER" localSheetId="7" hidden="1">"c1605"</definedName>
    <definedName name="IQ_NORMAL_INC_AFTER" hidden="1">"c63"</definedName>
    <definedName name="IQ_NORMAL_INC_AVAIL" localSheetId="12" hidden="1">"c1606"</definedName>
    <definedName name="IQ_NORMAL_INC_AVAIL" localSheetId="7" hidden="1">"c1606"</definedName>
    <definedName name="IQ_NORMAL_INC_AVAIL" hidden="1">"c64"</definedName>
    <definedName name="IQ_NORMAL_INC_BEFORE" localSheetId="12" hidden="1">"c1607"</definedName>
    <definedName name="IQ_NORMAL_INC_BEFORE" localSheetId="7" hidden="1">"c1607"</definedName>
    <definedName name="IQ_NORMAL_INC_BEFORE" hidden="1">"c60"</definedName>
    <definedName name="IQ_NOTES_OBLIGATIONS_FDIC_INC_COVERED_ASSETS_ELIGIBLE_0_PCT_RISK_WEIGHT_THRIFT" hidden="1">"c25053"</definedName>
    <definedName name="IQ_NOTES_PAY" localSheetId="12" hidden="1">"c1423"</definedName>
    <definedName name="IQ_NOTES_PAY" localSheetId="7" hidden="1">"c1423"</definedName>
    <definedName name="IQ_NOTES_PAY" hidden="1">"c94"</definedName>
    <definedName name="IQ_NOTIONAL_AMOUNT_CREDIT_DERIVATIVES_FDIC" hidden="1">"c6507"</definedName>
    <definedName name="IQ_NOTIONAL_AMT_DERIVATIVES_BENEFICIARY_FFIEC" hidden="1">"c13118"</definedName>
    <definedName name="IQ_NOTIONAL_AMT_DERIVATIVES_GUARANTOR_FFIEC" hidden="1">"c13111"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OW_ATS_ACCOUNTS_COMMERCIAL_BANK_SUBS_FFIEC" hidden="1">"c12946"</definedName>
    <definedName name="IQ_NOW_ATS_ACCOUNTS_OTHER_INSTITUTIONS_FFIEC" hidden="1">"c12951"</definedName>
    <definedName name="IQ_NOW_OTHER_TRANS_ACCTS_TOT_DEPOSITS_FFIEC" hidden="1">"c13903"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_CONTRIBUTORS" hidden="1">"c13739"</definedName>
    <definedName name="IQ_NUMBER_ADRHOLDERS" hidden="1">"c1970"</definedName>
    <definedName name="IQ_NUMBER_CELL_SITES" hidden="1">"c15762"</definedName>
    <definedName name="IQ_NUMBER_DAYS" hidden="1">"c1904"</definedName>
    <definedName name="IQ_NUMBER_DEPOSIT_ACCOUNTS_EXCLUDING_RETIREMENT_ACCOUNTS_GREATER_THAN_250000_THRIFT" hidden="1">"c24989"</definedName>
    <definedName name="IQ_NUMBER_DEPOSIT_ACCOUNTS_EXCLUDING_RETIREMENT_ACCOUNTS_LESS_THAN_250000_THRIFT" hidden="1">"c24988"</definedName>
    <definedName name="IQ_NUMBER_DEPOSIT_ACCOUNTS_THRIFT" hidden="1">"c24987"</definedName>
    <definedName name="IQ_NUMBER_DEPOSITS_LESS_THAN_100K_FDIC" hidden="1">"c6495"</definedName>
    <definedName name="IQ_NUMBER_DEPOSITS_MORE_THAN_100K_FDIC" hidden="1">"c6493"</definedName>
    <definedName name="IQ_NUMBER_FIDUCIARY_MANAGED_ACCOUNTS_THRIFT" hidden="1">"c25439"</definedName>
    <definedName name="IQ_NUMBER_FTE_EMPLOYEES_THRIFT" hidden="1">"c24929"</definedName>
    <definedName name="IQ_NUMBER_ISSUES_IN_DEFAULT_THRIFT" hidden="1">"c25443"</definedName>
    <definedName name="IQ_NUMBER_LOANS_SECURED_FARM_100000_THROUGH_250000_THRIFT" hidden="1">"c24969"</definedName>
    <definedName name="IQ_NUMBER_LOANS_SECURED_FARM_250000_THROUGH_500000_THRIFT" hidden="1">"c24971"</definedName>
    <definedName name="IQ_NUMBER_LOANS_SECURED_FARM_LESS_THAN_EQUAL_100000_THRIFT" hidden="1">"c24967"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MORTGAGE_LOANS_SECURED_NON_RES_PROPERTY_100000_THROUGH_250000_THRIFT" hidden="1">"c24955"</definedName>
    <definedName name="IQ_NUMBER_MORTGAGE_LOANS_SECURED_NON_RES_PROPERTY_250000_THROUGH_1000000_THRIFT" hidden="1">"c24957"</definedName>
    <definedName name="IQ_NUMBER_MORTGAGE_LOANS_SECURED_NON_RES_PROPERTY_LESS_THAN_EQUAL_100000_THRIFT" hidden="1">"c24953"</definedName>
    <definedName name="IQ_NUMBER_MORTGAGE_LOANS_SECURED_NON_RES_PROPERTY_THRIFT" hidden="1">"c24958"</definedName>
    <definedName name="IQ_NUMBER_NON_MORTGAGE_AGRICULTURE_FARMERS_COMM_LOANS_100000_THROUGH_250000_THRIFT" hidden="1">"c24975"</definedName>
    <definedName name="IQ_NUMBER_NON_MORTGAGE_AGRICULTURE_FARMERS_COMM_LOANS_250000_THROUGH_500000_THRIFT" hidden="1">"c24977"</definedName>
    <definedName name="IQ_NUMBER_NON_MORTGAGE_AGRICULTURE_FARMERS_COMM_LOANS_LESS_THAN_EQUAL_100000_THRIFT" hidden="1">"c24973"</definedName>
    <definedName name="IQ_NUMBER_NON_MORTGAGE_LOANS_EXCEPT_CREDIT_CARD_LOANS_THRIFT" hidden="1">"c24965"</definedName>
    <definedName name="IQ_NUMBER_NON_MORTGAGE_NON_AGRICULTURE_COMM_LOANS_100000_THROUGH_250000_THRIFT" hidden="1">"c24962"</definedName>
    <definedName name="IQ_NUMBER_NON_MORTGAGE_NON_AGRICULTURE_COMM_LOANS_250000_THROUGH_1000000_THRIFT" hidden="1">"c24964"</definedName>
    <definedName name="IQ_NUMBER_NON_MORTGAGE_NON_AGRICULTURE_COMM_LOANS_LESS_THAN_EQUAL_100000_THRIFT" hidden="1">"c24960"</definedName>
    <definedName name="IQ_NUMBER_NONINTEREST_BEARING_TRANSACTION_ACCOUNTS_MORE_THAN_250000_THRIFT" hidden="1">"c25583"</definedName>
    <definedName name="IQ_NUMBER_RETIREMENT_DEPOSIT_ACCOUNTS_GREATER_THAN_250000_THRIFT" hidden="1">"c24993"</definedName>
    <definedName name="IQ_NUMBER_RETIREMENT_DEPOSIT_ACCOUNTS_LESS_THAN_250000_THRIFT" hidden="1">"c24992"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NUMBER_TRADES_EXECUTED" hidden="1">"c20428"</definedName>
    <definedName name="IQ_NUMBER_WIRELESS_TOWERS" hidden="1">"c15766"</definedName>
    <definedName name="IQ_OBLIGATION_STATES_POLI_SUBD_US_LL_REC_DOM_FFIEC" hidden="1">"c15295"</definedName>
    <definedName name="IQ_OBLIGATION_STATES_POLI_SUBD_US_LL_REC_FFIEC" hidden="1">"c15294"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EXP_AVG_ASSETS_FFIEC" hidden="1">"c13372"</definedName>
    <definedName name="IQ_OCCUPANCY_EXP_AVG_ASSETS_THRIFT" hidden="1">"c25663"</definedName>
    <definedName name="IQ_OCCUPANCY_EXP_OPERATING_INC_FFIEC" hidden="1">"c13380"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ECD_LEAD_INDICATOR" hidden="1">"c20953"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FFICE_OCCUPANCY_EQUIP_EXP_THRIFT" hidden="1">"c24787"</definedName>
    <definedName name="IQ_OFFICE_PREMISES_EQUIPMENT_THRIFT" hidden="1">"c24882"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DUCTION_GROWTH_GAS" hidden="1">"c12732"</definedName>
    <definedName name="IQ_OG_DAILY_PRDUCTION_GROWTH_GAS_EQUIVALENT" hidden="1">"c12733"</definedName>
    <definedName name="IQ_OG_DAILY_PRDUCTION_GROWTH_NGL" hidden="1">"c12734"</definedName>
    <definedName name="IQ_OG_DAILY_PRDUCTION_GROWTH_OIL" hidden="1">"c12735"</definedName>
    <definedName name="IQ_OG_DAILY_PRDUCTION_GROWTH_OIL_EQUIVALENT" hidden="1">"c12736"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ITY_RESERVES_GAS" hidden="1">"c2050"</definedName>
    <definedName name="IQ_OG_EQUITY_RESERVES_NGL" hidden="1">"c2921"</definedName>
    <definedName name="IQ_OG_EQUITY_RESERVES_OIL" hidden="1">"c2038"</definedName>
    <definedName name="IQ_OG_EQUTY_RESERVES_GAS" hidden="1">"c2050"</definedName>
    <definedName name="IQ_OG_EQUTY_RESERVES_NGL" hidden="1">"c20388"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PRODUCTIVE_WELLS_DRILLED_GAS" hidden="1">"c15907"</definedName>
    <definedName name="IQ_OG_GROSS_DEVELOPMENT_PRODUCTIVE_WELLS_DRILLED_OIL" hidden="1">"c15906"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PRODUCTIVE_WELLS_DRILLED_GAS" hidden="1">"c15905"</definedName>
    <definedName name="IQ_OG_GROSS_EXPLORATORY_PRODUCTIVE_WELLS_DRILLED_OIL" hidden="1">"c15904"</definedName>
    <definedName name="IQ_OG_GROSS_EXPLORATORY_TOTAL_WELLS_DRILLED" hidden="1">"c10096"</definedName>
    <definedName name="IQ_OG_GROSS_OPERATED_WELLS" hidden="1">"c10092"</definedName>
    <definedName name="IQ_OG_GROSS_PRODUCING_WELLS_GAS" hidden="1">"c15897"</definedName>
    <definedName name="IQ_OG_GROSS_PRODUCING_WELLS_OIL" hidden="1">"c15896"</definedName>
    <definedName name="IQ_OG_GROSS_PRODUCTIVE_WELLS_DRILLED_GAS" hidden="1">"c15901"</definedName>
    <definedName name="IQ_OG_GROSS_PRODUCTIVE_WELLS_DRILLED_OIL" hidden="1">"c15900"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PRODUCTIVE_WELLS_DRILLED_GAS" hidden="1">"c15911"</definedName>
    <definedName name="IQ_OG_NET_DEVELOPMENT_PRODUCTIVE_WELLS_DRILLED_OIL" hidden="1">"c15910"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PRODUCTIVE_WELLS_DRILLED_GAS" hidden="1">"c15909"</definedName>
    <definedName name="IQ_OG_NET_EXPLORATORY_PRODUCTIVE_WELLS_DRILLED_OIL" hidden="1">"c15908"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ING_WELLS_GAS" hidden="1">"c15899"</definedName>
    <definedName name="IQ_OG_NET_PRODUCING_WELLS_OIL" hidden="1">"c15898"</definedName>
    <definedName name="IQ_OG_NET_PRODUCTIVE_WELLS_DRILLED_GAS" hidden="1">"c15903"</definedName>
    <definedName name="IQ_OG_NET_PRODUCTIVE_WELLS_DRILLED_OIL" hidden="1">"c15902"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DUCTION_GROWTH_GAS" hidden="1">"c12737"</definedName>
    <definedName name="IQ_OG_PRDUCTION_GROWTH_GAS_EQUIVALENT" hidden="1">"c12738"</definedName>
    <definedName name="IQ_OG_PRDUCTION_GROWTH_NGL" hidden="1">"c12739"</definedName>
    <definedName name="IQ_OG_PRDUCTION_GROWTH_OIL" hidden="1">"c12740"</definedName>
    <definedName name="IQ_OG_PRDUCTION_GROWTH_OIL_EQUIVALENT" hidden="1">"c12741"</definedName>
    <definedName name="IQ_OG_PRDUCTION_GROWTH_TOAL" hidden="1">"c12742"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OIL_PRODUCT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_DATE_RT" hidden="1">"FIRSTDATE"</definedName>
    <definedName name="IQ_OPEN_END_LINES_CREDIT_THRIFT" hidden="1">"c25608"</definedName>
    <definedName name="IQ_OPEN_INTEREST" hidden="1">"c13931"</definedName>
    <definedName name="IQ_OPEN_PRICE_RT" hidden="1">"FIRST"</definedName>
    <definedName name="IQ_OPEN_TIME_RT" hidden="1">"FIRSTTIME"</definedName>
    <definedName name="IQ_OPENED55" hidden="1">1</definedName>
    <definedName name="IQ_OPENPRICE" localSheetId="12" hidden="1">"c848"</definedName>
    <definedName name="IQ_OPENPRICE" localSheetId="7" hidden="1">"c848"</definedName>
    <definedName name="IQ_OPENPRICE" hidden="1">"c195"</definedName>
    <definedName name="IQ_OPER_INC" localSheetId="12" hidden="1">"c849"</definedName>
    <definedName name="IQ_OPER_INC" localSheetId="7" hidden="1">"c849"</definedName>
    <definedName name="IQ_OPER_INC" hidden="1">"c21"</definedName>
    <definedName name="IQ_OPER_INC_ACT_OR_EST" hidden="1">"c2220"</definedName>
    <definedName name="IQ_OPER_INC_ACT_OR_EST_CIQ" hidden="1">"c12019"</definedName>
    <definedName name="IQ_OPER_INC_BR" hidden="1">"c850"</definedName>
    <definedName name="IQ_OPER_INC_CM" hidden="1">"c850"</definedName>
    <definedName name="IQ_OPER_INC_DET_EST" hidden="1">"c12064"</definedName>
    <definedName name="IQ_OPER_INC_DET_EST_CIQ" hidden="1">"c12128"</definedName>
    <definedName name="IQ_OPER_INC_DET_EST_CIQ_CURRENCY_CIQ" hidden="1">"c12519"</definedName>
    <definedName name="IQ_OPER_INC_DET_EST_CIQ_INCL_INCL_CIQ" hidden="1">"c12402"</definedName>
    <definedName name="IQ_OPER_INC_DET_EST_CURRENCY" hidden="1">"c12471"</definedName>
    <definedName name="IQ_OPER_INC_DET_EST_DATE" hidden="1">"c12217"</definedName>
    <definedName name="IQ_OPER_INC_DET_EST_DATE_CIQ" hidden="1">"c12274"</definedName>
    <definedName name="IQ_OPER_INC_DET_EST_INCL" hidden="1">"c12354"</definedName>
    <definedName name="IQ_OPER_INC_DET_EST_ORIGIN" hidden="1">"c12589"</definedName>
    <definedName name="IQ_OPER_INC_DET_EST_ORIGIN_CIQ" hidden="1">"c12643"</definedName>
    <definedName name="IQ_OPER_INC_EST" hidden="1">"c1688"</definedName>
    <definedName name="IQ_OPER_INC_EST_CIQ" hidden="1">"c12010"</definedName>
    <definedName name="IQ_OPER_INC_EST_DOWN_2MONTH" hidden="1">"c16369"</definedName>
    <definedName name="IQ_OPER_INC_EST_DOWN_3MONTH" hidden="1">"c16373"</definedName>
    <definedName name="IQ_OPER_INC_EST_DOWN_MONTH" hidden="1">"c16365"</definedName>
    <definedName name="IQ_OPER_INC_EST_NUM_ANALYSTS_2MONTH" hidden="1">"c16367"</definedName>
    <definedName name="IQ_OPER_INC_EST_NUM_ANALYSTS_3MONTH" hidden="1">"c16371"</definedName>
    <definedName name="IQ_OPER_INC_EST_NUM_ANALYSTS_MONTH" hidden="1">"c16363"</definedName>
    <definedName name="IQ_OPER_INC_EST_TOTAL_REVISED_2MONTH" hidden="1">"c16370"</definedName>
    <definedName name="IQ_OPER_INC_EST_TOTAL_REVISED_3MONTH" hidden="1">"c16374"</definedName>
    <definedName name="IQ_OPER_INC_EST_TOTAL_REVISED_MONTH" hidden="1">"c16366"</definedName>
    <definedName name="IQ_OPER_INC_EST_UP_2MONTH" hidden="1">"c16368"</definedName>
    <definedName name="IQ_OPER_INC_EST_UP_3MONTH" hidden="1">"c16372"</definedName>
    <definedName name="IQ_OPER_INC_EST_UP_MONTH" hidden="1">"c16364"</definedName>
    <definedName name="IQ_OPER_INC_FIN" hidden="1">"c851"</definedName>
    <definedName name="IQ_OPER_INC_HIGH_EST" hidden="1">"c1690"</definedName>
    <definedName name="IQ_OPER_INC_HIGH_EST_CIQ" hidden="1">"c12012"</definedName>
    <definedName name="IQ_OPER_INC_INS" hidden="1">"c852"</definedName>
    <definedName name="IQ_OPER_INC_LOW_EST" hidden="1">"c1691"</definedName>
    <definedName name="IQ_OPER_INC_LOW_EST_CIQ" hidden="1">"c12013"</definedName>
    <definedName name="IQ_OPER_INC_MARGIN" hidden="1">"c1448"</definedName>
    <definedName name="IQ_OPER_INC_MEDIAN_EST" hidden="1">"c1689"</definedName>
    <definedName name="IQ_OPER_INC_MEDIAN_EST_CIQ" hidden="1">"c12011"</definedName>
    <definedName name="IQ_OPER_INC_NUM_EST" hidden="1">"c1692"</definedName>
    <definedName name="IQ_OPER_INC_NUM_EST_CIQ" hidden="1">"c12014"</definedName>
    <definedName name="IQ_OPER_INC_RE" hidden="1">"c6240"</definedName>
    <definedName name="IQ_OPER_INC_REIT" hidden="1">"c853"</definedName>
    <definedName name="IQ_OPER_INC_STDDEV_EST" hidden="1">"c1693"</definedName>
    <definedName name="IQ_OPER_INC_STDDEV_EST_CIQ" hidden="1">"c12015"</definedName>
    <definedName name="IQ_OPER_INC_UTI" hidden="1">"c854"</definedName>
    <definedName name="IQ_OPERATING_EXP_AVG_ASSETS_FFIEC" hidden="1">"c13373"</definedName>
    <definedName name="IQ_OPERATING_INC_AVG_ASSETS_FFIEC" hidden="1">"c13368"</definedName>
    <definedName name="IQ_OPERATING_INC_TE_AVG_ASSETS_FFIEC" hidden="1">"c13360"</definedName>
    <definedName name="IQ_OPERATING_NOI_AVG_GROSS_PROP" hidden="1">"c16058"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FIEC" hidden="1">"c12831"</definedName>
    <definedName name="IQ_OREO_FOREIGN_FDIC" hidden="1">"c6460"</definedName>
    <definedName name="IQ_OREO_FOREIGN_FFIEC" hidden="1">"c15273"</definedName>
    <definedName name="IQ_OREO_MULTI_FAMILY_RESIDENTIAL_FDIC" hidden="1">"c6455"</definedName>
    <definedName name="IQ_OREO_OTHER_FFIEC" hidden="1">"c12833"</definedName>
    <definedName name="IQ_ORGANIC_GROWTH_RATE" hidden="1">"c20429"</definedName>
    <definedName name="IQ_OTHER_ACCRUED_INT_PAYABLE_THRIFT" hidden="1">"c24908"</definedName>
    <definedName name="IQ_OTHER_ADDITIONS_ADJUSTED_ASSETS_THRIFT" hidden="1">"c25037"</definedName>
    <definedName name="IQ_OTHER_ADDITIONS_T1_FFIEC" hidden="1">"c13142"</definedName>
    <definedName name="IQ_OTHER_ADDITIONS_T1_THRIFT" hidden="1">"c25028"</definedName>
    <definedName name="IQ_OTHER_ADDITIONS_T2_FFIEC" hidden="1">"c13148"</definedName>
    <definedName name="IQ_OTHER_ADDITIONS_T2_THRIFT" hidden="1">"c25044"</definedName>
    <definedName name="IQ_OTHER_ADJ_CLAIM_ADJ_EXP_INCURRED" hidden="1">"c15878"</definedName>
    <definedName name="IQ_OTHER_ADJ_CLAIM_ADJ_EXP_PAID" hidden="1">"c15879"</definedName>
    <definedName name="IQ_OTHER_ADJ_RESERVE_BOP" hidden="1">"c15876"</definedName>
    <definedName name="IQ_OTHER_ADJ_RESERVES" hidden="1">"c15882"</definedName>
    <definedName name="IQ_OTHER_ADJUST_GROSS_LOANS" hidden="1">"c859"</definedName>
    <definedName name="IQ_OTHER_ADJUSTMENTS_COVERED" hidden="1">"c9961"</definedName>
    <definedName name="IQ_OTHER_ADJUSTMENTS_FFIEC" hidden="1">"c12972"</definedName>
    <definedName name="IQ_OTHER_ADJUSTMENTS_GROUP" hidden="1">"c9947"</definedName>
    <definedName name="IQ_OTHER_ADJUSTMENTS_SAVINGS_ASSOCIATION_THRIFT" hidden="1">"c25018"</definedName>
    <definedName name="IQ_OTHER_AFFO" hidden="1">"c16180"</definedName>
    <definedName name="IQ_OTHER_AMORT" hidden="1">"c5563"</definedName>
    <definedName name="IQ_OTHER_AMORT_BNK" hidden="1">"c5565"</definedName>
    <definedName name="IQ_OTHER_AMORT_CM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OCI_THRIFT" hidden="1">"c24923"</definedName>
    <definedName name="IQ_OTHER_ASSETS" localSheetId="12" hidden="1">"c860"</definedName>
    <definedName name="IQ_OTHER_ASSETS" localSheetId="7" hidden="1">"c860"</definedName>
    <definedName name="IQ_OTHER_ASSETS" hidden="1">"c89"</definedName>
    <definedName name="IQ_OTHER_ASSETS_ADJUSTED_NCOS_TOTAL_THRIFT" hidden="1">"c25227"</definedName>
    <definedName name="IQ_OTHER_ASSETS_BNK" hidden="1">"c861"</definedName>
    <definedName name="IQ_OTHER_ASSETS_BR" hidden="1">"c862"</definedName>
    <definedName name="IQ_OTHER_ASSETS_CM" hidden="1">"c862"</definedName>
    <definedName name="IQ_OTHER_ASSETS_FDIC" hidden="1">"c6338"</definedName>
    <definedName name="IQ_OTHER_ASSETS_FFIEC" hidden="1">"c12848"</definedName>
    <definedName name="IQ_OTHER_ASSETS_FIN" hidden="1">"c863"</definedName>
    <definedName name="IQ_OTHER_ASSETS_GVA_CHARGE_OFFS_THRIFT" hidden="1">"c25142"</definedName>
    <definedName name="IQ_OTHER_ASSETS_GVA_RECOVERIES_THRIFT" hidden="1">"c25165"</definedName>
    <definedName name="IQ_OTHER_ASSETS_GVA_THRIFT" hidden="1">"c24893"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SVA_PROVISIONS_TRANSFERS_FROM_GVA_TOTAL_THRIFT" hidden="1">"c25196"</definedName>
    <definedName name="IQ_OTHER_ASSETS_THRIFT" hidden="1">"c24892"</definedName>
    <definedName name="IQ_OTHER_ASSETS_TOTAL_FFIEC" hidden="1">"c12841"</definedName>
    <definedName name="IQ_OTHER_ASSETS_UTI" hidden="1">"c866"</definedName>
    <definedName name="IQ_OTHER_BALANCE_CHANGES_OTHER_MORTGAGE_BACKED_SEC_THRIFT" hidden="1">"c25316"</definedName>
    <definedName name="IQ_OTHER_BALANCE_CHANGES_PASS_THROUGH_MORTGAGE_BACKED_SEC_THRIFT" hidden="1">"c25313"</definedName>
    <definedName name="IQ_OTHER_BANK_OWNED_LIFE_INSURANCE_THRIFT" hidden="1">"c24886"</definedName>
    <definedName name="IQ_OTHER_BEARING_LIAB" localSheetId="12" hidden="1">"c1608"</definedName>
    <definedName name="IQ_OTHER_BEARING_LIAB" localSheetId="7" hidden="1">"c1608"</definedName>
    <definedName name="IQ_OTHER_BEARING_LIAB" hidden="1">"c285"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BORROWED_MONEY_FAIR_VALUE_TOT_FFIEC" hidden="1">"c15409"</definedName>
    <definedName name="IQ_OTHER_BORROWED_MONEY_FFIEC" hidden="1">"c12862"</definedName>
    <definedName name="IQ_OTHER_BORROWED_MONEY_LEVEL_1_FFIEC" hidden="1">"c15431"</definedName>
    <definedName name="IQ_OTHER_BORROWED_MONEY_LEVEL_2_FFIEC" hidden="1">"c15444"</definedName>
    <definedName name="IQ_OTHER_BORROWED_MONEY_LEVEL_3_FFIEC" hidden="1">"c15457"</definedName>
    <definedName name="IQ_OTHER_BORROWED_MONEY_LT_FFIEC" hidden="1">"c12865"</definedName>
    <definedName name="IQ_OTHER_BORROWED_MONEY_ST_FFIEC" hidden="1">"c12864"</definedName>
    <definedName name="IQ_OTHER_BORROWINGS_AMOUNTS_NETTED_THRIFT" hidden="1">"c25546"</definedName>
    <definedName name="IQ_OTHER_BORROWINGS_LESS_THAN_1_YR_TOTAL_ASSETS_THRIFT" hidden="1">"c25705"</definedName>
    <definedName name="IQ_OTHER_BORROWINGS_LEVEL_1_THRIFT" hidden="1">"c25542"</definedName>
    <definedName name="IQ_OTHER_BORROWINGS_LEVEL_2_THRIFT" hidden="1">"c25543"</definedName>
    <definedName name="IQ_OTHER_BORROWINGS_LEVEL_3_THRIFT" hidden="1">"c25544"</definedName>
    <definedName name="IQ_OTHER_BORROWINGS_THRIFT" hidden="1">"c24904"</definedName>
    <definedName name="IQ_OTHER_BORROWINGS_TOTAL_AFTER_NETTING_THRIFT" hidden="1">"c25547"</definedName>
    <definedName name="IQ_OTHER_BORROWINGS_TOTAL_BEFORE_NETTING_THRIFT" hidden="1">"c25545"</definedName>
    <definedName name="IQ_OTHER_BROKERED_TIME_DEPOSITS_THRIFT" hidden="1">"c25006"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CM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CM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MON_PREFERRED_STOCKS_ALL_OTHER_ACCOUNTS_THRIFT" hidden="1">"c25434"</definedName>
    <definedName name="IQ_OTHER_COMMON_PREFERRED_STOCKS_EMPLOYEE_BENEFIT_RETIREMENT_RELATED_ACCOUNTS_THRIFT" hidden="1">"c25418"</definedName>
    <definedName name="IQ_OTHER_COMMON_PREFERRED_STOCKS_PERSONAL_TRUST_AGENCY_INV_MANAGEMENT_ACCOUNTS_THRIFT" hidden="1">"c25402"</definedName>
    <definedName name="IQ_OTHER_COMPREHENSIVE_INCOME_FDIC" hidden="1">"c6503"</definedName>
    <definedName name="IQ_OTHER_COMPREHENSIVE_INCOME_FFIEC" hidden="1">"c12970"</definedName>
    <definedName name="IQ_OTHER_COMPREHENSIVE_INCOME_SAVINGS_ASSOCIATION_THRIFT" hidden="1">"c25016"</definedName>
    <definedName name="IQ_OTHER_CONSTRUCTION_GROSS_LOANS_FFIEC" hidden="1">"c13403"</definedName>
    <definedName name="IQ_OTHER_CONSTRUCTION_LOANS_DUE_30_89_FFIEC" hidden="1">"c13258"</definedName>
    <definedName name="IQ_OTHER_CONSTRUCTION_LOANS_DUE_90_FFIEC" hidden="1">"c13286"</definedName>
    <definedName name="IQ_OTHER_CONSTRUCTION_LOANS_GROSS_LOANS_THRIFT" hidden="1">"c25728"</definedName>
    <definedName name="IQ_OTHER_CONSTRUCTION_LOANS_NON_ACCRUAL_FFIEC" hidden="1">"c13312"</definedName>
    <definedName name="IQ_OTHER_CONSTRUCTION_LOANS_RISK_BASED_CAPITAL_THRIFT" hidden="1">"c25713"</definedName>
    <definedName name="IQ_OTHER_CONSTRUCTION_LOANS_UNUSED_FFIEC" hidden="1">"c13245"</definedName>
    <definedName name="IQ_OTHER_CONSTRUCTION_RISK_BASED_FFIEC" hidden="1">"c13424"</definedName>
    <definedName name="IQ_OTHER_CONSUMER_INC_LEASE_RECEIVABLES_THRIFT" hidden="1">"c24865"</definedName>
    <definedName name="IQ_OTHER_CONSUMER_LL_REC_FFIEC" hidden="1">"c12891"</definedName>
    <definedName name="IQ_OTHER_CONSUMER_LOANS_FFIEC" hidden="1">"c12824"</definedName>
    <definedName name="IQ_OTHER_CONSUMER_LOANS_TRADING_DOM_FFIEC" hidden="1">"c12935"</definedName>
    <definedName name="IQ_OTHER_CONTINGENT_LIABILITIES_THRIFT" hidden="1">"c25621"</definedName>
    <definedName name="IQ_OTHER_CREDIT_CARD_LINES_UNUSED_FFIEC" hidden="1">"c25863"</definedName>
    <definedName name="IQ_OTHER_CURRENT_ASSETS" localSheetId="12" hidden="1">"c1403"</definedName>
    <definedName name="IQ_OTHER_CURRENT_ASSETS" localSheetId="7" hidden="1">"c1403"</definedName>
    <definedName name="IQ_OTHER_CURRENT_ASSETS" hidden="1">"c80"</definedName>
    <definedName name="IQ_OTHER_CURRENT_LIAB" localSheetId="12" hidden="1">"c1404"</definedName>
    <definedName name="IQ_OTHER_CURRENT_LIAB" localSheetId="7" hidden="1">"c1404"</definedName>
    <definedName name="IQ_OTHER_CURRENT_LIAB" hidden="1">"c96"</definedName>
    <definedName name="IQ_OTHER_DEBT" hidden="1">"c2507"</definedName>
    <definedName name="IQ_OTHER_DEBT_PCT" hidden="1">"c2508"</definedName>
    <definedName name="IQ_OTHER_DEBT_SEC_DOM_AFS_AMORT_COST_FFIEC" hidden="1">"c20503"</definedName>
    <definedName name="IQ_OTHER_DEBT_SEC_DOM_AFS_FAIR_VAL_FFIEC" hidden="1">"c20468"</definedName>
    <definedName name="IQ_OTHER_DEBT_SEC_DOM_AVAIL_SALE_FFIEC" hidden="1">"c12803"</definedName>
    <definedName name="IQ_OTHER_DEBT_SEC_FOREIGN_AFS_AMORT_COST_FFIEC" hidden="1">"c20504"</definedName>
    <definedName name="IQ_OTHER_DEBT_SEC_FOREIGN_AFS_FAIR_VAL_FFIEC" hidden="1">"c20469"</definedName>
    <definedName name="IQ_OTHER_DEBT_SEC_FOREIGN_AVAIL_SALE_FFIEC" hidden="1">"c12804"</definedName>
    <definedName name="IQ_OTHER_DEBT_SEC_INVEST_SECURITIES_FFIEC" hidden="1">"c13462"</definedName>
    <definedName name="IQ_OTHER_DEBT_SEC_TRADING_DOM_FFIEC" hidden="1">"c12924"</definedName>
    <definedName name="IQ_OTHER_DEBT_SEC_TRADING_FFIEC" hidden="1">"c12819"</definedName>
    <definedName name="IQ_OTHER_DEBT_SECURITIES_DOM_FFIEC" hidden="1">"c12789"</definedName>
    <definedName name="IQ_OTHER_DEBT_SECURITIES_DOM_HTM_AMORT_COST_FFIEC" hidden="1">"c20451"</definedName>
    <definedName name="IQ_OTHER_DEBT_SECURITIES_DOM_HTM_FAIR_VAL_FFIEC" hidden="1">"c20486"</definedName>
    <definedName name="IQ_OTHER_DEBT_SECURITIES_FOREIGN_FFIEC" hidden="1">"c12790"</definedName>
    <definedName name="IQ_OTHER_DEBT_SECURITIES_FOREIGN_HTM_AMORT_COST_FFIEC" hidden="1">"c20452"</definedName>
    <definedName name="IQ_OTHER_DEBT_SECURITIES_FOREIGN_HTM_FAIR_VAL_FFIEC" hidden="1">"c20487"</definedName>
    <definedName name="IQ_OTHER_DEBT_SECURITIES_QUARTERLY_AVG_FFIEC" hidden="1">"c15473"</definedName>
    <definedName name="IQ_OTHER_DEDUCTIONS_ADJUSTED_ASSETS_THRIFT" hidden="1">"c25034"</definedName>
    <definedName name="IQ_OTHER_DEDUCTIONS_LEVERAGE_RATIO_FFIEC" hidden="1">"c13158"</definedName>
    <definedName name="IQ_OTHER_DEDUCTIONS_T1_THRIFT" hidden="1">"c25025"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EPOSITS_FFIEC" hidden="1">"c12994"</definedName>
    <definedName name="IQ_OTHER_DEPOSITS_TOTAL_DEPOSITS" hidden="1">"c15724"</definedName>
    <definedName name="IQ_OTHER_DERIVATIVES_BENEFICIARY_FFIEC" hidden="1">"c13122"</definedName>
    <definedName name="IQ_OTHER_DERIVATIVES_GUARANTOR_FFIEC" hidden="1">"c13115"</definedName>
    <definedName name="IQ_OTHER_DEVELOPMENT_EXPENSE" hidden="1">"c16041"</definedName>
    <definedName name="IQ_OTHER_DEVELOPMENT_REVENUE" hidden="1">"c16025"</definedName>
    <definedName name="IQ_OTHER_DOMESTIC_DEBT_SECURITIES_FDIC" hidden="1">"c6302"</definedName>
    <definedName name="IQ_OTHER_EARNING" localSheetId="12" hidden="1">"c1609"</definedName>
    <definedName name="IQ_OTHER_EARNING" localSheetId="7" hidden="1">"c1609"</definedName>
    <definedName name="IQ_OTHER_EARNING" hidden="1">"c74"</definedName>
    <definedName name="IQ_OTHER_ELIGIBLE_0_PCT_RISK_WEIGHT_THRIFT" hidden="1">"c25054"</definedName>
    <definedName name="IQ_OTHER_ELIGIBLE_20_PCT_RISK_WEIGHT_THRIFT" hidden="1">"c25061"</definedName>
    <definedName name="IQ_OTHER_ELIGIBLE_50_PCT_RISK_WEIGHT_THRIFT" hidden="1">"c25068"</definedName>
    <definedName name="IQ_OTHER_EPRA_NAV_ADJ" hidden="1">"c16004"</definedName>
    <definedName name="IQ_OTHER_EPRA_NNAV_ADJ" hidden="1">"c16009"</definedName>
    <definedName name="IQ_OTHER_EQUITY" localSheetId="12" hidden="1">"c886"</definedName>
    <definedName name="IQ_OTHER_EQUITY" localSheetId="7" hidden="1">"c886"</definedName>
    <definedName name="IQ_OTHER_EQUITY" hidden="1">"c113"</definedName>
    <definedName name="IQ_OTHER_EQUITY_BNK" hidden="1">"c887"</definedName>
    <definedName name="IQ_OTHER_EQUITY_BR" hidden="1">"c888"</definedName>
    <definedName name="IQ_OTHER_EQUITY_CAPITAL_COMPONENTS_THRIFT" hidden="1">"c24924"</definedName>
    <definedName name="IQ_OTHER_EQUITY_CAPITAL_COMPS_FFIEC" hidden="1">"c12880"</definedName>
    <definedName name="IQ_OTHER_EQUITY_CM" hidden="1">"c888"</definedName>
    <definedName name="IQ_OTHER_EQUITY_FFIEC" hidden="1">"c12879"</definedName>
    <definedName name="IQ_OTHER_EQUITY_FIN" hidden="1">"c889"</definedName>
    <definedName name="IQ_OTHER_EQUITY_INS" hidden="1">"c890"</definedName>
    <definedName name="IQ_OTHER_EQUITY_INSTRUMENTS_T2_THRIFT" hidden="1">"c25042"</definedName>
    <definedName name="IQ_OTHER_EQUITY_INV_NOT_CARRIED_FV_THRIFT" hidden="1">"c24881"</definedName>
    <definedName name="IQ_OTHER_EQUITY_RE" hidden="1">"c6244"</definedName>
    <definedName name="IQ_OTHER_EQUITY_REIT" hidden="1">"c891"</definedName>
    <definedName name="IQ_OTHER_EQUITY_UTI" hidden="1">"c892"</definedName>
    <definedName name="IQ_OTHER_EXP_OPERATING_INC_FFIEC" hidden="1">"c13381"</definedName>
    <definedName name="IQ_OTHER_FAD" hidden="1">"c16184"</definedName>
    <definedName name="IQ_OTHER_FEES_CHARGES_THRIFT" hidden="1">"c24768"</definedName>
    <definedName name="IQ_OTHER_FIDUCIARY_ACCOUNTS_INC_THRIFT" hidden="1">"c24808"</definedName>
    <definedName name="IQ_OTHER_FIDUCIARY_ACCOUNTS_MANAGED_ASSETS_THRIFT" hidden="1">"c25355"</definedName>
    <definedName name="IQ_OTHER_FIDUCIARY_ACCOUNTS_NONMANAGED_ASSETS_THRIFT" hidden="1">"c25376"</definedName>
    <definedName name="IQ_OTHER_FIDUCIARY_ACCOUNTS_NUMBER_MANAGED_ACCOUNTS_THRIFT" hidden="1">"c25366"</definedName>
    <definedName name="IQ_OTHER_FIDUCIARY_ACCOUNTS_NUMBER_NONMANAGED_ACCOUNTS_THRIFT" hidden="1">"c25388"</definedName>
    <definedName name="IQ_OTHER_FIDUCIARY_ACCOUNTS_RELATED_SERVICES_GROSS_LOSSES_MANAGED_ACCOUNTS_THRIFT" hidden="1">"c25464"</definedName>
    <definedName name="IQ_OTHER_FIDUCIARY_ACCOUNTS_RELATED_SERVICES_GROSS_LOSSES_NONMANAGED_ACCOUNTS_THRIFT" hidden="1">"c25469"</definedName>
    <definedName name="IQ_OTHER_FIDUCIARY_ACCOUNTS_RELATED_SERVICES_RECOVERIES_THRIFT" hidden="1">"c25474"</definedName>
    <definedName name="IQ_OTHER_FIDUCIARY_RELATED_SERVICES_INC_THRIFT" hidden="1">"c24810"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CM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CM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FOREIGN_LOANS_FOREIGN_FFIEC" hidden="1">"c13482"</definedName>
    <definedName name="IQ_OTHER_IBF_DEPOSIT_LIABILITIES_FFIEC" hidden="1">"c15301"</definedName>
    <definedName name="IQ_OTHER_INDIVIDUAL_FAMILY_DOM_QUARTERLY_AVG_FFIEC" hidden="1">"c15481"</definedName>
    <definedName name="IQ_OTHER_INSURANCE_FEES_FDIC" hidden="1">"c6672"</definedName>
    <definedName name="IQ_OTHER_INSURANCE_PREMIUMS_FFIEC" hidden="1">"c13071"</definedName>
    <definedName name="IQ_OTHER_INT_EARNING_DEPOSITS_THRIFT" hidden="1">"c24820"</definedName>
    <definedName name="IQ_OTHER_INT_EXPENSE_FFIEC" hidden="1">"c12999"</definedName>
    <definedName name="IQ_OTHER_INT_INCOME_FFIEC" hidden="1">"c12988"</definedName>
    <definedName name="IQ_OTHER_INTAN" hidden="1">"c907"</definedName>
    <definedName name="IQ_OTHER_INTAN_BNK" hidden="1">"c908"</definedName>
    <definedName name="IQ_OTHER_INTAN_BR" hidden="1">"c909"</definedName>
    <definedName name="IQ_OTHER_INTAN_CM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ASSETS_FFIEC" hidden="1">"c12837"</definedName>
    <definedName name="IQ_OTHER_INTANGIBLE_ASSETS_TOT_FFIEC" hidden="1">"c12840"</definedName>
    <definedName name="IQ_OTHER_INTANGIBLE_FDIC" hidden="1">"c6337"</definedName>
    <definedName name="IQ_OTHER_INV" hidden="1">"c914"</definedName>
    <definedName name="IQ_OTHER_INV_SEC_INV_SEC_THRIFT" hidden="1">"c25675"</definedName>
    <definedName name="IQ_OTHER_INV_SEC_THRIFT" hidden="1">"c24826"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CM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CM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localSheetId="12" hidden="1">"c1408"</definedName>
    <definedName name="IQ_OTHER_INVESTING" localSheetId="7" hidden="1">"c1408"</definedName>
    <definedName name="IQ_OTHER_INVESTING" hidden="1">"c127"</definedName>
    <definedName name="IQ_OTHER_LEASES_DUE_30_89_FFIEC" hidden="1">"c13278"</definedName>
    <definedName name="IQ_OTHER_LEASES_DUE_90_FFIEC" hidden="1">"c13304"</definedName>
    <definedName name="IQ_OTHER_LEASES_LL_REC_FFIEC" hidden="1">"c12896"</definedName>
    <definedName name="IQ_OTHER_LEASES_NON_ACCRUAL_FFIEC" hidden="1">"c13330"</definedName>
    <definedName name="IQ_OTHER_LIAB" localSheetId="12" hidden="1">"c930"</definedName>
    <definedName name="IQ_OTHER_LIAB" localSheetId="7" hidden="1">"c930"</definedName>
    <definedName name="IQ_OTHER_LIAB" hidden="1">"c104"</definedName>
    <definedName name="IQ_OTHER_LIAB_BNK" hidden="1">"c931"</definedName>
    <definedName name="IQ_OTHER_LIAB_BR" hidden="1">"c932"</definedName>
    <definedName name="IQ_OTHER_LIAB_CM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CM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DEFERRED_INCOME_THRIFT" hidden="1">"c24912"</definedName>
    <definedName name="IQ_OTHER_LIABILITIES_FDIC" hidden="1">"c6347"</definedName>
    <definedName name="IQ_OTHER_LIABILITIES_FFIEC" hidden="1">"c12872"</definedName>
    <definedName name="IQ_OTHER_LIABILITIES_THRIFT" hidden="1">"c24905"</definedName>
    <definedName name="IQ_OTHER_LIABILITIES_TOTAL_FFIEC" hidden="1">"c12869"</definedName>
    <definedName name="IQ_OTHER_LINES_CREDIT_THRIFT" hidden="1">"c25611"</definedName>
    <definedName name="IQ_OTHER_LL_REC_FFIEC" hidden="1">"c12894"</definedName>
    <definedName name="IQ_OTHER_LOANS" hidden="1">"c945"</definedName>
    <definedName name="IQ_OTHER_LOANS_CHARGE_OFFS_FDIC" hidden="1">"c6601"</definedName>
    <definedName name="IQ_OTHER_LOANS_DUE_30_89_FFIEC" hidden="1">"c13275"</definedName>
    <definedName name="IQ_OTHER_LOANS_DUE_90_FFIEC" hidden="1">"c13301"</definedName>
    <definedName name="IQ_OTHER_LOANS_FFIEC" hidden="1">"c12825"</definedName>
    <definedName name="IQ_OTHER_LOANS_FOREIGN_FDIC" hidden="1">"c6446"</definedName>
    <definedName name="IQ_OTHER_LOANS_GROSS_LOANS_FFIEC" hidden="1">"c13414"</definedName>
    <definedName name="IQ_OTHER_LOANS_INDIVIDUALS_CHARGE_OFFS_FFIEC" hidden="1">"c13181"</definedName>
    <definedName name="IQ_OTHER_LOANS_INDIVIDUALS_DUE_30_89_FFIEC" hidden="1">"c13273"</definedName>
    <definedName name="IQ_OTHER_LOANS_INDIVIDUALS_DUE_90_FFIEC" hidden="1">"c13299"</definedName>
    <definedName name="IQ_OTHER_LOANS_INDIVIDUALS_NON_ACCRUAL_FFIEC" hidden="1">"c13325"</definedName>
    <definedName name="IQ_OTHER_LOANS_INDIVIDUALS_RECOV_FFIEC" hidden="1">"c13203"</definedName>
    <definedName name="IQ_OTHER_LOANS_LEASES_FDIC" hidden="1">"c6322"</definedName>
    <definedName name="IQ_OTHER_LOANS_LEASES_GROSS_LOANS_THRIFT" hidden="1">"c25735"</definedName>
    <definedName name="IQ_OTHER_LOANS_LEASES_RISK_BASED_CAPITAL_THRIFT" hidden="1">"c25720"</definedName>
    <definedName name="IQ_OTHER_LOANS_LL_REC_DOM_FFIEC" hidden="1">"c12914"</definedName>
    <definedName name="IQ_OTHER_LOANS_NET_CHARGE_OFFS_FDIC" hidden="1">"c6639"</definedName>
    <definedName name="IQ_OTHER_LOANS_NON_ACCRUAL_FFIEC" hidden="1">"c13327"</definedName>
    <definedName name="IQ_OTHER_LOANS_RECOVERIES_FDIC" hidden="1">"c6620"</definedName>
    <definedName name="IQ_OTHER_LOANS_RISK_BASED_FFIEC" hidden="1">"c13435"</definedName>
    <definedName name="IQ_OTHER_LOANS_TOTAL_FDIC" hidden="1">"c6432"</definedName>
    <definedName name="IQ_OTHER_LOANS_TOTAL_LOANS" hidden="1">"c15716"</definedName>
    <definedName name="IQ_OTHER_LOANS_TRADING_DOM_FFIEC" hidden="1">"c12936"</definedName>
    <definedName name="IQ_OTHER_LONG_TERM" localSheetId="12" hidden="1">"c1409"</definedName>
    <definedName name="IQ_OTHER_LONG_TERM" localSheetId="7" hidden="1">"c1409"</definedName>
    <definedName name="IQ_OTHER_LONG_TERM" hidden="1">"c88"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CM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MBS_AFS_AMORT_COST_FFIEC" hidden="1">"c20498"</definedName>
    <definedName name="IQ_OTHER_MBS_AFS_FAIR_VAL_FFIEC" hidden="1">"c20463"</definedName>
    <definedName name="IQ_OTHER_MBS_AVAIL_SALE_FFIEC" hidden="1">"c12801"</definedName>
    <definedName name="IQ_OTHER_MBS_EXCLUDING_BONDS_THRIFT" hidden="1">"c24832"</definedName>
    <definedName name="IQ_OTHER_MBS_FFIEC" hidden="1">"c12787"</definedName>
    <definedName name="IQ_OTHER_MBS_HTM_AMORT_COST_FFIEC" hidden="1">"c20446"</definedName>
    <definedName name="IQ_OTHER_MBS_HTM_FAIR_VAL_FFIEC" hidden="1">"c20481"</definedName>
    <definedName name="IQ_OTHER_MBS_ISSUED_FNMA_GNMA_TRADING_DOM_FFIEC" hidden="1">"c12922"</definedName>
    <definedName name="IQ_OTHER_MBS_ISSUED_FNMA_GNMA_TRADING_FFIEC" hidden="1">"c12817"</definedName>
    <definedName name="IQ_OTHER_MBS_THRIFT" hidden="1">"c24835"</definedName>
    <definedName name="IQ_OTHER_MBS_TRADING_DOM_FFIEC" hidden="1">"c12923"</definedName>
    <definedName name="IQ_OTHER_MBS_TRADING_FFIEC" hidden="1">"c12818"</definedName>
    <definedName name="IQ_OTHER_MINING_REVENUE_COAL" hidden="1">"c15931"</definedName>
    <definedName name="IQ_OTHER_NET" localSheetId="12" hidden="1">"c1453"</definedName>
    <definedName name="IQ_OTHER_NET" localSheetId="7" hidden="1">"c1453"</definedName>
    <definedName name="IQ_OTHER_NET" hidden="1">"c28"</definedName>
    <definedName name="IQ_OTHER_NO_NINT_INCOME_THRIFT" hidden="1">"c24780"</definedName>
    <definedName name="IQ_OTHER_NON_INT_ALLOCATIONS_FFIEC" hidden="1">"c13065"</definedName>
    <definedName name="IQ_OTHER_NON_INT_EXP" hidden="1">"c953"</definedName>
    <definedName name="IQ_OTHER_NON_INT_EXP_FDIC" hidden="1">"c6578"</definedName>
    <definedName name="IQ_OTHER_NON_INT_EXP_FFIEC" hidden="1">"c13027"</definedName>
    <definedName name="IQ_OTHER_NON_INT_EXP_THRIFT" hidden="1">"c24792"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INT_INC_OPERATING_INC_FFIEC" hidden="1">"c13392"</definedName>
    <definedName name="IQ_OTHER_NON_INT_INCOME_ADJUSTED_OPERATING_INCOME_THRIFT" hidden="1">"c25691"</definedName>
    <definedName name="IQ_OTHER_NON_INT_INCOME_FFIEC" hidden="1">"c13016"</definedName>
    <definedName name="IQ_OTHER_NON_OPER_EXP" hidden="1">"c956"</definedName>
    <definedName name="IQ_OTHER_NON_OPER_EXP_BR" hidden="1">"c957"</definedName>
    <definedName name="IQ_OTHER_NON_OPER_EXP_CM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CM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NONFARM_NONRES_GROSS_LOANS_FFIEC" hidden="1">"c13407"</definedName>
    <definedName name="IQ_OTHER_NONFARM_NONRES_LL_REC_DOM_FFIEC" hidden="1">"c12907"</definedName>
    <definedName name="IQ_OTHER_NONFARM_NONRES_RISK_BASED_FFIEC" hidden="1">"c13428"</definedName>
    <definedName name="IQ_OTHER_NONINTEREST_INC_FOREIGN_FFIEC" hidden="1">"c15380"</definedName>
    <definedName name="IQ_OTHER_NOTES_BONDS_ALL_OTHER_ACCOUNTS_THRIFT" hidden="1">"c25432"</definedName>
    <definedName name="IQ_OTHER_NOTES_BONDS_EMPLOYEE_BENEFIT_RETIREMENT_RELATED_ACCOUNTS_THRIFT" hidden="1">"c25416"</definedName>
    <definedName name="IQ_OTHER_NOTES_BONDS_PERSONAL_TRUST_AGENCY_INV_MANAGEMENT_ACCOUNTS_THRIFT" hidden="1">"c25400"</definedName>
    <definedName name="IQ_OTHER_OFF_BS_ITEMS_FFIEC" hidden="1">"c13126"</definedName>
    <definedName name="IQ_OTHER_OFF_BS_LIAB_FDIC" hidden="1">"c6533"</definedName>
    <definedName name="IQ_OTHER_OPER" localSheetId="12" hidden="1">"c982"</definedName>
    <definedName name="IQ_OTHER_OPER" localSheetId="7" hidden="1">"c982"</definedName>
    <definedName name="IQ_OTHER_OPER" hidden="1">"c19"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CM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CM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CM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CM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ERATING_EXPENSES_ADJUSTED_OPERATING_INCOME_THRIFT" hidden="1">"c25687"</definedName>
    <definedName name="IQ_OTHER_OPERATING_EXPENSES_AVG_ASSETS_THRIFT" hidden="1">"c25664"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OVER_TOTAL" hidden="1">"c24739"</definedName>
    <definedName name="IQ_OTHER_PASS_THROUGH_THRIFT" hidden="1">"c24831"</definedName>
    <definedName name="IQ_OTHER_PC_WRITTEN" hidden="1">"c1006"</definedName>
    <definedName name="IQ_OTHER_PML_SECURED_FIRST_LIEN_1_4_DWELLING_UNITS_DUE_30_89_THRIFT" hidden="1">"c25242"</definedName>
    <definedName name="IQ_OTHER_PML_SECURED_FIRST_LIEN_1_4_DWELLING_UNITS_DUE_90_THRIFT" hidden="1">"c25263"</definedName>
    <definedName name="IQ_OTHER_PML_SECURED_FIRST_LIEN_1_4_DWELLING_UNITS_NON_ACCRUAL_THRIFT" hidden="1">"c25284"</definedName>
    <definedName name="IQ_OTHER_PML_SECURED_JUNIOR_LIEN_1_4_DWELLING_UNITS_DUE_30_89_THRIFT" hidden="1">"c25243"</definedName>
    <definedName name="IQ_OTHER_PML_SECURED_JUNIOR_LIEN_1_4_DWELLING_UNITS_DUE_90_THRIFT" hidden="1">"c25264"</definedName>
    <definedName name="IQ_OTHER_PML_SECURED_JUNIOR_LIEN_1_4_DWELLING_UNITS_NON_ACCRUAL_THRIFT" hidden="1">"c25285"</definedName>
    <definedName name="IQ_OTHER_PROP" hidden="1">"c8764"</definedName>
    <definedName name="IQ_OTHER_PROP_OPERATING_EXPENSE" hidden="1">"c16043"</definedName>
    <definedName name="IQ_OTHER_PROP_OPERATING_REVENUE" hidden="1">"c16027"</definedName>
    <definedName name="IQ_OTHER_RE_OWNED_FDIC" hidden="1">"c6330"</definedName>
    <definedName name="IQ_OTHER_REAL_ESTATE" hidden="1">"c1007"</definedName>
    <definedName name="IQ_OTHER_RECEIV" localSheetId="12" hidden="1">"c1008"</definedName>
    <definedName name="IQ_OTHER_RECEIV" localSheetId="7" hidden="1">"c1008"</definedName>
    <definedName name="IQ_OTHER_RECEIV" hidden="1">"c77"</definedName>
    <definedName name="IQ_OTHER_RECEIV_INS" hidden="1">"c1009"</definedName>
    <definedName name="IQ_OTHER_REPOSSESSED_ASSETS_ADJUSTED_NCOS_TOTAL_THRIFT" hidden="1">"c25224"</definedName>
    <definedName name="IQ_OTHER_REPOSSESSED_ASSETS_GVA_CHARGE_OFFS_THRIFT" hidden="1">"c25139"</definedName>
    <definedName name="IQ_OTHER_REPOSSESSED_ASSETS_SVA_PROVISIONS_TRANSFERS_FROM_GVA_TOTAL_THRIFT" hidden="1">"c25193"</definedName>
    <definedName name="IQ_OTHER_RESIDUAL_INTERESTS_THRIFT" hidden="1">"c24940"</definedName>
    <definedName name="IQ_OTHER_REV" hidden="1">"c1010"</definedName>
    <definedName name="IQ_OTHER_REV_BR" hidden="1">"c1011"</definedName>
    <definedName name="IQ_OTHER_REV_CM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CM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localSheetId="12" hidden="1">"c1410"</definedName>
    <definedName name="IQ_OTHER_REVENUE" localSheetId="7" hidden="1">"c1410"</definedName>
    <definedName name="IQ_OTHER_REVENUE" hidden="1">"c4"</definedName>
    <definedName name="IQ_OTHER_REVOL_CREDIT_CONSUMER_LOANS_FFIEC" hidden="1">"c12823"</definedName>
    <definedName name="IQ_OTHER_REVOLVING_CREDIT_LL_REC_FFIEC" hidden="1">"c12890"</definedName>
    <definedName name="IQ_OTHER_REVOLVING_CREDIT_LOANS_TRADING_DOM_FFIEC" hidden="1">"c12934"</definedName>
    <definedName name="IQ_OTHER_ROOMS" hidden="1">"c8788"</definedName>
    <definedName name="IQ_OTHER_SAVINGS_DEPOSITS_FDIC" hidden="1">"c6554"</definedName>
    <definedName name="IQ_OTHER_SAVINGS_DEPOSITS_NON_TRANS_ACCTS_FFIEC" hidden="1">"c15331"</definedName>
    <definedName name="IQ_OTHER_SECURITIES_QUARTERLY_AVG_FFIEC" hidden="1">"c15472"</definedName>
    <definedName name="IQ_OTHER_SERVICE_CHARGES_COMM_FEE_DOM_FFIEC" hidden="1">"c25822"</definedName>
    <definedName name="IQ_OTHER_SHORT_TERM_OBLIGATIONS_ALL_OTHER_ACCOUNTS_THRIFT" hidden="1">"c25431"</definedName>
    <definedName name="IQ_OTHER_SHORT_TERM_OBLIGATIONS_EMPLOYEE_BENEFIT_RETIREMENT_RELATED_ACCOUNTS_THRIFT" hidden="1">"c25415"</definedName>
    <definedName name="IQ_OTHER_SHORT_TERM_OBLIGATIONS_PERSONAL_TRUST_AGENCY_INV_MANAGEMENT_ACCOUNTS_THRIFT" hidden="1">"c25399"</definedName>
    <definedName name="IQ_OTHER_SQ_FT" hidden="1">"c8780"</definedName>
    <definedName name="IQ_OTHER_STRIKE_PRICE_GRANTED" hidden="1">"c2692"</definedName>
    <definedName name="IQ_OTHER_TAX_EQUIVALENT_ADJUSTMENTS_FFIEC" hidden="1">"c13855"</definedName>
    <definedName name="IQ_OTHER_TEMP_IMPAIR_LOSS_HTM_AFS_FFIEC" hidden="1">"c25845"</definedName>
    <definedName name="IQ_OTHER_TIME_DEPOSITS_THRIFT" hidden="1">"c25569"</definedName>
    <definedName name="IQ_OTHER_TRADING_ASSETS_FAIR_VALUE_TOT_FFIEC" hidden="1">"c15404"</definedName>
    <definedName name="IQ_OTHER_TRADING_ASSETS_FFIEC" hidden="1">"c12826"</definedName>
    <definedName name="IQ_OTHER_TRADING_ASSETS_LEVEL_1_FFIEC" hidden="1">"c15426"</definedName>
    <definedName name="IQ_OTHER_TRADING_ASSETS_LEVEL_2_FFIEC" hidden="1">"c15439"</definedName>
    <definedName name="IQ_OTHER_TRADING_ASSETS_LEVEL_3_FFIEC" hidden="1">"c15452"</definedName>
    <definedName name="IQ_OTHER_TRADING_ASSETS_TOTAL_FFIEC" hidden="1">"c12937"</definedName>
    <definedName name="IQ_OTHER_TRADING_LIABILITIES_FAIR_VALUE_TOT_FFIEC" hidden="1">"c15408"</definedName>
    <definedName name="IQ_OTHER_TRADING_LIABILITIES_FFIEC" hidden="1">"c12860"</definedName>
    <definedName name="IQ_OTHER_TRADING_LIABILITIES_LEVEL_1_FFIEC" hidden="1">"c15430"</definedName>
    <definedName name="IQ_OTHER_TRADING_LIABILITIES_LEVEL_2_FFIEC" hidden="1">"c15443"</definedName>
    <definedName name="IQ_OTHER_TRADING_LIABILITIES_LEVEL_3_FFIEC" hidden="1">"c15456"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ED_FFIEC" hidden="1">"c13248"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CM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CM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SUPPLE" hidden="1">"c13816"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ALANCE_CONTRACTUAL_PURCHASED_CREDIT_IMPAIRED_LOANS_THRIFT" hidden="1">"c25237"</definedName>
    <definedName name="IQ_OUTSTANDING_BS_DATE" hidden="1">"c2128"</definedName>
    <definedName name="IQ_OUTSTANDING_CHECKS_DRAWN_AGAINST_FHLBS_FEDERAL_RESERVE_BANKS_THRIFT" hidden="1">"c25571"</definedName>
    <definedName name="IQ_OUTSTANDING_COMMITMENTS_LOANS_CLOSED_LOANS_IN_PROCESS_MORTGAGE_CONSTRUCTION_LOANS_THRIFT" hidden="1">"c25591"</definedName>
    <definedName name="IQ_OUTSTANDING_COMMITMENTS_LOANS_CLOSED_LOANS_IN_PROCESS_NON_MORTGAGE_LOANS_THRIFT" hidden="1">"c25593"</definedName>
    <definedName name="IQ_OUTSTANDING_COMMITMENTS_LOANS_CLOSED_LOANS_IN_PROCESS_OTHER_MORTGAGE_LOANS_THRIFT" hidden="1">"c25592"</definedName>
    <definedName name="IQ_OUTSTANDING_COMMITMENTS_ORIGINATE_MORTGAGE_LOANS_SECURED_1_4_DWELLING_UNITS_THRIFT" hidden="1">"c25595"</definedName>
    <definedName name="IQ_OUTSTANDING_COMMITMENTS_ORIGINATE_MORTGAGE_LOANS_SECURED_ALL_OTHER_RE_THRIFT" hidden="1">"c25597"</definedName>
    <definedName name="IQ_OUTSTANDING_COMMITMENTS_ORIGINATE_MORTGAGE_LOANS_SECURED_MULTIFAMILY_5_MORE_DWELLING_UNITS_THRIFT" hidden="1">"c25596"</definedName>
    <definedName name="IQ_OUTSTANDING_COMMITMENTS_ORIGINATE_MORTGAGE_LOANS_SECURED_RE_THRIFT" hidden="1">"c25594"</definedName>
    <definedName name="IQ_OUTSTANDING_COMMITMENTS_ORIGINATE_NON_MORTGAGE_LOANS_THRIFT" hidden="1">"c25598"</definedName>
    <definedName name="IQ_OUTSTANDING_COMMITMENTS_PURCHASE_INV_SEC_THRIFT" hidden="1">"c25603"</definedName>
    <definedName name="IQ_OUTSTANDING_COMMITMENTS_PURCHASE_LOANS_THRIFT" hidden="1">"c25599"</definedName>
    <definedName name="IQ_OUTSTANDING_COMMITMENTS_PURCHASE_MORTGAGE_BACKED_SEC_THRIFT" hidden="1">"c25601"</definedName>
    <definedName name="IQ_OUTSTANDING_COMMITMENTS_SELL_INV_SEC_THRIFT" hidden="1">"c25604"</definedName>
    <definedName name="IQ_OUTSTANDING_COMMITMENTS_SELL_LOANS_THRIFT" hidden="1">"c25600"</definedName>
    <definedName name="IQ_OUTSTANDING_COMMITMENTS_SELL_MORTGAGE_BACKED_SEC_THRIFT" hidden="1">"c25602"</definedName>
    <definedName name="IQ_OUTSTANDING_COMMITMENTS_UNDISBURSED_BALANCE_LOANS_CLOSED_THRIFT" hidden="1">"c25590"</definedName>
    <definedName name="IQ_OUTSTANDING_FILING_DATE" hidden="1">"c2127"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VERHEAD_EXP_ADJUSTED_OPERATING_INCOME_THRIFT" hidden="1">"c25684"</definedName>
    <definedName name="IQ_OVERHEAD_EXP_AVG_ASSETS_FFIEC" hidden="1">"c13361"</definedName>
    <definedName name="IQ_OVERHEAD_EXP_AVG_ASSETS_THRIFT" hidden="1">"c25652"</definedName>
    <definedName name="IQ_OVERHEAD_EXP_REV_FFIEC" hidden="1">"c13494"</definedName>
    <definedName name="IQ_OVERHEAD_EXP_REVENUES_THRIFT" hidden="1">"c25683"</definedName>
    <definedName name="IQ_OVERHEAD_LESS_NON_INT_INCOME_ADJUSTED_OPERATING_INCOME_THRIFT" hidden="1">"c25692"</definedName>
    <definedName name="IQ_OVERHEAD_LESS_NON_INT_INCOME_AVG_ASSETS_THRIFT" hidden="1">"c25665"</definedName>
    <definedName name="IQ_OVERHEAD_NON_INT_INC_AVG_ASSETS_FFIEC" hidden="1">"c13374"</definedName>
    <definedName name="IQ_OVERHEAD_NON_INT_OPERATING_INC_FFIEC" hidden="1">"c13393"</definedName>
    <definedName name="IQ_OVERHEAD_OPERATING_INC_FFIEC" hidden="1">"c13378"</definedName>
    <definedName name="IQ_OWNED_RESERVES_COAL" hidden="1">"c15916"</definedName>
    <definedName name="IQ_OWNED_RESERVES_TO_TOTAL_RESERVES_COAL" hidden="1">"c15957"</definedName>
    <definedName name="IQ_OWNER_OCCUPIED_GROSS_LOANS_FFIEC" hidden="1">"c13406"</definedName>
    <definedName name="IQ_OWNER_OCCUPIED_LOANS_RISK_BASED_FFIEC" hidden="1">"c13427"</definedName>
    <definedName name="IQ_OWNER_OCCUPIED_NONFARM_NONRES_LL_REC_DOM_FFIEC" hidden="1">"c12906"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ICIPATIONS_ACCEPTANCES_FFIEC" hidden="1">"c13254"</definedName>
    <definedName name="IQ_PARTNERSHIP_INC_RE" hidden="1">"c12039"</definedName>
    <definedName name="IQ_PASS_THROUGH_FNMA_GNMA_TRADING_FFIEC" hidden="1">"c12816"</definedName>
    <definedName name="IQ_PASS_THROUGH_MBS_THRIFT" hidden="1">"c24829"</definedName>
    <definedName name="IQ_PASSBOOK_ACCOUNTS_INC_NONDEMAND_ESCROWS_THRIFT" hidden="1">"c25000"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ST_DUE_ALLOW_GROSS_LOANS_FFIEC" hidden="1">"c13416"</definedName>
    <definedName name="IQ_PAST_DUE_LOANS_GROSS_LOANS_THRIFT" hidden="1">"c25737"</definedName>
    <definedName name="IQ_PAY_ACCRUED" localSheetId="12" hidden="1">"c1457"</definedName>
    <definedName name="IQ_PAY_ACCRUED" localSheetId="7" hidden="1">"c1457"</definedName>
    <definedName name="IQ_PAY_ACCRUED" hidden="1">"c92"</definedName>
    <definedName name="IQ_PAYOUT_RATIO" hidden="1">"c1900"</definedName>
    <definedName name="IQ_PBV" hidden="1">"c1025"</definedName>
    <definedName name="IQ_PBV_AVG" hidden="1">"c1026"</definedName>
    <definedName name="IQ_PBV_FWD" hidden="1">"c15235"</definedName>
    <definedName name="IQ_PBV_FWD_CIQ" hidden="1">"c15236"</definedName>
    <definedName name="IQ_PC_EARNED" hidden="1">"c2749"</definedName>
    <definedName name="IQ_PC_GAAP_COMBINED_RATIO" hidden="1">"c20392"</definedName>
    <definedName name="IQ_PC_GAAP_COMBINED_RATIO_EXCL_CL" hidden="1">"c20393"</definedName>
    <definedName name="IQ_PC_GAAP_EXPENSE_RATIO" hidden="1">"c20391"</definedName>
    <definedName name="IQ_PC_GAAP_LOSS" hidden="1">"c20390"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FUND_DATE_EST" hidden="1">"c19174"</definedName>
    <definedName name="IQ_PE_FUND_DATE_MONTH" hidden="1">"c19172"</definedName>
    <definedName name="IQ_PE_FUND_DATE_YEAR" hidden="1">"c18925"</definedName>
    <definedName name="IQ_PE_FUND_FAMILIES" hidden="1">"c18917"</definedName>
    <definedName name="IQ_PE_FUND_FAMILIES_ID" hidden="1">"c18918"</definedName>
    <definedName name="IQ_PE_FUND_FAMILIES_REL" hidden="1">"c18919"</definedName>
    <definedName name="IQ_PE_FUND_ID" hidden="1">"c18923"</definedName>
    <definedName name="IQ_PE_FUND_INVEST_AMOUNT" hidden="1">"c18933"</definedName>
    <definedName name="IQ_PE_FUND_INVEST_DATE_MONTH" hidden="1">"c19173"</definedName>
    <definedName name="IQ_PE_FUND_INVEST_DATE_YEAR" hidden="1">"c18934"</definedName>
    <definedName name="IQ_PE_FUND_NAME" hidden="1">"c18922"</definedName>
    <definedName name="IQ_PE_FUND_SIZE" hidden="1">"c18924"</definedName>
    <definedName name="IQ_PE_FUND_STAGE" hidden="1">"c18928"</definedName>
    <definedName name="IQ_PE_FUND_TARGET_MAX" hidden="1">"c18927"</definedName>
    <definedName name="IQ_PE_FUND_TARGET_MIN" hidden="1">"c18926"</definedName>
    <definedName name="IQ_PE_FUND_TRANSACTION_COMMENTS" hidden="1">"c18931"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NETRATION_BASIC_CABLE" hidden="1">"c16204"</definedName>
    <definedName name="IQ_PENETRATION_BBAND" hidden="1">"c2852"</definedName>
    <definedName name="IQ_PENETRATION_BBAND_THP" hidden="1">"c2851"</definedName>
    <definedName name="IQ_PENETRATION_PHONE" hidden="1">"c2853"</definedName>
    <definedName name="IQ_PENETRATION_VIDEO" hidden="1">"c2850"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ASSETS_TEST_THRIFT" hidden="1">"c25587"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DAY" hidden="1">"c1846"</definedName>
    <definedName name="IQ_PERCENT_CHANGE_EST_5YR_GROWTH_RATE_DAY_CIQ" hidden="1">"c3785"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WEEK" hidden="1">"c1847"</definedName>
    <definedName name="IQ_PERCENT_CHANGE_EST_5YR_GROWTH_RATE_WEEK_CIQ" hidden="1">"c3797"</definedName>
    <definedName name="IQ_PERCENT_CHANGE_EST_CFPS_12MONTHS" hidden="1">"c1812"</definedName>
    <definedName name="IQ_PERCENT_CHANGE_EST_CFPS_12MONTHS_CIQ" hidden="1">"c3755"</definedName>
    <definedName name="IQ_PERCENT_CHANGE_EST_CFPS_18MONTHS" hidden="1">"c1813"</definedName>
    <definedName name="IQ_PERCENT_CHANGE_EST_CFPS_18MONTHS_CIQ" hidden="1">"c3756"</definedName>
    <definedName name="IQ_PERCENT_CHANGE_EST_CFPS_3MONTHS" hidden="1">"c1809"</definedName>
    <definedName name="IQ_PERCENT_CHANGE_EST_CFPS_3MONTHS_CIQ" hidden="1">"c3752"</definedName>
    <definedName name="IQ_PERCENT_CHANGE_EST_CFPS_6MONTHS" hidden="1">"c1810"</definedName>
    <definedName name="IQ_PERCENT_CHANGE_EST_CFPS_6MONTHS_CIQ" hidden="1">"c3753"</definedName>
    <definedName name="IQ_PERCENT_CHANGE_EST_CFPS_9MONTHS" hidden="1">"c1811"</definedName>
    <definedName name="IQ_PERCENT_CHANGE_EST_CFPS_9MONTHS_CIQ" hidden="1">"c3754"</definedName>
    <definedName name="IQ_PERCENT_CHANGE_EST_CFPS_DAY" hidden="1">"c1806"</definedName>
    <definedName name="IQ_PERCENT_CHANGE_EST_CFPS_DAY_CIQ" hidden="1">"c3750"</definedName>
    <definedName name="IQ_PERCENT_CHANGE_EST_CFPS_MONTH" hidden="1">"c1808"</definedName>
    <definedName name="IQ_PERCENT_CHANGE_EST_CFPS_MONTH_CIQ" hidden="1">"c3751"</definedName>
    <definedName name="IQ_PERCENT_CHANGE_EST_CFPS_WEEK" hidden="1">"c1807"</definedName>
    <definedName name="IQ_PERCENT_CHANGE_EST_CFPS_WEEK_CIQ" hidden="1">"c3793"</definedName>
    <definedName name="IQ_PERCENT_CHANGE_EST_DPS_12MONTHS" hidden="1">"c1820"</definedName>
    <definedName name="IQ_PERCENT_CHANGE_EST_DPS_12MONTHS_CIQ" hidden="1">"c3762"</definedName>
    <definedName name="IQ_PERCENT_CHANGE_EST_DPS_18MONTHS" hidden="1">"c1821"</definedName>
    <definedName name="IQ_PERCENT_CHANGE_EST_DPS_18MONTHS_CIQ" hidden="1">"c3763"</definedName>
    <definedName name="IQ_PERCENT_CHANGE_EST_DPS_3MONTHS" hidden="1">"c1817"</definedName>
    <definedName name="IQ_PERCENT_CHANGE_EST_DPS_3MONTHS_CIQ" hidden="1">"c3759"</definedName>
    <definedName name="IQ_PERCENT_CHANGE_EST_DPS_6MONTHS" hidden="1">"c1818"</definedName>
    <definedName name="IQ_PERCENT_CHANGE_EST_DPS_6MONTHS_CIQ" hidden="1">"c3760"</definedName>
    <definedName name="IQ_PERCENT_CHANGE_EST_DPS_9MONTHS" hidden="1">"c1819"</definedName>
    <definedName name="IQ_PERCENT_CHANGE_EST_DPS_9MONTHS_CIQ" hidden="1">"c3761"</definedName>
    <definedName name="IQ_PERCENT_CHANGE_EST_DPS_DAY" hidden="1">"c1814"</definedName>
    <definedName name="IQ_PERCENT_CHANGE_EST_DPS_DAY_CIQ" hidden="1">"c3757"</definedName>
    <definedName name="IQ_PERCENT_CHANGE_EST_DPS_MONTH" hidden="1">"c1816"</definedName>
    <definedName name="IQ_PERCENT_CHANGE_EST_DPS_MONTH_CIQ" hidden="1">"c3758"</definedName>
    <definedName name="IQ_PERCENT_CHANGE_EST_DPS_WEEK" hidden="1">"c1815"</definedName>
    <definedName name="IQ_PERCENT_CHANGE_EST_DPS_WEEK_CIQ" hidden="1">"c3794"</definedName>
    <definedName name="IQ_PERCENT_CHANGE_EST_EBITDA_12MONTHS" hidden="1">"c1804"</definedName>
    <definedName name="IQ_PERCENT_CHANGE_EST_EBITDA_12MONTHS_CIQ" hidden="1">"c3748"</definedName>
    <definedName name="IQ_PERCENT_CHANGE_EST_EBITDA_18MONTHS" hidden="1">"c1805"</definedName>
    <definedName name="IQ_PERCENT_CHANGE_EST_EBITDA_18MONTHS_CIQ" hidden="1">"c3749"</definedName>
    <definedName name="IQ_PERCENT_CHANGE_EST_EBITDA_3MONTHS" hidden="1">"c1801"</definedName>
    <definedName name="IQ_PERCENT_CHANGE_EST_EBITDA_3MONTHS_CIQ" hidden="1">"c3745"</definedName>
    <definedName name="IQ_PERCENT_CHANGE_EST_EBITDA_6MONTHS" hidden="1">"c1802"</definedName>
    <definedName name="IQ_PERCENT_CHANGE_EST_EBITDA_6MONTHS_CIQ" hidden="1">"c3746"</definedName>
    <definedName name="IQ_PERCENT_CHANGE_EST_EBITDA_9MONTHS" hidden="1">"c1803"</definedName>
    <definedName name="IQ_PERCENT_CHANGE_EST_EBITDA_9MONTHS_CIQ" hidden="1">"c3747"</definedName>
    <definedName name="IQ_PERCENT_CHANGE_EST_EBITDA_DAY" hidden="1">"c1798"</definedName>
    <definedName name="IQ_PERCENT_CHANGE_EST_EBITDA_DAY_CIQ" hidden="1">"c3743"</definedName>
    <definedName name="IQ_PERCENT_CHANGE_EST_EBITDA_MONTH" hidden="1">"c1800"</definedName>
    <definedName name="IQ_PERCENT_CHANGE_EST_EBITDA_MONTH_CIQ" hidden="1">"c3744"</definedName>
    <definedName name="IQ_PERCENT_CHANGE_EST_EBITDA_WEEK" hidden="1">"c1799"</definedName>
    <definedName name="IQ_PERCENT_CHANGE_EST_EBITDA_WEEK_CIQ" hidden="1">"c3792"</definedName>
    <definedName name="IQ_PERCENT_CHANGE_EST_EPS_12MONTHS" hidden="1">"c1788"</definedName>
    <definedName name="IQ_PERCENT_CHANGE_EST_EPS_12MONTHS_CIQ" hidden="1">"c3733"</definedName>
    <definedName name="IQ_PERCENT_CHANGE_EST_EPS_18MONTHS" hidden="1">"c1789"</definedName>
    <definedName name="IQ_PERCENT_CHANGE_EST_EPS_18MONTHS_CIQ" hidden="1">"c3734"</definedName>
    <definedName name="IQ_PERCENT_CHANGE_EST_EPS_3MONTHS" hidden="1">"c1785"</definedName>
    <definedName name="IQ_PERCENT_CHANGE_EST_EPS_3MONTHS_CIQ" hidden="1">"c3730"</definedName>
    <definedName name="IQ_PERCENT_CHANGE_EST_EPS_6MONTHS" hidden="1">"c1786"</definedName>
    <definedName name="IQ_PERCENT_CHANGE_EST_EPS_6MONTHS_CIQ" hidden="1">"c3731"</definedName>
    <definedName name="IQ_PERCENT_CHANGE_EST_EPS_9MONTHS" hidden="1">"c1787"</definedName>
    <definedName name="IQ_PERCENT_CHANGE_EST_EPS_9MONTHS_CIQ" hidden="1">"c3732"</definedName>
    <definedName name="IQ_PERCENT_CHANGE_EST_EPS_DAY" hidden="1">"c1782"</definedName>
    <definedName name="IQ_PERCENT_CHANGE_EST_EPS_DAY_CIQ" hidden="1">"c3727"</definedName>
    <definedName name="IQ_PERCENT_CHANGE_EST_EPS_MONTH" hidden="1">"c1784"</definedName>
    <definedName name="IQ_PERCENT_CHANGE_EST_EPS_MONTH_CIQ" hidden="1">"c3729"</definedName>
    <definedName name="IQ_PERCENT_CHANGE_EST_EPS_WEEK" hidden="1">"c1783"</definedName>
    <definedName name="IQ_PERCENT_CHANGE_EST_EPS_WEEK_CIQ" hidden="1">"c3728"</definedName>
    <definedName name="IQ_PERCENT_CHANGE_EST_FFO_12MONTHS" hidden="1">"c1828"</definedName>
    <definedName name="IQ_PERCENT_CHANGE_EST_FFO_12MONTHS_CIQ" hidden="1">"c3769"</definedName>
    <definedName name="IQ_PERCENT_CHANGE_EST_FFO_18MONTHS" hidden="1">"c1829"</definedName>
    <definedName name="IQ_PERCENT_CHANGE_EST_FFO_18MONTHS_CIQ" hidden="1">"c3770"</definedName>
    <definedName name="IQ_PERCENT_CHANGE_EST_FFO_3MONTHS" hidden="1">"c1825"</definedName>
    <definedName name="IQ_PERCENT_CHANGE_EST_FFO_3MONTHS_CIQ" hidden="1">"c3766"</definedName>
    <definedName name="IQ_PERCENT_CHANGE_EST_FFO_6MONTHS" hidden="1">"c1826"</definedName>
    <definedName name="IQ_PERCENT_CHANGE_EST_FFO_6MONTHS_CIQ" hidden="1">"c3767"</definedName>
    <definedName name="IQ_PERCENT_CHANGE_EST_FFO_9MONTHS" hidden="1">"c1827"</definedName>
    <definedName name="IQ_PERCENT_CHANGE_EST_FFO_9MONTHS_CIQ" hidden="1">"c3768"</definedName>
    <definedName name="IQ_PERCENT_CHANGE_EST_FFO_DAY" hidden="1">"c1822"</definedName>
    <definedName name="IQ_PERCENT_CHANGE_EST_FFO_DAY_CIQ" hidden="1">"c3764"</definedName>
    <definedName name="IQ_PERCENT_CHANGE_EST_FFO_MONTH" hidden="1">"c1824"</definedName>
    <definedName name="IQ_PERCENT_CHANGE_EST_FFO_MONTH_CIQ" hidden="1">"c3765"</definedName>
    <definedName name="IQ_PERCENT_CHANGE_EST_FFO_SHARE_12MONTHS" hidden="1">"c1828"</definedName>
    <definedName name="IQ_PERCENT_CHANGE_EST_FFO_SHARE_12MONTHS_CIQ" hidden="1">"c3769"</definedName>
    <definedName name="IQ_PERCENT_CHANGE_EST_FFO_SHARE_18MONTHS" hidden="1">"c1829"</definedName>
    <definedName name="IQ_PERCENT_CHANGE_EST_FFO_SHARE_18MONTHS_CIQ" hidden="1">"c3770"</definedName>
    <definedName name="IQ_PERCENT_CHANGE_EST_FFO_SHARE_3MONTHS" hidden="1">"c1825"</definedName>
    <definedName name="IQ_PERCENT_CHANGE_EST_FFO_SHARE_3MONTHS_CIQ" hidden="1">"c3766"</definedName>
    <definedName name="IQ_PERCENT_CHANGE_EST_FFO_SHARE_6MONTHS" hidden="1">"c1826"</definedName>
    <definedName name="IQ_PERCENT_CHANGE_EST_FFO_SHARE_6MONTHS_CIQ" hidden="1">"c3767"</definedName>
    <definedName name="IQ_PERCENT_CHANGE_EST_FFO_SHARE_9MONTHS" hidden="1">"c1827"</definedName>
    <definedName name="IQ_PERCENT_CHANGE_EST_FFO_SHARE_9MONTHS_CIQ" hidden="1">"c3768"</definedName>
    <definedName name="IQ_PERCENT_CHANGE_EST_FFO_SHARE_DAY" hidden="1">"c1822"</definedName>
    <definedName name="IQ_PERCENT_CHANGE_EST_FFO_SHARE_DAY_CIQ" hidden="1">"c3764"</definedName>
    <definedName name="IQ_PERCENT_CHANGE_EST_FFO_SHARE_MONTH" hidden="1">"c1824"</definedName>
    <definedName name="IQ_PERCENT_CHANGE_EST_FFO_SHARE_MONTH_CIQ" hidden="1">"c3765"</definedName>
    <definedName name="IQ_PERCENT_CHANGE_EST_FFO_SHARE_SHARE_12MONTHS" hidden="1">"c1828"</definedName>
    <definedName name="IQ_PERCENT_CHANGE_EST_FFO_SHARE_SHARE_12MONTHS_CIQ" hidden="1">"c3769"</definedName>
    <definedName name="IQ_PERCENT_CHANGE_EST_FFO_SHARE_SHARE_18MONTHS" hidden="1">"c1829"</definedName>
    <definedName name="IQ_PERCENT_CHANGE_EST_FFO_SHARE_SHARE_18MONTHS_CIQ" hidden="1">"c3770"</definedName>
    <definedName name="IQ_PERCENT_CHANGE_EST_FFO_SHARE_SHARE_3MONTHS" hidden="1">"c1825"</definedName>
    <definedName name="IQ_PERCENT_CHANGE_EST_FFO_SHARE_SHARE_3MONTHS_CIQ" hidden="1">"c3766"</definedName>
    <definedName name="IQ_PERCENT_CHANGE_EST_FFO_SHARE_SHARE_6MONTHS" hidden="1">"c1826"</definedName>
    <definedName name="IQ_PERCENT_CHANGE_EST_FFO_SHARE_SHARE_6MONTHS_CIQ" hidden="1">"c3767"</definedName>
    <definedName name="IQ_PERCENT_CHANGE_EST_FFO_SHARE_SHARE_9MONTHS" hidden="1">"c1827"</definedName>
    <definedName name="IQ_PERCENT_CHANGE_EST_FFO_SHARE_SHARE_9MONTHS_CIQ" hidden="1">"c3768"</definedName>
    <definedName name="IQ_PERCENT_CHANGE_EST_FFO_SHARE_SHARE_DAY" hidden="1">"c1822"</definedName>
    <definedName name="IQ_PERCENT_CHANGE_EST_FFO_SHARE_SHARE_DAY_CIQ" hidden="1">"c3764"</definedName>
    <definedName name="IQ_PERCENT_CHANGE_EST_FFO_SHARE_SHARE_MONTH" hidden="1">"c1824"</definedName>
    <definedName name="IQ_PERCENT_CHANGE_EST_FFO_SHARE_SHARE_MONTH_CIQ" hidden="1">"c3765"</definedName>
    <definedName name="IQ_PERCENT_CHANGE_EST_FFO_SHARE_SHARE_WEEK" hidden="1">"c1823"</definedName>
    <definedName name="IQ_PERCENT_CHANGE_EST_FFO_SHARE_SHARE_WEEK_CIQ" hidden="1">"c3795"</definedName>
    <definedName name="IQ_PERCENT_CHANGE_EST_FFO_SHARE_WEEK" hidden="1">"c1823"</definedName>
    <definedName name="IQ_PERCENT_CHANGE_EST_FFO_SHARE_WEEK_CIQ" hidden="1">"c3795"</definedName>
    <definedName name="IQ_PERCENT_CHANGE_EST_FFO_WEEK" hidden="1">"c1823"</definedName>
    <definedName name="IQ_PERCENT_CHANGE_EST_FFO_WEEK_CIQ" hidden="1">"c3795"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3MONTHS" hidden="1">"c1841"</definedName>
    <definedName name="IQ_PERCENT_CHANGE_EST_PRICE_TARGET_3MONTHS_CIQ" hidden="1">"c3780"</definedName>
    <definedName name="IQ_PERCENT_CHANGE_EST_PRICE_TARGET_6MONTHS" hidden="1">"c1842"</definedName>
    <definedName name="IQ_PERCENT_CHANGE_EST_PRICE_TARGET_6MONTHS_CIQ" hidden="1">"c3781"</definedName>
    <definedName name="IQ_PERCENT_CHANGE_EST_PRICE_TARGET_9MONTHS" hidden="1">"c1843"</definedName>
    <definedName name="IQ_PERCENT_CHANGE_EST_PRICE_TARGET_9MONTHS_CIQ" hidden="1">"c3782"</definedName>
    <definedName name="IQ_PERCENT_CHANGE_EST_PRICE_TARGET_DAY" hidden="1">"c1838"</definedName>
    <definedName name="IQ_PERCENT_CHANGE_EST_PRICE_TARGET_DAY_CIQ" hidden="1">"c3778"</definedName>
    <definedName name="IQ_PERCENT_CHANGE_EST_PRICE_TARGET_MONTH" hidden="1">"c1840"</definedName>
    <definedName name="IQ_PERCENT_CHANGE_EST_PRICE_TARGET_MONTH_CIQ" hidden="1">"c3779"</definedName>
    <definedName name="IQ_PERCENT_CHANGE_EST_PRICE_TARGET_WEEK" hidden="1">"c1839"</definedName>
    <definedName name="IQ_PERCENT_CHANGE_EST_PRICE_TARGET_WEEK_CIQ" hidden="1">"c3798"</definedName>
    <definedName name="IQ_PERCENT_CHANGE_EST_RECO_12MONTHS" hidden="1">"c1836"</definedName>
    <definedName name="IQ_PERCENT_CHANGE_EST_RECO_12MONTHS_CIQ" hidden="1">"c3776"</definedName>
    <definedName name="IQ_PERCENT_CHANGE_EST_RECO_18MONTHS" hidden="1">"c1837"</definedName>
    <definedName name="IQ_PERCENT_CHANGE_EST_RECO_18MONTHS_CIQ" hidden="1">"c3777"</definedName>
    <definedName name="IQ_PERCENT_CHANGE_EST_RECO_3MONTHS" hidden="1">"c1833"</definedName>
    <definedName name="IQ_PERCENT_CHANGE_EST_RECO_3MONTHS_CIQ" hidden="1">"c3773"</definedName>
    <definedName name="IQ_PERCENT_CHANGE_EST_RECO_6MONTHS" hidden="1">"c1834"</definedName>
    <definedName name="IQ_PERCENT_CHANGE_EST_RECO_6MONTHS_CIQ" hidden="1">"c3774"</definedName>
    <definedName name="IQ_PERCENT_CHANGE_EST_RECO_9MONTHS" hidden="1">"c1835"</definedName>
    <definedName name="IQ_PERCENT_CHANGE_EST_RECO_9MONTHS_CIQ" hidden="1">"c3775"</definedName>
    <definedName name="IQ_PERCENT_CHANGE_EST_RECO_DAY" hidden="1">"c1830"</definedName>
    <definedName name="IQ_PERCENT_CHANGE_EST_RECO_DAY_CIQ" hidden="1">"c3771"</definedName>
    <definedName name="IQ_PERCENT_CHANGE_EST_RECO_MONTH" hidden="1">"c1832"</definedName>
    <definedName name="IQ_PERCENT_CHANGE_EST_RECO_MONTH_CIQ" hidden="1">"c3772"</definedName>
    <definedName name="IQ_PERCENT_CHANGE_EST_RECO_WEEK" hidden="1">"c1831"</definedName>
    <definedName name="IQ_PERCENT_CHANGE_EST_RECO_WEEK_CIQ" hidden="1">"c3796"</definedName>
    <definedName name="IQ_PERCENT_CHANGE_EST_REV_12MONTHS" hidden="1">"c1796"</definedName>
    <definedName name="IQ_PERCENT_CHANGE_EST_REV_12MONTHS_CIQ" hidden="1">"c3741"</definedName>
    <definedName name="IQ_PERCENT_CHANGE_EST_REV_18MONTHS" hidden="1">"c1797"</definedName>
    <definedName name="IQ_PERCENT_CHANGE_EST_REV_18MONTHS_CIQ" hidden="1">"c3742"</definedName>
    <definedName name="IQ_PERCENT_CHANGE_EST_REV_3MONTHS" hidden="1">"c1793"</definedName>
    <definedName name="IQ_PERCENT_CHANGE_EST_REV_3MONTHS_CIQ" hidden="1">"c3738"</definedName>
    <definedName name="IQ_PERCENT_CHANGE_EST_REV_6MONTHS" hidden="1">"c1794"</definedName>
    <definedName name="IQ_PERCENT_CHANGE_EST_REV_6MONTHS_CIQ" hidden="1">"c3739"</definedName>
    <definedName name="IQ_PERCENT_CHANGE_EST_REV_9MONTHS" hidden="1">"c1795"</definedName>
    <definedName name="IQ_PERCENT_CHANGE_EST_REV_9MONTHS_CIQ" hidden="1">"c3740"</definedName>
    <definedName name="IQ_PERCENT_CHANGE_EST_REV_DAY" hidden="1">"c1790"</definedName>
    <definedName name="IQ_PERCENT_CHANGE_EST_REV_DAY_CIQ" hidden="1">"c3735"</definedName>
    <definedName name="IQ_PERCENT_CHANGE_EST_REV_MONTH" hidden="1">"c1792"</definedName>
    <definedName name="IQ_PERCENT_CHANGE_EST_REV_MONTH_CIQ" hidden="1">"c3737"</definedName>
    <definedName name="IQ_PERCENT_CHANGE_EST_REV_WEEK" hidden="1">"c1791"</definedName>
    <definedName name="IQ_PERCENT_CHANGE_EST_REV_WEEK_CIQ" hidden="1">"c3736"</definedName>
    <definedName name="IQ_PERCENT_INSURED_FDIC" hidden="1">"c6374"</definedName>
    <definedName name="IQ_PERCENTAGE_RENT" hidden="1">"c16018"</definedName>
    <definedName name="IQ_PERCENTAGE_RENT_RENTAL_REVENUE" hidden="1">"c16063"</definedName>
    <definedName name="IQ_PERFORMANCE_LOC_FOREIGN_GUARANTEES_FFIEC" hidden="1">"c13251"</definedName>
    <definedName name="IQ_PERIODDATE" localSheetId="12" hidden="1">"c1414"</definedName>
    <definedName name="IQ_PERIODDATE" localSheetId="7" hidden="1">"c1414"</definedName>
    <definedName name="IQ_PERIODDATE" hidden="1">"c1"</definedName>
    <definedName name="IQ_PERIODDATE_AP" hidden="1">"c11745"</definedName>
    <definedName name="IQ_PERIODDATE_BS" hidden="1">"c1032"</definedName>
    <definedName name="IQ_PERIODDATE_CF" hidden="1">"c1033"</definedName>
    <definedName name="IQ_PERIODDATE_FDIC" hidden="1">"c13646"</definedName>
    <definedName name="IQ_PERIODDATE_FFIEC" hidden="1">"c13645"</definedName>
    <definedName name="IQ_PERIODDATE_IS" hidden="1">"c1034"</definedName>
    <definedName name="IQ_PERIODDATE_THRIFT" hidden="1">"c25897"</definedName>
    <definedName name="IQ_PERIODLENGTH_AP" hidden="1">"c11746"</definedName>
    <definedName name="IQ_PERIODLENGTH_CF" hidden="1">"c1502"</definedName>
    <definedName name="IQ_PERIODLENGTH_IS" hidden="1">"c1503"</definedName>
    <definedName name="IQ_PERMANENT_1_4_DWELLING_UNITS_ALL_OTHER_SECURED_FIRST_LIENS_THRIFT" hidden="1">"c24844"</definedName>
    <definedName name="IQ_PERMANENT_1_4_DWELLING_UNITS_ALL_OTHER_SECURED_JUNIOR_LIENS_THRIFT" hidden="1">"c24845"</definedName>
    <definedName name="IQ_PERMANENT_1_4_DWELLING_UNITS_REVOLVING_OPEN_END_LOANS_THRIFT" hidden="1">"c24843"</definedName>
    <definedName name="IQ_PERMANENT_LAND_THRIFT" hidden="1">"c24848"</definedName>
    <definedName name="IQ_PERMANENT_LOANS_SECURED_1_4_DWELLING_UNITS_FORECLOSED_DURING_QUARTER_THRIFT" hidden="1">"c25232"</definedName>
    <definedName name="IQ_PERMANENT_LOANS_SECURED_LAND_FORECLOSED_DURING_QUARTER_THRIFT" hidden="1">"c25235"</definedName>
    <definedName name="IQ_PERMANENT_LOANS_SECURED_MULTIFAMILY_5_MORE_DWELLING_UNITS_FORECLOSED_DURING_QUARTER_THRIFT" hidden="1">"c25233"</definedName>
    <definedName name="IQ_PERMANENT_LOANS_SECURED_NONRES_EXCEPT_LAND_FORECLOSED_DURING_QUARTER_THRIFT" hidden="1">"c25234"</definedName>
    <definedName name="IQ_PERMANENT_MORTGAGE_LOANS_THRIFT" hidden="1">"c24842"</definedName>
    <definedName name="IQ_PERMANENT_MULTIFAMILY_5_MORE_DWELLING_UNITS_THRIFT" hidden="1">"c24846"</definedName>
    <definedName name="IQ_PERMANENT_NONRES_PROPERTY_EXCEPT_LAND_THRIFT" hidden="1">"c24847"</definedName>
    <definedName name="IQ_PERPETUAL_PREF_STOCK_THRIFT" hidden="1">"c24914"</definedName>
    <definedName name="IQ_PERSON_INCOME" hidden="1">"c20954"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CURRENT_TAXES" hidden="1">"c20956"</definedName>
    <definedName name="IQ_PERSONAL_DISPOSABLE_INCOME" hidden="1">"c20957"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ASSETS" hidden="1">"c20958"</definedName>
    <definedName name="IQ_PERSONAL_INCOME_ASSETS_DIVIDEND" hidden="1">"c20959"</definedName>
    <definedName name="IQ_PERSONAL_INCOME_ASSETS_INTEREST" hidden="1">"c20960"</definedName>
    <definedName name="IQ_PERSONAL_INCOME_CHAINED_DOLLARS" hidden="1">"c20961"</definedName>
    <definedName name="IQ_PERSONAL_INCOME_COMPENSATION" hidden="1">"c20962"</definedName>
    <definedName name="IQ_PERSONAL_INCOME_EMPLOYER_GOVT_INSURANCE_CONTRIBUTION" hidden="1">"c20963"</definedName>
    <definedName name="IQ_PERSONAL_INCOME_EMPLOYER_PENSION_CONTRIBUTION" hidden="1">"c20964"</definedName>
    <definedName name="IQ_PERSONAL_INCOME_EX_TRANSFER_RECEIPTS" hidden="1">"c20965"</definedName>
    <definedName name="IQ_PERSONAL_INCOME_FC" hidden="1">"c7823"</definedName>
    <definedName name="IQ_PERSONAL_INCOME_GOVT_CONTRIBUTION_SOCIAL_INS" hidden="1">"c20966"</definedName>
    <definedName name="IQ_PERSONAL_INCOME_GOVT_SOCIAL_BENEFITS" hidden="1">"c20967"</definedName>
    <definedName name="IQ_PERSONAL_INCOME_GOVT_SOCIAL_BENEFITS_FAMILY" hidden="1">"c20968"</definedName>
    <definedName name="IQ_PERSONAL_INCOME_GOVT_SOCIAL_BENEFITS_OTHER" hidden="1">"c20969"</definedName>
    <definedName name="IQ_PERSONAL_INCOME_GOVT_SOCIAL_BENEFITS_UNEMPLOYMENT" hidden="1">"c20970"</definedName>
    <definedName name="IQ_PERSONAL_INCOME_GOVT_SOCIAL_BENEFITS_VETERANS" hidden="1">"c20971"</definedName>
    <definedName name="IQ_PERSONAL_INCOME_GOVT_SOCIAL_BENEFITS_WELFARE" hidden="1">"c20972"</definedName>
    <definedName name="IQ_PERSONAL_INCOME_PCT_CHANGE" hidden="1">"c20973"</definedName>
    <definedName name="IQ_PERSONAL_INCOME_PCT_CHANGE_CHAINED_DOLLARS" hidden="1">"c20974"</definedName>
    <definedName name="IQ_PERSONAL_INCOME_PER_CAPITA" hidden="1">"c20975"</definedName>
    <definedName name="IQ_PERSONAL_INCOME_PER_CAPITA_CHAINED_DOLLARS" hidden="1">"c20976"</definedName>
    <definedName name="IQ_PERSONAL_INCOME_POP" hidden="1">"c7163"</definedName>
    <definedName name="IQ_PERSONAL_INCOME_POP_FC" hidden="1">"c8043"</definedName>
    <definedName name="IQ_PERSONAL_INCOME_PROPIETOR" hidden="1">"c20977"</definedName>
    <definedName name="IQ_PERSONAL_INCOME_PROPIETOR_FARM" hidden="1">"c20978"</definedName>
    <definedName name="IQ_PERSONAL_INCOME_PROPIETOR_NONFARM" hidden="1">"c20979"</definedName>
    <definedName name="IQ_PERSONAL_INCOME_RENTAL" hidden="1">"c20980"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TRANSFER_RECEIPTS" hidden="1">"c20981"</definedName>
    <definedName name="IQ_PERSONAL_INCOME_TRANSFER_RECEIPTS_OTHER" hidden="1">"c20982"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WAGE_SUPPLEMENTS" hidden="1">"c20983"</definedName>
    <definedName name="IQ_PERSONAL_INCOME_WAGES" hidden="1">"c20984"</definedName>
    <definedName name="IQ_PERSONAL_INCOME_WAGES_GOVT" hidden="1">"c20985"</definedName>
    <definedName name="IQ_PERSONAL_INCOME_WAGES_PRIVATE_INDUSTRY" hidden="1">"c20986"</definedName>
    <definedName name="IQ_PERSONAL_INCOME_YOY" hidden="1">"c7383"</definedName>
    <definedName name="IQ_PERSONAL_INCOME_YOY_FC" hidden="1">"c8263"</definedName>
    <definedName name="IQ_PERSONAL_INTEREST_PAYMENTS" hidden="1">"c20987"</definedName>
    <definedName name="IQ_PERSONAL_OUTLAYS" hidden="1">"c20988"</definedName>
    <definedName name="IQ_PERSONAL_SAVINGS" hidden="1">"c20989"</definedName>
    <definedName name="IQ_PERSONAL_SAVINGS_PCT_INCOME" hidden="1">"c20990"</definedName>
    <definedName name="IQ_PERSONAL_TRANSFER_PAYMENTS" hidden="1">"c20991"</definedName>
    <definedName name="IQ_PERSONAL_TRANSFER_PAYMENTS_GOVT" hidden="1">"c20992"</definedName>
    <definedName name="IQ_PERSONAL_TRANSFER_PAYMENTS_WORLD" hidden="1">"c20993"</definedName>
    <definedName name="IQ_PERSONAL_TRUST_AGENCY_ACCOUNTS_GROSS_LOSSES_MANAGED_ACCOUNTS_THRIFT" hidden="1">"c25461"</definedName>
    <definedName name="IQ_PERSONAL_TRUST_AGENCY_ACCOUNTS_GROSS_LOSSES_NONMANAGED_ACCOUNTS_THRIFT" hidden="1">"c25466"</definedName>
    <definedName name="IQ_PERSONAL_TRUST_AGENCY_ACCOUNTS_INC_THRIFT" hidden="1">"c24801"</definedName>
    <definedName name="IQ_PERSONAL_TRUST_AGENCY_ACCOUNTS_MANAGED_ASSETS_THRIFT" hidden="1">"c25347"</definedName>
    <definedName name="IQ_PERSONAL_TRUST_AGENCY_ACCOUNTS_NONMANAGED_ASSETS_THRIFT" hidden="1">"c25368"</definedName>
    <definedName name="IQ_PERSONAL_TRUST_AGENCY_ACCOUNTS_NUMBER_MANAGED_ACCOUNTS_THRIFT" hidden="1">"c25358"</definedName>
    <definedName name="IQ_PERSONAL_TRUST_AGENCY_ACCOUNTS_NUMBER_NONMANAGED_ACCOUNTS_THRIFT" hidden="1">"c25380"</definedName>
    <definedName name="IQ_PERSONAL_TRUST_AGENCY_ACCOUNTS_RECOVERIES_THRIFT" hidden="1">"c25471"</definedName>
    <definedName name="IQ_PERSONNEL_EXP_ADJUSTED_OPERATING_INCOME_THRIFT" hidden="1">"c25685"</definedName>
    <definedName name="IQ_PERSONNEL_EXP_AVG_ASSETS_FFIEC" hidden="1">"c13371"</definedName>
    <definedName name="IQ_PERSONNEL_EXP_AVG_ASSETS_THRIFT" hidden="1">"c25662"</definedName>
    <definedName name="IQ_PERSONNEL_EXP_OPERATING_INC_FFIEC" hidden="1">"c13379"</definedName>
    <definedName name="IQ_PERTYPE" localSheetId="12" hidden="1">"c1611"</definedName>
    <definedName name="IQ_PERTYPE" localSheetId="7" hidden="1">"c1611"</definedName>
    <definedName name="IQ_PERTYPE" hidden="1">"c244"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_APPROVED_DURING_PERIOD" hidden="1">"c12750"</definedName>
    <definedName name="IQ_PHARMBIO_NUMBER_PROD__CLINICAL_DEV" hidden="1">"c12745"</definedName>
    <definedName name="IQ_PHARMBIO_NUMBER_PROD__LAUNCHED_DURING_PERIOD" hidden="1">"c12751"</definedName>
    <definedName name="IQ_PHARMBIO_NUMBER_PROD__PHASE_I" hidden="1">"c12746"</definedName>
    <definedName name="IQ_PHARMBIO_NUMBER_PROD__PHASE_II" hidden="1">"c12747"</definedName>
    <definedName name="IQ_PHARMBIO_NUMBER_PROD__PHASE_III" hidden="1">"c12748"</definedName>
    <definedName name="IQ_PHARMBIO_NUMBER_PROD__PRE_CLINICAL_TRIALS" hidden="1">"c12744"</definedName>
    <definedName name="IQ_PHARMBIO_NUMBER_PROD__PRE_REGISTRATION" hidden="1">"c12749"</definedName>
    <definedName name="IQ_PHARMBIO_NUMBER_PROD__RESEARCH_DEV" hidden="1">"c12743"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LOANS_THRIFT" hidden="1">"c24936"</definedName>
    <definedName name="IQ_PLEDGED_SEC_INVEST_SECURITIES_FFIEC" hidden="1">"c13467"</definedName>
    <definedName name="IQ_PLEDGED_SECURITIES_FDIC" hidden="1">"c6401"</definedName>
    <definedName name="IQ_PLEDGED_SECURITIES_FFIEC" hidden="1">"c24743"</definedName>
    <definedName name="IQ_PLEDGED_TRADING_ASSETS_THRIFT" hidden="1">"c24937"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L_SECURED_LAND_DUE_30_89_THRIFT" hidden="1">"c25246"</definedName>
    <definedName name="IQ_PML_SECURED_LAND_DUE_90_THRIFT" hidden="1">"c25267"</definedName>
    <definedName name="IQ_PML_SECURED_LAND_NON_ACCRUAL_THRIFT" hidden="1">"c25288"</definedName>
    <definedName name="IQ_PML_SECURED_MULTIFAMILY_5_MORE_DWELLING_UNITS_DUE_30_89_THRIFT" hidden="1">"c25244"</definedName>
    <definedName name="IQ_PML_SECURED_MULTIFAMILY_5_MORE_DWELLING_UNITS_DUE_90_THRIFT" hidden="1">"c25265"</definedName>
    <definedName name="IQ_PML_SECURED_MULTIFAMILY_5_MORE_DWELLING_UNITS_NON_ACCRUAL_THRIFT" hidden="1">"c25286"</definedName>
    <definedName name="IQ_PML_SECURED_NONRES_PROPERTY_EXCEPT_LAND_DUE_30_89_THRIFT" hidden="1">"c25245"</definedName>
    <definedName name="IQ_PML_SECURED_NONRES_PROPERTY_EXCEPT_LAND_DUE_90_THRIFT" hidden="1">"c25266"</definedName>
    <definedName name="IQ_PML_SECURED_NONRES_PROPERTY_EXCEPT_LAND_NON_ACCRUAL_THRIFT" hidden="1">"c25287"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localSheetId="12" hidden="1">"c1612"</definedName>
    <definedName name="IQ_POLICY_LIAB" localSheetId="7" hidden="1">"c1612"</definedName>
    <definedName name="IQ_POLICY_LIAB" hidden="1">"c291"</definedName>
    <definedName name="IQ_POLICY_LOANS" hidden="1">"c1038"</definedName>
    <definedName name="IQ_POLICYHOLDER_BENEFITS_LH_FFIEC" hidden="1">"c13107"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PULATION" hidden="1">"c20994"</definedName>
    <definedName name="IQ_POPULATION_FC" hidden="1">"c20995"</definedName>
    <definedName name="IQ_PORTFOLIO_INVESTMENT_NET" hidden="1">"c20996"</definedName>
    <definedName name="IQ_PORTFOLIO_SHARES" hidden="1">"c19116"</definedName>
    <definedName name="IQ_POSITIVE_FAIR_VALUE_DERIVATIVES_BENEFICIARY_FFIEC" hidden="1">"c13123"</definedName>
    <definedName name="IQ_POSITIVE_FAIR_VALUE_DERIVATIVES_GUARANTOR_FFIEC" hidden="1">"c13116"</definedName>
    <definedName name="IQ_POST_RETIRE_EXP" hidden="1">"c1039"</definedName>
    <definedName name="IQ_POSTAGE_FFIEC" hidden="1">"c13051"</definedName>
    <definedName name="IQ_POSTPAID_CHURN" hidden="1">"c2121"</definedName>
    <definedName name="IQ_POSTPAID_SUBS" hidden="1">"c2118"</definedName>
    <definedName name="IQ_POTENTIAL_UPSIDE" hidden="1">"c1855"</definedName>
    <definedName name="IQ_POTENTIAL_UPSIDE_CIQ" hidden="1">"c3799"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ACT_OR_EST" hidden="1">"c2221"</definedName>
    <definedName name="IQ_PRE_TAX_ACT_OR_EST_CIQ" hidden="1">"c5064"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localSheetId="12" hidden="1">"c1461"</definedName>
    <definedName name="IQ_PREF_DIVID" localSheetId="7" hidden="1">"c1461"</definedName>
    <definedName name="IQ_PREF_DIVID" hidden="1">"c40"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CM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CM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CM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localSheetId="12" hidden="1">"c1416"</definedName>
    <definedName name="IQ_PREF_STOCK" localSheetId="7" hidden="1">"c1416"</definedName>
    <definedName name="IQ_PREF_STOCK" hidden="1">"c107"</definedName>
    <definedName name="IQ_PREF_STOCK_FFIEC" hidden="1">"c12875"</definedName>
    <definedName name="IQ_PREF_TOT" localSheetId="12" hidden="1">"c1415"</definedName>
    <definedName name="IQ_PREF_TOT" localSheetId="7" hidden="1">"c1415"</definedName>
    <definedName name="IQ_PREF_TOT" hidden="1">"c294"</definedName>
    <definedName name="IQ_PREFERRED_DEPOSITS_FFIEC" hidden="1">"c15312"</definedName>
    <definedName name="IQ_PREFERRED_DEPOSITS_THRIFT" hidden="1">"c24996"</definedName>
    <definedName name="IQ_PREFERRED_FDIC" hidden="1">"c6349"</definedName>
    <definedName name="IQ_PREFERRED_LIST" hidden="1">"c13506"</definedName>
    <definedName name="IQ_PREFERRED_STOCK_DIVIDENDS_DECLARED_SAVINGS_ASSOCIATION_THRIFT" hidden="1">"c25010"</definedName>
    <definedName name="IQ_PREMISES_EQUIPMENT_FDIC" hidden="1">"c6577"</definedName>
    <definedName name="IQ_PREMISES_FIXED_ASSETS_CAP_LEASES_FFIEC" hidden="1">"c12830"</definedName>
    <definedName name="IQ_PREMIUM_INSURANCE_CREDIT_FFIEC" hidden="1">"c13070"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localSheetId="12" hidden="1">"c1418"</definedName>
    <definedName name="IQ_PREPAID_EXPEN" localSheetId="7" hidden="1">"c1418"</definedName>
    <definedName name="IQ_PREPAID_EXPEN" hidden="1">"c81"</definedName>
    <definedName name="IQ_PREPAID_SUBS" hidden="1">"c2117"</definedName>
    <definedName name="IQ_PRESIDENT_ID" hidden="1">"c15216"</definedName>
    <definedName name="IQ_PRESIDENT_NAME" hidden="1">"c15215"</definedName>
    <definedName name="IQ_PRETAX_GW_INC_DET_EST_CIQ" hidden="1">"c12116"</definedName>
    <definedName name="IQ_PRETAX_GW_INC_DET_EST_CURRENCY_CIQ" hidden="1">"c12507"</definedName>
    <definedName name="IQ_PRETAX_GW_INC_DET_EST_DATE_CIQ" hidden="1">"c12262"</definedName>
    <definedName name="IQ_PRETAX_GW_INC_DET_EST_INCL_CIQ" hidden="1">"c12390"</definedName>
    <definedName name="IQ_PRETAX_GW_INC_DET_EST_NOTE" hidden="1">"c17536"</definedName>
    <definedName name="IQ_PRETAX_GW_INC_DET_EST_NOTE_CIQ" hidden="1">"c17489"</definedName>
    <definedName name="IQ_PRETAX_GW_INC_DET_EST_ORIGIN_CIQ" hidden="1">"c12631"</definedName>
    <definedName name="IQ_PRETAX_GW_INC_EST" hidden="1">"c1702"</definedName>
    <definedName name="IQ_PRETAX_GW_INC_EST_CIQ" hidden="1">"c4688"</definedName>
    <definedName name="IQ_PRETAX_GW_INC_EST_DOWN_2MONTH" hidden="1">"c16417"</definedName>
    <definedName name="IQ_PRETAX_GW_INC_EST_DOWN_2MONTH_CIQ" hidden="1">"c16705"</definedName>
    <definedName name="IQ_PRETAX_GW_INC_EST_DOWN_3MONTH" hidden="1">"c16421"</definedName>
    <definedName name="IQ_PRETAX_GW_INC_EST_DOWN_3MONTH_CIQ" hidden="1">"c16709"</definedName>
    <definedName name="IQ_PRETAX_GW_INC_EST_DOWN_MONTH" hidden="1">"c16413"</definedName>
    <definedName name="IQ_PRETAX_GW_INC_EST_DOWN_MONTH_CIQ" hidden="1">"c16701"</definedName>
    <definedName name="IQ_PRETAX_GW_INC_EST_NOTE" hidden="1">"c17513"</definedName>
    <definedName name="IQ_PRETAX_GW_INC_EST_NOTE_CIQ" hidden="1">"c17466"</definedName>
    <definedName name="IQ_PRETAX_GW_INC_EST_NUM_ANALYSTS_2MONTH" hidden="1">"c16415"</definedName>
    <definedName name="IQ_PRETAX_GW_INC_EST_NUM_ANALYSTS_2MONTH_CIQ" hidden="1">"c16703"</definedName>
    <definedName name="IQ_PRETAX_GW_INC_EST_NUM_ANALYSTS_3MONTH" hidden="1">"c16419"</definedName>
    <definedName name="IQ_PRETAX_GW_INC_EST_NUM_ANALYSTS_3MONTH_CIQ" hidden="1">"c16707"</definedName>
    <definedName name="IQ_PRETAX_GW_INC_EST_NUM_ANALYSTS_MONTH" hidden="1">"c16411"</definedName>
    <definedName name="IQ_PRETAX_GW_INC_EST_NUM_ANALYSTS_MONTH_CIQ" hidden="1">"c16699"</definedName>
    <definedName name="IQ_PRETAX_GW_INC_EST_TOTAL_REVISED_2MONTH" hidden="1">"c16418"</definedName>
    <definedName name="IQ_PRETAX_GW_INC_EST_TOTAL_REVISED_2MONTH_CIQ" hidden="1">"c16706"</definedName>
    <definedName name="IQ_PRETAX_GW_INC_EST_TOTAL_REVISED_3MONTH" hidden="1">"c16422"</definedName>
    <definedName name="IQ_PRETAX_GW_INC_EST_TOTAL_REVISED_3MONTH_CIQ" hidden="1">"c16710"</definedName>
    <definedName name="IQ_PRETAX_GW_INC_EST_TOTAL_REVISED_MONTH" hidden="1">"c16414"</definedName>
    <definedName name="IQ_PRETAX_GW_INC_EST_TOTAL_REVISED_MONTH_CIQ" hidden="1">"c16702"</definedName>
    <definedName name="IQ_PRETAX_GW_INC_EST_UP_2MONTH" hidden="1">"c16416"</definedName>
    <definedName name="IQ_PRETAX_GW_INC_EST_UP_2MONTH_CIQ" hidden="1">"c16704"</definedName>
    <definedName name="IQ_PRETAX_GW_INC_EST_UP_3MONTH" hidden="1">"c16420"</definedName>
    <definedName name="IQ_PRETAX_GW_INC_EST_UP_3MONTH_CIQ" hidden="1">"c16708"</definedName>
    <definedName name="IQ_PRETAX_GW_INC_EST_UP_MONTH" hidden="1">"c16412"</definedName>
    <definedName name="IQ_PRETAX_GW_INC_EST_UP_MONTH_CIQ" hidden="1">"c16700"</definedName>
    <definedName name="IQ_PRETAX_GW_INC_HIGH_EST" hidden="1">"c1704"</definedName>
    <definedName name="IQ_PRETAX_GW_INC_HIGH_EST_CIQ" hidden="1">"c4690"</definedName>
    <definedName name="IQ_PRETAX_GW_INC_LOW_EST" hidden="1">"c1705"</definedName>
    <definedName name="IQ_PRETAX_GW_INC_LOW_EST_CIQ" hidden="1">"c4691"</definedName>
    <definedName name="IQ_PRETAX_GW_INC_MEDIAN_EST" hidden="1">"c1703"</definedName>
    <definedName name="IQ_PRETAX_GW_INC_MEDIAN_EST_CIQ" hidden="1">"c4689"</definedName>
    <definedName name="IQ_PRETAX_GW_INC_NUM_EST" hidden="1">"c1706"</definedName>
    <definedName name="IQ_PRETAX_GW_INC_NUM_EST_CIQ" hidden="1">"c4692"</definedName>
    <definedName name="IQ_PRETAX_GW_INC_STDDEV_EST" hidden="1">"c1707"</definedName>
    <definedName name="IQ_PRETAX_GW_INC_STDDEV_EST_CIQ" hidden="1">"c4693"</definedName>
    <definedName name="IQ_PRETAX_INC_AFTER_CAP_ALLOCATION_FOREIGN_FFIEC" hidden="1">"c15390"</definedName>
    <definedName name="IQ_PRETAX_INC_BEFORE_CAP_ALLOCATION_FOREIGN_FFIEC" hidden="1">"c15388"</definedName>
    <definedName name="IQ_PRETAX_INC_DET_EST" hidden="1">"c12055"</definedName>
    <definedName name="IQ_PRETAX_INC_DET_EST_CIQ" hidden="1">"c12115"</definedName>
    <definedName name="IQ_PRETAX_INC_DET_EST_CURRENCY" hidden="1">"c12462"</definedName>
    <definedName name="IQ_PRETAX_INC_DET_EST_CURRENCY_CIQ" hidden="1">"c12506"</definedName>
    <definedName name="IQ_PRETAX_INC_DET_EST_DATE" hidden="1">"c12208"</definedName>
    <definedName name="IQ_PRETAX_INC_DET_EST_DATE_CIQ" hidden="1">"c12261"</definedName>
    <definedName name="IQ_PRETAX_INC_DET_EST_INCL" hidden="1">"c12345"</definedName>
    <definedName name="IQ_PRETAX_INC_DET_EST_INCL_CIQ" hidden="1">"c12389"</definedName>
    <definedName name="IQ_PRETAX_INC_DET_EST_NOTE" hidden="1">"c17534"</definedName>
    <definedName name="IQ_PRETAX_INC_DET_EST_NOTE_CIQ" hidden="1">"c17487"</definedName>
    <definedName name="IQ_PRETAX_INC_DET_EST_ORIGIN" hidden="1">"c12771"</definedName>
    <definedName name="IQ_PRETAX_INC_DET_EST_ORIGIN_CIQ" hidden="1">"c12630"</definedName>
    <definedName name="IQ_PRETAX_INC_EST" hidden="1">"c1695"</definedName>
    <definedName name="IQ_PRETAX_INC_EST_CIQ" hidden="1">"c4681"</definedName>
    <definedName name="IQ_PRETAX_INC_EST_DOWN_2MONTH" hidden="1">"c16393"</definedName>
    <definedName name="IQ_PRETAX_INC_EST_DOWN_2MONTH_CIQ" hidden="1">"c16681"</definedName>
    <definedName name="IQ_PRETAX_INC_EST_DOWN_3MONTH" hidden="1">"c16397"</definedName>
    <definedName name="IQ_PRETAX_INC_EST_DOWN_3MONTH_CIQ" hidden="1">"c16685"</definedName>
    <definedName name="IQ_PRETAX_INC_EST_DOWN_MONTH" hidden="1">"c16389"</definedName>
    <definedName name="IQ_PRETAX_INC_EST_DOWN_MONTH_CIQ" hidden="1">"c16677"</definedName>
    <definedName name="IQ_PRETAX_INC_EST_NOTE" hidden="1">"c17511"</definedName>
    <definedName name="IQ_PRETAX_INC_EST_NOTE_CIQ" hidden="1">"c17464"</definedName>
    <definedName name="IQ_PRETAX_INC_EST_NUM_ANALYSTS_2MONTH" hidden="1">"c16391"</definedName>
    <definedName name="IQ_PRETAX_INC_EST_NUM_ANALYSTS_2MONTH_CIQ" hidden="1">"c16679"</definedName>
    <definedName name="IQ_PRETAX_INC_EST_NUM_ANALYSTS_3MONTH" hidden="1">"c16395"</definedName>
    <definedName name="IQ_PRETAX_INC_EST_NUM_ANALYSTS_3MONTH_CIQ" hidden="1">"c16683"</definedName>
    <definedName name="IQ_PRETAX_INC_EST_NUM_ANALYSTS_MONTH" hidden="1">"c16387"</definedName>
    <definedName name="IQ_PRETAX_INC_EST_NUM_ANALYSTS_MONTH_CIQ" hidden="1">"c16675"</definedName>
    <definedName name="IQ_PRETAX_INC_EST_TOTAL_REVISED_2MONTH" hidden="1">"c16394"</definedName>
    <definedName name="IQ_PRETAX_INC_EST_TOTAL_REVISED_2MONTH_CIQ" hidden="1">"c16682"</definedName>
    <definedName name="IQ_PRETAX_INC_EST_TOTAL_REVISED_3MONTH" hidden="1">"c16398"</definedName>
    <definedName name="IQ_PRETAX_INC_EST_TOTAL_REVISED_3MONTH_CIQ" hidden="1">"c16686"</definedName>
    <definedName name="IQ_PRETAX_INC_EST_TOTAL_REVISED_MONTH" hidden="1">"c16390"</definedName>
    <definedName name="IQ_PRETAX_INC_EST_TOTAL_REVISED_MONTH_CIQ" hidden="1">"c16678"</definedName>
    <definedName name="IQ_PRETAX_INC_EST_UP_2MONTH" hidden="1">"c16392"</definedName>
    <definedName name="IQ_PRETAX_INC_EST_UP_2MONTH_CIQ" hidden="1">"c16680"</definedName>
    <definedName name="IQ_PRETAX_INC_EST_UP_3MONTH" hidden="1">"c16396"</definedName>
    <definedName name="IQ_PRETAX_INC_EST_UP_3MONTH_CIQ" hidden="1">"c16684"</definedName>
    <definedName name="IQ_PRETAX_INC_EST_UP_MONTH" hidden="1">"c16388"</definedName>
    <definedName name="IQ_PRETAX_INC_EST_UP_MONTH_CIQ" hidden="1">"c16676"</definedName>
    <definedName name="IQ_PRETAX_INC_HIGH_EST" hidden="1">"c1697"</definedName>
    <definedName name="IQ_PRETAX_INC_HIGH_EST_CIQ" hidden="1">"c4683"</definedName>
    <definedName name="IQ_PRETAX_INC_LOW_EST" hidden="1">"c1698"</definedName>
    <definedName name="IQ_PRETAX_INC_LOW_EST_CIQ" hidden="1">"c4684"</definedName>
    <definedName name="IQ_PRETAX_INC_MEDIAN_EST" hidden="1">"c1696"</definedName>
    <definedName name="IQ_PRETAX_INC_MEDIAN_EST_CIQ" hidden="1">"c4682"</definedName>
    <definedName name="IQ_PRETAX_INC_NUM_EST" hidden="1">"c1699"</definedName>
    <definedName name="IQ_PRETAX_INC_NUM_EST_CIQ" hidden="1">"c4685"</definedName>
    <definedName name="IQ_PRETAX_INC_STDDEV_EST" hidden="1">"c1700"</definedName>
    <definedName name="IQ_PRETAX_INC_STDDEV_EST_CIQ" hidden="1">"c4686"</definedName>
    <definedName name="IQ_PRETAX_OPERATING_INC_AVG_ASSETS_FFIEC" hidden="1">"c13365"</definedName>
    <definedName name="IQ_PRETAX_REPORT_INC_DET_EST_CIQ" hidden="1">"c12117"</definedName>
    <definedName name="IQ_PRETAX_REPORT_INC_DET_EST_CURRENCY_CIQ" hidden="1">"c12508"</definedName>
    <definedName name="IQ_PRETAX_REPORT_INC_DET_EST_DATE_CIQ" hidden="1">"c12263"</definedName>
    <definedName name="IQ_PRETAX_REPORT_INC_DET_EST_INCL_CIQ" hidden="1">"c12391"</definedName>
    <definedName name="IQ_PRETAX_REPORT_INC_DET_EST_NOTE" hidden="1">"c17535"</definedName>
    <definedName name="IQ_PRETAX_REPORT_INC_DET_EST_NOTE_CIQ" hidden="1">"c17488"</definedName>
    <definedName name="IQ_PRETAX_REPORT_INC_DET_EST_ORIGIN_CIQ" hidden="1">"c12719"</definedName>
    <definedName name="IQ_PRETAX_REPORT_INC_EST" hidden="1">"c1709"</definedName>
    <definedName name="IQ_PRETAX_REPORT_INC_EST_CIQ" hidden="1">"c4695"</definedName>
    <definedName name="IQ_PRETAX_REPORT_INC_EST_DOWN_2MONTH" hidden="1">"c16405"</definedName>
    <definedName name="IQ_PRETAX_REPORT_INC_EST_DOWN_2MONTH_CIQ" hidden="1">"c16693"</definedName>
    <definedName name="IQ_PRETAX_REPORT_INC_EST_DOWN_3MONTH" hidden="1">"c16409"</definedName>
    <definedName name="IQ_PRETAX_REPORT_INC_EST_DOWN_3MONTH_CIQ" hidden="1">"c16697"</definedName>
    <definedName name="IQ_PRETAX_REPORT_INC_EST_DOWN_MONTH" hidden="1">"c16401"</definedName>
    <definedName name="IQ_PRETAX_REPORT_INC_EST_DOWN_MONTH_CIQ" hidden="1">"c16689"</definedName>
    <definedName name="IQ_PRETAX_REPORT_INC_EST_NOTE" hidden="1">"c17512"</definedName>
    <definedName name="IQ_PRETAX_REPORT_INC_EST_NOTE_CIQ" hidden="1">"c17465"</definedName>
    <definedName name="IQ_PRETAX_REPORT_INC_EST_NUM_ANALYSTS_2MONTH" hidden="1">"c16403"</definedName>
    <definedName name="IQ_PRETAX_REPORT_INC_EST_NUM_ANALYSTS_2MONTH_CIQ" hidden="1">"c16691"</definedName>
    <definedName name="IQ_PRETAX_REPORT_INC_EST_NUM_ANALYSTS_3MONTH" hidden="1">"c16407"</definedName>
    <definedName name="IQ_PRETAX_REPORT_INC_EST_NUM_ANALYSTS_3MONTH_CIQ" hidden="1">"c16695"</definedName>
    <definedName name="IQ_PRETAX_REPORT_INC_EST_NUM_ANALYSTS_MONTH" hidden="1">"c16399"</definedName>
    <definedName name="IQ_PRETAX_REPORT_INC_EST_NUM_ANALYSTS_MONTH_CIQ" hidden="1">"c16687"</definedName>
    <definedName name="IQ_PRETAX_REPORT_INC_EST_TOTAL_REVISED_2MONTH" hidden="1">"c16406"</definedName>
    <definedName name="IQ_PRETAX_REPORT_INC_EST_TOTAL_REVISED_2MONTH_CIQ" hidden="1">"c16694"</definedName>
    <definedName name="IQ_PRETAX_REPORT_INC_EST_TOTAL_REVISED_3MONTH" hidden="1">"c16410"</definedName>
    <definedName name="IQ_PRETAX_REPORT_INC_EST_TOTAL_REVISED_3MONTH_CIQ" hidden="1">"c16698"</definedName>
    <definedName name="IQ_PRETAX_REPORT_INC_EST_TOTAL_REVISED_MONTH" hidden="1">"c16402"</definedName>
    <definedName name="IQ_PRETAX_REPORT_INC_EST_TOTAL_REVISED_MONTH_CIQ" hidden="1">"c16690"</definedName>
    <definedName name="IQ_PRETAX_REPORT_INC_EST_UP_2MONTH" hidden="1">"c16404"</definedName>
    <definedName name="IQ_PRETAX_REPORT_INC_EST_UP_2MONTH_CIQ" hidden="1">"c16692"</definedName>
    <definedName name="IQ_PRETAX_REPORT_INC_EST_UP_3MONTH" hidden="1">"c16408"</definedName>
    <definedName name="IQ_PRETAX_REPORT_INC_EST_UP_3MONTH_CIQ" hidden="1">"c16696"</definedName>
    <definedName name="IQ_PRETAX_REPORT_INC_EST_UP_MONTH" hidden="1">"c16400"</definedName>
    <definedName name="IQ_PRETAX_REPORT_INC_EST_UP_MONTH_CIQ" hidden="1">"c16688"</definedName>
    <definedName name="IQ_PRETAX_REPORT_INC_HIGH_EST" hidden="1">"c1711"</definedName>
    <definedName name="IQ_PRETAX_REPORT_INC_HIGH_EST_CIQ" hidden="1">"c4697"</definedName>
    <definedName name="IQ_PRETAX_REPORT_INC_LOW_EST" hidden="1">"c1712"</definedName>
    <definedName name="IQ_PRETAX_REPORT_INC_LOW_EST_CIQ" hidden="1">"c4698"</definedName>
    <definedName name="IQ_PRETAX_REPORT_INC_MEDIAN_EST" hidden="1">"c1710"</definedName>
    <definedName name="IQ_PRETAX_REPORT_INC_MEDIAN_EST_CIQ" hidden="1">"c4696"</definedName>
    <definedName name="IQ_PRETAX_REPORT_INC_NUM_EST" hidden="1">"c1713"</definedName>
    <definedName name="IQ_PRETAX_REPORT_INC_NUM_EST_CIQ" hidden="1">"c4699"</definedName>
    <definedName name="IQ_PRETAX_REPORT_INC_STDDEV_EST" hidden="1">"c1714"</definedName>
    <definedName name="IQ_PRETAX_REPORT_INC_STDDEV_EST_CIQ" hidden="1">"c4700"</definedName>
    <definedName name="IQ_PRETAX_RETURN_ASSETS_FDIC" hidden="1">"c6731"</definedName>
    <definedName name="IQ_PREV_CONTRACT_ID" hidden="1">"c13929"</definedName>
    <definedName name="IQ_PREV_MONTHLY_FACTOR" hidden="1">"c8973"</definedName>
    <definedName name="IQ_PREV_MONTHLY_FACTOR_DATE" hidden="1">"c8974"</definedName>
    <definedName name="IQ_PREVIOUS_DATE_RT" hidden="1">"PREVIOUSLASTDATE"</definedName>
    <definedName name="IQ_PREVIOUS_PRICE_RT" hidden="1">"PREVIOUSLAST"</definedName>
    <definedName name="IQ_PRICE_CFPS_FWD" hidden="1">"c2237"</definedName>
    <definedName name="IQ_PRICE_CFPS_FWD_CIQ" hidden="1">"c4046"</definedName>
    <definedName name="IQ_PRICE_CHANGE_PCT_RT" hidden="1">"CHANGEPCT"</definedName>
    <definedName name="IQ_PRICE_CHANGE_RT" hidden="1">"CHANGE"</definedName>
    <definedName name="IQ_PRICE_DATE_RT" hidden="1">"LASTDATE"</definedName>
    <definedName name="IQ_PRICE_OVER_BVPS" localSheetId="12" hidden="1">"c1412"</definedName>
    <definedName name="IQ_PRICE_OVER_BVPS" localSheetId="7" hidden="1">"c1412"</definedName>
    <definedName name="IQ_PRICE_OVER_BVPS" hidden="1">"c171"</definedName>
    <definedName name="IQ_PRICE_OVER_LTM_EPS" localSheetId="12" hidden="1">"c1413"</definedName>
    <definedName name="IQ_PRICE_OVER_LTM_EPS" localSheetId="7" hidden="1">"c1413"</definedName>
    <definedName name="IQ_PRICE_OVER_LTM_EPS" hidden="1">"c176"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RT" hidden="1">"LAST"</definedName>
    <definedName name="IQ_PRICE_SALES" hidden="1">"c17552"</definedName>
    <definedName name="IQ_PRICE_TARGET" hidden="1">"c82"</definedName>
    <definedName name="IQ_PRICE_TARGET_BOTTOM_UP" hidden="1">"c5486"</definedName>
    <definedName name="IQ_PRICE_TARGET_BOTTOM_UP_CIQ" hidden="1">"c12023"</definedName>
    <definedName name="IQ_PRICE_TARGET_CIQ" hidden="1">"c3613"</definedName>
    <definedName name="IQ_PRICE_TIME_RT" hidden="1">"LASTTIME"</definedName>
    <definedName name="IQ_PRICE_UNIT" hidden="1">"c15556"</definedName>
    <definedName name="IQ_PRICE_VOL_HIST_2YR" hidden="1">"c15637"</definedName>
    <definedName name="IQ_PRICE_VOL_HIST_3MTH" hidden="1">"c15634"</definedName>
    <definedName name="IQ_PRICE_VOL_HIST_5YR" hidden="1">"c15638"</definedName>
    <definedName name="IQ_PRICE_VOL_HIST_6MTH" hidden="1">"c15635"</definedName>
    <definedName name="IQ_PRICE_VOL_HIST_YR" hidden="1">"c15636"</definedName>
    <definedName name="IQ_PRICE_VOLATILITY_EST" hidden="1">"c4492"</definedName>
    <definedName name="IQ_PRICE_VOLATILITY_EST_CIQ" hidden="1">"c5030"</definedName>
    <definedName name="IQ_PRICE_VOLATILITY_HIGH" hidden="1">"c4493"</definedName>
    <definedName name="IQ_PRICE_VOLATILITY_HIGH_CIQ" hidden="1">"c5031"</definedName>
    <definedName name="IQ_PRICE_VOLATILITY_LOW" hidden="1">"c4494"</definedName>
    <definedName name="IQ_PRICE_VOLATILITY_LOW_CIQ" hidden="1">"c5032"</definedName>
    <definedName name="IQ_PRICE_VOLATILITY_MEDIAN" hidden="1">"c4495"</definedName>
    <definedName name="IQ_PRICE_VOLATILITY_MEDIAN_CIQ" hidden="1">"c5033"</definedName>
    <definedName name="IQ_PRICE_VOLATILITY_NUM" hidden="1">"c4496"</definedName>
    <definedName name="IQ_PRICE_VOLATILITY_NUM_CIQ" hidden="1">"c5034"</definedName>
    <definedName name="IQ_PRICE_VOLATILITY_STDDEV" hidden="1">"c4497"</definedName>
    <definedName name="IQ_PRICE_VOLATILITY_STDDEV_CIQ" hidden="1">"c5035"</definedName>
    <definedName name="IQ_PRICEDATE" localSheetId="12" hidden="1">"c1069"</definedName>
    <definedName name="IQ_PRICEDATE" localSheetId="7" hidden="1">"c1069"</definedName>
    <definedName name="IQ_PRICEDATE" hidden="1">"c207"</definedName>
    <definedName name="IQ_PRICEDATETIME" hidden="1">"IQ_PRICEDATETIME"</definedName>
    <definedName name="IQ_PRICING_DATE" localSheetId="12" hidden="1">"c1613"</definedName>
    <definedName name="IQ_PRICING_DATE" localSheetId="7" hidden="1">"c1613"</definedName>
    <definedName name="IQ_PRICING_DATE" hidden="1">"c260"</definedName>
    <definedName name="IQ_PRIMARY_EPS_TYPE" hidden="1">"c4498"</definedName>
    <definedName name="IQ_PRIMARY_EPS_TYPE_CIQ" hidden="1">"c5036"</definedName>
    <definedName name="IQ_PRIMARY_EST_CONSOLIDATION" hidden="1">"c16246"</definedName>
    <definedName name="IQ_PRIMARY_EST_CONSOLIDATION_CIQ" hidden="1">"c16247"</definedName>
    <definedName name="IQ_PRIMARY_INDUSTRY" localSheetId="12" hidden="1">"c1070"</definedName>
    <definedName name="IQ_PRIMARY_INDUSTRY" localSheetId="7" hidden="1">"c1070"</definedName>
    <definedName name="IQ_PRIMARY_INDUSTRY" hidden="1">"c222"</definedName>
    <definedName name="IQ_PRIMARY_SIC_CODE" hidden="1">"c16218"</definedName>
    <definedName name="IQ_PRIMARY_SIC_INDUSTRY" hidden="1">"c16217"</definedName>
    <definedName name="IQ_PRINCIPAL_AMT" hidden="1">"c2157"</definedName>
    <definedName name="IQ_PRIOR_PERIOD_ADJUSTMENTS_SAVINGS_ASSOCIATION_THRIFT" hidden="1">"c25017"</definedName>
    <definedName name="IQ_PRIVATE_CONST_TOTAL_APR_FC_UNUSED" hidden="1">"c8559"</definedName>
    <definedName name="IQ_PRIVATE_CONST_TOTAL_APR_FC_UNUSED_UNUSED_UNUSED" hidden="1">"c8559"</definedName>
    <definedName name="IQ_PRIVATE_CONST_TOTAL_APR_UNUSED" hidden="1">"c7679"</definedName>
    <definedName name="IQ_PRIVATE_CONST_TOTAL_APR_UNUSED_UNUSED_UNUSED" hidden="1">"c7679"</definedName>
    <definedName name="IQ_PRIVATE_CONST_TOTAL_FC_UNUSED" hidden="1">"c7899"</definedName>
    <definedName name="IQ_PRIVATE_CONST_TOTAL_FC_UNUSED_UNUSED_UNUSED" hidden="1">"c7899"</definedName>
    <definedName name="IQ_PRIVATE_CONST_TOTAL_POP_FC_UNUSED" hidden="1">"c8119"</definedName>
    <definedName name="IQ_PRIVATE_CONST_TOTAL_POP_FC_UNUSED_UNUSED_UNUSED" hidden="1">"c8119"</definedName>
    <definedName name="IQ_PRIVATE_CONST_TOTAL_POP_UNUSED" hidden="1">"c7239"</definedName>
    <definedName name="IQ_PRIVATE_CONST_TOTAL_POP_UNUSED_UNUSED_UNUSED" hidden="1">"c7239"</definedName>
    <definedName name="IQ_PRIVATE_CONST_TOTAL_UNUSED" hidden="1">"c7019"</definedName>
    <definedName name="IQ_PRIVATE_CONST_TOTAL_UNUSED_UNUSED_UNUSED" hidden="1">"c7019"</definedName>
    <definedName name="IQ_PRIVATE_CONST_TOTAL_YOY_FC_UNUSED" hidden="1">"c8339"</definedName>
    <definedName name="IQ_PRIVATE_CONST_TOTAL_YOY_FC_UNUSED_UNUSED_UNUSED" hidden="1">"c8339"</definedName>
    <definedName name="IQ_PRIVATE_CONST_TOTAL_YOY_UNUSED" hidden="1">"c7459"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" hidden="1">"c8535"</definedName>
    <definedName name="IQ_PRIVATE_RES_CONST_REAL_APR_FC_UNUSED_UNUSED_UNUSED" hidden="1">"c8535"</definedName>
    <definedName name="IQ_PRIVATE_RES_CONST_REAL_APR_UNUSED" hidden="1">"c7655"</definedName>
    <definedName name="IQ_PRIVATE_RES_CONST_REAL_APR_UNUSED_UNUSED_UNUSED" hidden="1">"c7655"</definedName>
    <definedName name="IQ_PRIVATE_RES_CONST_REAL_FC_UNUSED" hidden="1">"c7875"</definedName>
    <definedName name="IQ_PRIVATE_RES_CONST_REAL_FC_UNUSED_UNUSED_UNUSED" hidden="1">"c7875"</definedName>
    <definedName name="IQ_PRIVATE_RES_CONST_REAL_POP_FC_UNUSED" hidden="1">"c8095"</definedName>
    <definedName name="IQ_PRIVATE_RES_CONST_REAL_POP_FC_UNUSED_UNUSED_UNUSED" hidden="1">"c8095"</definedName>
    <definedName name="IQ_PRIVATE_RES_CONST_REAL_POP_UNUSED" hidden="1">"c7215"</definedName>
    <definedName name="IQ_PRIVATE_RES_CONST_REAL_POP_UNUSED_UNUSED_UNUSED" hidden="1">"c7215"</definedName>
    <definedName name="IQ_PRIVATE_RES_CONST_REAL_UNUSED" hidden="1">"c6995"</definedName>
    <definedName name="IQ_PRIVATE_RES_CONST_REAL_UNUSED_UNUSED_UNUSED" hidden="1">"c6995"</definedName>
    <definedName name="IQ_PRIVATE_RES_CONST_REAL_YOY_FC_UNUSED" hidden="1">"c8315"</definedName>
    <definedName name="IQ_PRIVATE_RES_CONST_REAL_YOY_FC_UNUSED_UNUSED_UNUSED" hidden="1">"c8315"</definedName>
    <definedName name="IQ_PRIVATE_RES_CONST_REAL_YOY_UNUSED" hidden="1">"c7435"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localSheetId="12" hidden="1">"c1614"</definedName>
    <definedName name="IQ_PRO_FORMA_BASIC_EPS" localSheetId="7" hidden="1">"c1614"</definedName>
    <definedName name="IQ_PRO_FORMA_BASIC_EPS" hidden="1">"c57"</definedName>
    <definedName name="IQ_PRO_FORMA_DILUT_EPS" localSheetId="12" hidden="1">"c1615"</definedName>
    <definedName name="IQ_PRO_FORMA_DILUT_EPS" localSheetId="7" hidden="1">"c1615"</definedName>
    <definedName name="IQ_PRO_FORMA_DILUT_EPS" hidden="1">"c58"</definedName>
    <definedName name="IQ_PRO_FORMA_NET_INC" localSheetId="12" hidden="1">"c1452"</definedName>
    <definedName name="IQ_PRO_FORMA_NET_INC" localSheetId="7" hidden="1">"c1452"</definedName>
    <definedName name="IQ_PRO_FORMA_NET_INC" hidden="1">"c56"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BABLE_RESERVES_TO_TOTAL_RESERVES_COAL" hidden="1">"c15953"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DUCTION_TO_SOLD_COAL" hidden="1">"c15945"</definedName>
    <definedName name="IQ_PROFESSIONAL" localSheetId="12" hidden="1">"c1071"</definedName>
    <definedName name="IQ_PROFESSIONAL" localSheetId="7" hidden="1">"c1071"</definedName>
    <definedName name="IQ_PROFESSIONAL" hidden="1">"c231"</definedName>
    <definedName name="IQ_PROFESSIONAL_ALL_OTHER_COMP" hidden="1">"c18944"</definedName>
    <definedName name="IQ_PROFESSIONAL_ANNUAL_CASH_COMP" hidden="1">"c18945"</definedName>
    <definedName name="IQ_PROFESSIONAL_AS_REPORTED_COMP" hidden="1">"c18949"</definedName>
    <definedName name="IQ_PROFESSIONAL_AS_REPORTED_DIRECTOR_COMP" hidden="1">"c18961"</definedName>
    <definedName name="IQ_PROFESSIONAL_ASSISTANT_EMAIL" hidden="1">"c15169"</definedName>
    <definedName name="IQ_PROFESSIONAL_ASSISTANT_FAX" hidden="1">"c15171"</definedName>
    <definedName name="IQ_PROFESSIONAL_ASSISTANT_NAME" hidden="1">"c15168"</definedName>
    <definedName name="IQ_PROFESSIONAL_ASSISTANT_PHONE" hidden="1">"c15170"</definedName>
    <definedName name="IQ_PROFESSIONAL_BACKGROUND" hidden="1">"c15161"</definedName>
    <definedName name="IQ_PROFESSIONAL_BONUS" hidden="1">"c18940"</definedName>
    <definedName name="IQ_PROFESSIONAL_CALCULATED_COMP" hidden="1">"c18947"</definedName>
    <definedName name="IQ_PROFESSIONAL_CHANGE_PENSION" hidden="1">"c18962"</definedName>
    <definedName name="IQ_PROFESSIONAL_DIRECT_FAX" hidden="1">"c15166"</definedName>
    <definedName name="IQ_PROFESSIONAL_DIRECT_PHONE" hidden="1">"c15165"</definedName>
    <definedName name="IQ_PROFESSIONAL_DIRECTOR_BONUS" hidden="1">"c18956"</definedName>
    <definedName name="IQ_PROFESSIONAL_DIRECTOR_CHANGE_PENSION" hidden="1">"c18957"</definedName>
    <definedName name="IQ_PROFESSIONAL_DIRECTOR_FEE" hidden="1">"c18953"</definedName>
    <definedName name="IQ_PROFESSIONAL_DIRECTOR_NON_EQUITY_COMP" hidden="1">"c18958"</definedName>
    <definedName name="IQ_PROFESSIONAL_DIRECTOR_OPTION_AWARDS" hidden="1">"c18954"</definedName>
    <definedName name="IQ_PROFESSIONAL_DIRECTOR_OTHER" hidden="1">"c18955"</definedName>
    <definedName name="IQ_PROFESSIONAL_DIRECTOR_STOCK_AWARDS" hidden="1">"c18959"</definedName>
    <definedName name="IQ_PROFESSIONAL_DIRECTOR_STOCK_GRANTS" hidden="1">"c18986"</definedName>
    <definedName name="IQ_PROFESSIONAL_DIRECTOR_STOCK_OPTIONS" hidden="1">"c18960"</definedName>
    <definedName name="IQ_PROFESSIONAL_EMAIL" hidden="1">"c15167"</definedName>
    <definedName name="IQ_PROFESSIONAL_EQUITY_INCENTIVE" hidden="1">"c18982"</definedName>
    <definedName name="IQ_PROFESSIONAL_EST_PAYMENTS_CHANGE_CONTROL" hidden="1">"c18951"</definedName>
    <definedName name="IQ_PROFESSIONAL_EST_PAYMENTS_TERMINATION" hidden="1">"c18963"</definedName>
    <definedName name="IQ_PROFESSIONAL_EXERCISABLE_OPTIONS" hidden="1">"c18966"</definedName>
    <definedName name="IQ_PROFESSIONAL_EXERCISABLE_VALUES" hidden="1">"c18967"</definedName>
    <definedName name="IQ_PROFESSIONAL_EXERCISED_OPTIONS" hidden="1">"c18964"</definedName>
    <definedName name="IQ_PROFESSIONAL_EXERCISED_VALUES" hidden="1">"c18965"</definedName>
    <definedName name="IQ_PROFESSIONAL_ID" hidden="1">"c13755"</definedName>
    <definedName name="IQ_PROFESSIONAL_LT_INCENTIVE" hidden="1">"c18943"</definedName>
    <definedName name="IQ_PROFESSIONAL_MAIN_FAX" hidden="1">"c15164"</definedName>
    <definedName name="IQ_PROFESSIONAL_MAIN_PHONE" hidden="1">"c15163"</definedName>
    <definedName name="IQ_PROFESSIONAL_MARKET_VALUE_SHARES_NOT_VESTED" hidden="1">"c18981"</definedName>
    <definedName name="IQ_PROFESSIONAL_NON_EQUITY_INCENTIVE" hidden="1">"c18952"</definedName>
    <definedName name="IQ_PROFESSIONAL_NUM_SHARED_NOT_VESTED" hidden="1">"c18980"</definedName>
    <definedName name="IQ_PROFESSIONAL_NUM_SHARES_ACQUIRED" hidden="1">"c18978"</definedName>
    <definedName name="IQ_PROFESSIONAL_OFFICE_ADDRESS" hidden="1">"c15162"</definedName>
    <definedName name="IQ_PROFESSIONAL_OPTION_AWARDS" hidden="1">"c18948"</definedName>
    <definedName name="IQ_PROFESSIONAL_OPTION_MARKET_PRICE" hidden="1">"c18977"</definedName>
    <definedName name="IQ_PROFESSIONAL_OPTION_PRICE" hidden="1">"c18976"</definedName>
    <definedName name="IQ_PROFESSIONAL_OTHER_ANNUAL_COMP" hidden="1">"c18941"</definedName>
    <definedName name="IQ_PROFESSIONAL_OTHER_COMP" hidden="1">"c18950"</definedName>
    <definedName name="IQ_PROFESSIONAL_RESTRICTED_STOCK_COMP" hidden="1">"c18942"</definedName>
    <definedName name="IQ_PROFESSIONAL_SALARY" hidden="1">"c18939"</definedName>
    <definedName name="IQ_PROFESSIONAL_ST_COMP" hidden="1">"c18946"</definedName>
    <definedName name="IQ_PROFESSIONAL_TITLE" localSheetId="12" hidden="1">"c1072"</definedName>
    <definedName name="IQ_PROFESSIONAL_TITLE" localSheetId="7" hidden="1">"c1072"</definedName>
    <definedName name="IQ_PROFESSIONAL_TITLE" hidden="1">"c232"</definedName>
    <definedName name="IQ_PROFESSIONAL_TOTAL_NUM_STOCK_AWARDS" hidden="1">"c18985"</definedName>
    <definedName name="IQ_PROFESSIONAL_TOTAL_OPTIONS" hidden="1">"c18974"</definedName>
    <definedName name="IQ_PROFESSIONAL_TOTAL_STOCK_VALUE" hidden="1">"c18984"</definedName>
    <definedName name="IQ_PROFESSIONAL_TOTAL_VALUE_OPTIONS" hidden="1">"c18975"</definedName>
    <definedName name="IQ_PROFESSIONAL_UNCLASSIFIED_OPTIONS" hidden="1">"c18970"</definedName>
    <definedName name="IQ_PROFESSIONAL_UNCLASSIFIED_OPTIONS_VALUE" hidden="1">"c18971"</definedName>
    <definedName name="IQ_PROFESSIONAL_UNEARNED_STOCK_VALUE" hidden="1">"c18983"</definedName>
    <definedName name="IQ_PROFESSIONAL_UNEXERCISABLE_OPTIONS" hidden="1">"c18968"</definedName>
    <definedName name="IQ_PROFESSIONAL_UNEXERCISABLE_VALUES" hidden="1">"c18969"</definedName>
    <definedName name="IQ_PROFESSIONAL_UNEXERCISED_UNEARNED_OPTIONS" hidden="1">"c18972"</definedName>
    <definedName name="IQ_PROFESSIONAL_UNEXERCISED_UNEARNED_OPTIONS_VALUE" hidden="1">"c18973"</definedName>
    <definedName name="IQ_PROFESSIONAL_VALUE_VESTING" hidden="1">"c18979"</definedName>
    <definedName name="IQ_PROFIT_AFTER_COST_CAPITAL_NEW_BUSINESS" hidden="1">"c9969"</definedName>
    <definedName name="IQ_PROFIT_BEFORE_COST_CAPITAL_NEW_BUSINESS" hidden="1">"c9967"</definedName>
    <definedName name="IQ_PROGRAMMING_COSTS" hidden="1">"c2884"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_MGMT_EXPENSE" hidden="1">"c16038"</definedName>
    <definedName name="IQ_PROP_MGMT_INCOME" hidden="1">"c16028"</definedName>
    <definedName name="IQ_PROP_OPERATING_EXPENSE" hidden="1">"c16037"</definedName>
    <definedName name="IQ_PROP_RENTAL_REVENUE" hidden="1">"c16019"</definedName>
    <definedName name="IQ_PROP_SALES_EXPENSE" hidden="1">"c16044"</definedName>
    <definedName name="IQ_PROPERTY_EXP" hidden="1">"c1073"</definedName>
    <definedName name="IQ_PROPERTY_GROSS" localSheetId="12" hidden="1">"c1379"</definedName>
    <definedName name="IQ_PROPERTY_GROSS" localSheetId="7" hidden="1">"c1379"</definedName>
    <definedName name="IQ_PROPERTY_GROSS" hidden="1">"c84"</definedName>
    <definedName name="IQ_PROPERTY_MGMT_FEE" hidden="1">"c1074"</definedName>
    <definedName name="IQ_PROPERTY_NET" localSheetId="12" hidden="1">"c1402"</definedName>
    <definedName name="IQ_PROPERTY_NET" localSheetId="7" hidden="1">"c1402"</definedName>
    <definedName name="IQ_PROPERTY_NET" hidden="1">"c83"</definedName>
    <definedName name="IQ_PROPERTY_TAX_INSURANCE" hidden="1">"c16033"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EN_RESERVES_TO_TOTAL_RESERVES_COAL" hidden="1">"c15952"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AVG_LOANS" hidden="1">"c15717"</definedName>
    <definedName name="IQ_PROVISION_CHARGE_OFFS" hidden="1">"c1083"</definedName>
    <definedName name="IQ_PROVISION_LL_AVG_LOANS_THRIFT" hidden="1">"c25639"</definedName>
    <definedName name="IQ_PROVISION_LL_FFIEC" hidden="1">"c13019"</definedName>
    <definedName name="IQ_PROVISION_LL_INT_BEARING_ASSETS_THRIFT" hidden="1">"c24783"</definedName>
    <definedName name="IQ_PROVISION_LL_NET_LOSSES_THRIFT" hidden="1">"c25640"</definedName>
    <definedName name="IQ_PROVISION_LL_NON_INT_BEARING_ASSETS_THRIFT" hidden="1">"c24784"</definedName>
    <definedName name="IQ_PROVISION_LOAN_LL_AVG_ASSETS_THRIFT" hidden="1">"c25785"</definedName>
    <definedName name="IQ_PROVISION_LOAN_LOSS_AVG_ASSETS_FFIEC" hidden="1">"c18879"</definedName>
    <definedName name="IQ_PROVISION_LOAN_LOSSES_AVG_ASSETS_THRIFT" hidden="1">"c25653"</definedName>
    <definedName name="IQ_PROVISION_LOSSES_AVG_ASSETS_FFIEC" hidden="1">"c13362"</definedName>
    <definedName name="IQ_PROVISION_LOSSES_AVG_LOANS_FFIEC" hidden="1">"c13470"</definedName>
    <definedName name="IQ_PROVISION_LOSSES_NET_LOSSES_FFIEC" hidden="1">"c13471"</definedName>
    <definedName name="IQ_PSGR_REV" hidden="1">"c19125"</definedName>
    <definedName name="IQ_PTBV" hidden="1">"c1084"</definedName>
    <definedName name="IQ_PTBV_AVG" hidden="1">"c1085"</definedName>
    <definedName name="IQ_PURCHASE_FOREIGN_CURRENCIES_FDIC" hidden="1">"c6513"</definedName>
    <definedName name="IQ_PURCHASE_TREASURY_FFIEC" hidden="1">"c12966"</definedName>
    <definedName name="IQ_PURCHASED_COAL" hidden="1">"c15934"</definedName>
    <definedName name="IQ_PURCHASED_CREDIT_RELS_SERVICING_ASSETS_FFIEC" hidden="1">"c12839"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D_PRODUCTION_TO_SOLD_COAL" hidden="1">"c15947"</definedName>
    <definedName name="IQ_PURCHASED_TO_PRODUCTION_COAL" hidden="1">"c15948"</definedName>
    <definedName name="IQ_PURCHASED_TO_SOLD_COAL" hidden="1">"c15946"</definedName>
    <definedName name="IQ_PURCHASES_EQUIP_NONRES_SAAR_APR_FC_UNUSED" hidden="1">"c8491"</definedName>
    <definedName name="IQ_PURCHASES_EQUIP_NONRES_SAAR_APR_FC_UNUSED_UNUSED_UNUSED" hidden="1">"c8491"</definedName>
    <definedName name="IQ_PURCHASES_EQUIP_NONRES_SAAR_APR_UNUSED" hidden="1">"c7611"</definedName>
    <definedName name="IQ_PURCHASES_EQUIP_NONRES_SAAR_APR_UNUSED_UNUSED_UNUSED" hidden="1">"c7611"</definedName>
    <definedName name="IQ_PURCHASES_EQUIP_NONRES_SAAR_FC_UNUSED" hidden="1">"c7831"</definedName>
    <definedName name="IQ_PURCHASES_EQUIP_NONRES_SAAR_FC_UNUSED_UNUSED_UNUSED" hidden="1">"c7831"</definedName>
    <definedName name="IQ_PURCHASES_EQUIP_NONRES_SAAR_POP_FC_UNUSED" hidden="1">"c8051"</definedName>
    <definedName name="IQ_PURCHASES_EQUIP_NONRES_SAAR_POP_FC_UNUSED_UNUSED_UNUSED" hidden="1">"c8051"</definedName>
    <definedName name="IQ_PURCHASES_EQUIP_NONRES_SAAR_POP_UNUSED" hidden="1">"c7171"</definedName>
    <definedName name="IQ_PURCHASES_EQUIP_NONRES_SAAR_POP_UNUSED_UNUSED_UNUSED" hidden="1">"c7171"</definedName>
    <definedName name="IQ_PURCHASES_EQUIP_NONRES_SAAR_UNUSED" hidden="1">"c6951"</definedName>
    <definedName name="IQ_PURCHASES_EQUIP_NONRES_SAAR_UNUSED_UNUSED_UNUSED" hidden="1">"c6951"</definedName>
    <definedName name="IQ_PURCHASES_EQUIP_NONRES_SAAR_YOY_FC_UNUSED" hidden="1">"c8271"</definedName>
    <definedName name="IQ_PURCHASES_EQUIP_NONRES_SAAR_YOY_FC_UNUSED_UNUSED_UNUSED" hidden="1">"c8271"</definedName>
    <definedName name="IQ_PURCHASES_EQUIP_NONRES_SAAR_YOY_UNUSED" hidden="1">"c7391"</definedName>
    <definedName name="IQ_PURCHASES_EQUIP_NONRES_SAAR_YOY_UNUSED_UNUSED_UNUSED" hidden="1">"c7391"</definedName>
    <definedName name="IQ_PURCHASES_OTHER_MORTGAGE_BACKED_SEC_THRIFT" hidden="1">"c25314"</definedName>
    <definedName name="IQ_PURCHASES_PASS_THROUGH_MORTGAGE_BACKED_SEC_THRIFT" hidden="1">"c25311"</definedName>
    <definedName name="IQ_PURCHASING_SECURITIES_LL_REC_FFIEC" hidden="1">"c12893"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TD" hidden="1">750000</definedName>
    <definedName name="IQ_QUALIFYING_MINORITY_INT_T1_FFIEC" hidden="1">"c13135"</definedName>
    <definedName name="IQ_QUALIFYING_MULTIFAMILY_RES_MORTGAGE_LOANS_ELIGIBLE_50_PCT_RISK_WEIGHT_THRIFT" hidden="1">"c25065"</definedName>
    <definedName name="IQ_QUALIFYING_SINGLE_FAMILY_RES_MORTGAGE_LOANS_ELIGIBLE_50_PCT_RISK_WEIGHT_THRIFT" hidden="1">"c25064"</definedName>
    <definedName name="IQ_QUALIFYING_SUB_DEBT_REDEEM_PREF_T2_FFIEC" hidden="1">"c13144"</definedName>
    <definedName name="IQ_QUALIFYING_SUB_DEBT_REDEEMABLE_PREFERRED_T2_THRIFT" hidden="1">"c25041"</definedName>
    <definedName name="IQ_QUALIFYING_TRUST_PREFERRED_T1_FFIEC" hidden="1">"c13136"</definedName>
    <definedName name="IQ_QUICK_COMP" hidden="1">"c13750"</definedName>
    <definedName name="IQ_QUICK_RATIO" localSheetId="12" hidden="1">"c1086"</definedName>
    <definedName name="IQ_QUICK_RATIO" localSheetId="7" hidden="1">"c1086"</definedName>
    <definedName name="IQ_QUICK_RATIO" hidden="1">"c163"</definedName>
    <definedName name="IQ_RATE_COMP_GROWTH_DOMESTIC" hidden="1">"c1087"</definedName>
    <definedName name="IQ_RATE_COMP_GROWTH_FOREIGN" hidden="1">"c1088"</definedName>
    <definedName name="IQ_RATE_COUNTRY" hidden="1">"c19247"</definedName>
    <definedName name="IQ_RATE_LEVEL" hidden="1">"c19251"</definedName>
    <definedName name="IQ_RATE_NAME" hidden="1">"c19249"</definedName>
    <definedName name="IQ_RATE_TERM" hidden="1">"c19248"</definedName>
    <definedName name="IQ_RATE_TYPE" hidden="1">"c19246"</definedName>
    <definedName name="IQ_RAW_INV" hidden="1">"c1089"</definedName>
    <definedName name="IQ_RAW_SALEABLE_INVENTORY_COAL" hidden="1">"c15941"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1_4_DWELLING_UNITS_REPOSSESSED_ASSETS_ADJUSTED_NCOS_TOTAL_THRIFT" hidden="1">"c25220"</definedName>
    <definedName name="IQ_RE_1_4_DWELLING_UNITS_REPOSSESSED_ASSETS_GVA_CHARGE_OFFS_THRIFT" hidden="1">"c25135"</definedName>
    <definedName name="IQ_RE_1_4_DWELLING_UNITS_REPOSSESSED_ASSETS_SVA_PROVISIONS_TRANSFERS_FROM_GVA_TOTAL_THRIFT" hidden="1">"c25189"</definedName>
    <definedName name="IQ_RE_1_4_RISK_BASED_FFIEC" hidden="1">"c13418"</definedName>
    <definedName name="IQ_RE_ACQ_SATISFACTION_DEBTS_FFIEC" hidden="1">"c12832"</definedName>
    <definedName name="IQ_RE_ALL_OTHER_ACCOUNTS_THRIFT" hidden="1">"c25436"</definedName>
    <definedName name="IQ_RE_ASSET_DEVELOPMENT_PROP" hidden="1">"c19136"</definedName>
    <definedName name="IQ_RE_ASSET_INVESTMENT_PROP" hidden="1">"c19135"</definedName>
    <definedName name="IQ_RE_ASSET_OTHER_PROP" hidden="1">"c19137"</definedName>
    <definedName name="IQ_RE_ASSET_TOTAL_PROP" hidden="1">"c19138"</definedName>
    <definedName name="IQ_RE_CONSTRUCTION_REPOSSESSED_ASSETS_ADJUSTED_NCOS_TOTAL_THRIFT" hidden="1">"c25219"</definedName>
    <definedName name="IQ_RE_CONSTRUCTION_REPOSSESSED_ASSETS_GVA_CHARGE_OFFS_THRIFT" hidden="1">"c25134"</definedName>
    <definedName name="IQ_RE_CONSTRUCTION_REPOSSESSED_ASSETS_SVA_PROVISIONS_TRANSFERS_FROM_GVA_TOTAL_THRIFT" hidden="1">"c25188"</definedName>
    <definedName name="IQ_RE_DEPR_AMORT" hidden="1">"c8750"</definedName>
    <definedName name="IQ_RE_DEPRECIATION" hidden="1">"c16045"</definedName>
    <definedName name="IQ_RE_EMPLOYEE_BENEFIT_RETIREMENT_RELATED_ACCOUNTS_THRIFT" hidden="1">"c25420"</definedName>
    <definedName name="IQ_RE_FARMLAND_GROSS_LOANS_FFIEC" hidden="1">"c13408"</definedName>
    <definedName name="IQ_RE_FARMLAND_RISK_BASED_FFIEC" hidden="1">"c13429"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FOREIGN_FFIEC" hidden="1">"c13479"</definedName>
    <definedName name="IQ_RE_GAIN_LOSS_SALE_ASSETS" hidden="1">"c8751"</definedName>
    <definedName name="IQ_RE_HELD_INV_ADJUSTED_NCOS_THRIFT" hidden="1">"c25225"</definedName>
    <definedName name="IQ_RE_HELD_INV_GVA_CHARGE_OFFS_THRIFT" hidden="1">"c25140"</definedName>
    <definedName name="IQ_RE_HELD_INV_SVA_PROVISIONS_TRANSFERS_FROM_GVA_THRIFT" hidden="1">"c25194"</definedName>
    <definedName name="IQ_RE_HELD_INV_THRIFT" hidden="1">"c24878"</definedName>
    <definedName name="IQ_RE_INVEST_FDIC" hidden="1">"c6331"</definedName>
    <definedName name="IQ_RE_LAND_REPOSSESSED_ASSETS_ADJUSTED_NCOS_TOTAL_THRIFT" hidden="1">"c25223"</definedName>
    <definedName name="IQ_RE_LAND_REPOSSESSED_ASSETS_GVA_CHARGE_OFFS_THRIFT" hidden="1">"c25138"</definedName>
    <definedName name="IQ_RE_LAND_REPOSSESSED_ASSETS_SVA_PROVISIONS_TRANSFERS_FROM_GVA_TOTAL_THRIFT" hidden="1">"c25192"</definedName>
    <definedName name="IQ_RE_LOANS_1_4_GROSS_LOANS_FFIEC" hidden="1">"c13397"</definedName>
    <definedName name="IQ_RE_LOANS_DOM_QUARTERLY_AVG_FFIEC" hidden="1">"c15476"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DUE_30_89_FFIEC" hidden="1">"c25826"</definedName>
    <definedName name="IQ_RE_LOANS_DUE_90_FFIEC" hidden="1">"c25827"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LOANS_GROSS_LOANS_FFIEC" hidden="1">"c13396"</definedName>
    <definedName name="IQ_RE_LOANS_NON_ACCRUAL_FFIEC" hidden="1">"c25828"</definedName>
    <definedName name="IQ_RE_LOANS_SECURED_1_4_FAMILY_GROSS_LOANS_THRIFT" hidden="1">"c25722"</definedName>
    <definedName name="IQ_RE_LOANS_SECURED_1_4_FAMILY_RISK_BASED_CAPITAL_THRIFT" hidden="1">"c25707"</definedName>
    <definedName name="IQ_RE_LOANS_SECURED_LAND_GROSS_LOANS_THRIFT" hidden="1">"c25731"</definedName>
    <definedName name="IQ_RE_LOANS_SECURED_LAND_RISK_BASED_CAPITAL_THRIFT" hidden="1">"c25716"</definedName>
    <definedName name="IQ_RE_MAINT_CAPEX" hidden="1">"c8755"</definedName>
    <definedName name="IQ_RE_MINORITY_INTEREST" hidden="1">"c8752"</definedName>
    <definedName name="IQ_RE_MORTGAGES_ALL_OTHER_ACCOUNTS_THRIFT" hidden="1">"c25435"</definedName>
    <definedName name="IQ_RE_MORTGAGES_EMPLOYEE_BENEFIT_RETIREMENT_RELATED_ACCOUNTS_THRIFT" hidden="1">"c25419"</definedName>
    <definedName name="IQ_RE_MORTGAGES_PERSONAL_TRUST_AGENCY_INV_MANAGEMENT_ACCOUNTS_THRIFT" hidden="1">"c25403"</definedName>
    <definedName name="IQ_RE_MULTIFAMILY_5_MORE_DWELLING_UNITS_REPOSSESSED_ASSETS_ADJUSTED_NCOS_TOTAL_THRIFT" hidden="1">"c25221"</definedName>
    <definedName name="IQ_RE_MULTIFAMILY_5_MORE_DWELLING_UNITS_REPOSSESSED_ASSETS_GVA_CHARGE_OFFS_THRIFT" hidden="1">"c25136"</definedName>
    <definedName name="IQ_RE_MULTIFAMILY_5_MORE_DWELLING_UNITS_REPOSSESSED_ASSETS_SVA_PROVISIONS_TRANSFERS_FROM_GVA_TOTAL_THRIFT" hidden="1">"c25190"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NONRES_EXCEPT_LAND_REPOSSESSED_ASSETS_ADJUSTED_NCOS_TOTAL_THRIFT" hidden="1">"c25222"</definedName>
    <definedName name="IQ_RE_NONRES_EXCEPT_LAND_REPOSSESSED_ASSETS_GVA_CHARGE_OFFS_THRIFT" hidden="1">"c25137"</definedName>
    <definedName name="IQ_RE_NONRES_EXCEPT_LAND_REPOSSESSED_ASSETS_SVA_PROVISIONS_TRANSFERS_FROM_GVA_TOTAL_THRIFT" hidden="1">"c25191"</definedName>
    <definedName name="IQ_RE_OTHER_ITEMS" hidden="1">"c8753"</definedName>
    <definedName name="IQ_RE_PERSONAL_TRUST_AGENCY_INV_MANAGEMENT_ACCOUNTS_THRIFT" hidden="1">"c25404"</definedName>
    <definedName name="IQ_RE_RENTAL_EXPENSE" hidden="1">"c16036"</definedName>
    <definedName name="IQ_RE_RISK_BASED_FFIEC" hidden="1">"c13417"</definedName>
    <definedName name="IQ_REAL_DOMESTIC_PURCHASES" hidden="1">"c20997"</definedName>
    <definedName name="IQ_REAL_ESTATE" hidden="1">"c1093"</definedName>
    <definedName name="IQ_REAL_ESTATE_ASSETS" hidden="1">"c1094"</definedName>
    <definedName name="IQ_REAL_EXPORT" hidden="1">"c20998"</definedName>
    <definedName name="IQ_REAL_EXPORT_GOODS" hidden="1">"c20999"</definedName>
    <definedName name="IQ_REAL_EXPORT_INCOME" hidden="1">"c21000"</definedName>
    <definedName name="IQ_REAL_EXPORT_SERVICES" hidden="1">"c21001"</definedName>
    <definedName name="IQ_REAL_FIXED_INVESTMENT" hidden="1">"c21002"</definedName>
    <definedName name="IQ_REAL_GDP" hidden="1">"c21003"</definedName>
    <definedName name="IQ_REAL_GDP_FC" hidden="1">"c21004"</definedName>
    <definedName name="IQ_REAL_GDP_GROWTH" hidden="1">"c21005"</definedName>
    <definedName name="IQ_REAL_GDP_GROWTH_FC" hidden="1">"c21006"</definedName>
    <definedName name="IQ_REAL_GDP_USD" hidden="1">"c21007"</definedName>
    <definedName name="IQ_REAL_GDP_USD_FC" hidden="1">"c21008"</definedName>
    <definedName name="IQ_REAL_GNP" hidden="1">"c21009"</definedName>
    <definedName name="IQ_REAL_GOVT_CONSUM_INVEST" hidden="1">"c21010"</definedName>
    <definedName name="IQ_REAL_GOVT_CONSUM_INVEST_DEF" hidden="1">"c21011"</definedName>
    <definedName name="IQ_REAL_GOVT_CONSUM_INVEST_DEF_CONSUM" hidden="1">"c21012"</definedName>
    <definedName name="IQ_REAL_GOVT_CONSUM_INVEST_DEF_INVEST" hidden="1">"c21013"</definedName>
    <definedName name="IQ_REAL_GOVT_CONSUM_INVEST_FEDERAL" hidden="1">"c21014"</definedName>
    <definedName name="IQ_REAL_GOVT_CONSUM_INVEST_NONDEF" hidden="1">"c21015"</definedName>
    <definedName name="IQ_REAL_GOVT_CONSUM_INVEST_NONDEF_CONSUM" hidden="1">"c21016"</definedName>
    <definedName name="IQ_REAL_GOVT_CONSUM_INVEST_NONDEF_INVEST" hidden="1">"c21017"</definedName>
    <definedName name="IQ_REAL_GOVT_CONSUM_INVEST_STATE_LOCAL" hidden="1">"c21018"</definedName>
    <definedName name="IQ_REAL_GOVT_CONSUM_INVEST_STATE_LOCAL_CONSUM" hidden="1">"c21019"</definedName>
    <definedName name="IQ_REAL_GOVT_CONSUM_INVEST_STATE_LOCAL_INVEST" hidden="1">"c21020"</definedName>
    <definedName name="IQ_REAL_IMPORT" hidden="1">"c21021"</definedName>
    <definedName name="IQ_REAL_IMPORT_GOODS" hidden="1">"c21022"</definedName>
    <definedName name="IQ_REAL_IMPORT_INCOME" hidden="1">"c21023"</definedName>
    <definedName name="IQ_REAL_IMPORT_SERVICES" hidden="1">"c21024"</definedName>
    <definedName name="IQ_REAL_NET_DOMESTIC_PRODUCTION" hidden="1">"c21025"</definedName>
    <definedName name="IQ_REAL_NET_EXPORT" hidden="1">"c21026"</definedName>
    <definedName name="IQ_REAL_PCE" hidden="1">"c21027"</definedName>
    <definedName name="IQ_REAL_PCE_CLOTHING" hidden="1">"c21028"</definedName>
    <definedName name="IQ_REAL_PCE_DUR_GOODS" hidden="1">"c21029"</definedName>
    <definedName name="IQ_REAL_PCE_DUR_GOODS_OTHER" hidden="1">"c21030"</definedName>
    <definedName name="IQ_REAL_PCE_FINANCIAL" hidden="1">"c21031"</definedName>
    <definedName name="IQ_REAL_PCE_FOOD_ACCOMADATIONS" hidden="1">"c21032"</definedName>
    <definedName name="IQ_REAL_PCE_FOOD_BEVERAGE" hidden="1">"c21033"</definedName>
    <definedName name="IQ_REAL_PCE_FURNISHINGS" hidden="1">"c21034"</definedName>
    <definedName name="IQ_REAL_PCE_GAS" hidden="1">"c21035"</definedName>
    <definedName name="IQ_REAL_PCE_GOOD" hidden="1">"c21036"</definedName>
    <definedName name="IQ_REAL_PCE_HEALTH_CARE" hidden="1">"c21037"</definedName>
    <definedName name="IQ_REAL_PCE_HOUSEHOLD_CONSUM" hidden="1">"c21038"</definedName>
    <definedName name="IQ_REAL_PCE_HOUSEHOLD_CONSUM_OTHER" hidden="1">"c21039"</definedName>
    <definedName name="IQ_REAL_PCE_HOUSING" hidden="1">"c21040"</definedName>
    <definedName name="IQ_REAL_PCE_MOTOR_VEHICLE" hidden="1">"c21041"</definedName>
    <definedName name="IQ_REAL_PCE_NONDUR_GOODS" hidden="1">"c21042"</definedName>
    <definedName name="IQ_REAL_PCE_NONDUR_GOODS_OTHER" hidden="1">"c21043"</definedName>
    <definedName name="IQ_REAL_PCE_NONPROFIT_CONSUM" hidden="1">"c21044"</definedName>
    <definedName name="IQ_REAL_PCE_NONPROFIT_OUTPUT" hidden="1">"c21045"</definedName>
    <definedName name="IQ_REAL_PCE_NONPROFIT_RECEIPTS" hidden="1">"c21046"</definedName>
    <definedName name="IQ_REAL_PCE_RECREATION_GOODS" hidden="1">"c21047"</definedName>
    <definedName name="IQ_REAL_PCE_RECREATION_SERVICES" hidden="1">"c21048"</definedName>
    <definedName name="IQ_REAL_PCE_SERVICES" hidden="1">"c21049"</definedName>
    <definedName name="IQ_REAL_PCE_TRANSPORTATION" hidden="1">"c21050"</definedName>
    <definedName name="IQ_REAL_PRIVATE_CONSUM_GROWTH" hidden="1">"c21051"</definedName>
    <definedName name="IQ_REAL_PRIVATE_INVEST" hidden="1">"c21052"</definedName>
    <definedName name="IQ_REAL_PRIVATE_INVEST_EQUIP" hidden="1">"c21053"</definedName>
    <definedName name="IQ_REAL_PRIVATE_INVEST_EQUIP_OTHER" hidden="1">"c21054"</definedName>
    <definedName name="IQ_REAL_PRIVATE_INVEST_FIXED" hidden="1">"c21055"</definedName>
    <definedName name="IQ_REAL_PRIVATE_INVEST_INDUSTRIAL_EQUIP" hidden="1">"c21056"</definedName>
    <definedName name="IQ_REAL_PRIVATE_INVEST_INFO_EQUIP" hidden="1">"c21057"</definedName>
    <definedName name="IQ_REAL_PRIVATE_INVEST_INFO_EQUIP_COMPUTERS" hidden="1">"c21058"</definedName>
    <definedName name="IQ_REAL_PRIVATE_INVEST_INFO_EQUIP_OTHER" hidden="1">"c21059"</definedName>
    <definedName name="IQ_REAL_PRIVATE_INVEST_INFO_EQUIP_SOFTWARE" hidden="1">"c21060"</definedName>
    <definedName name="IQ_REAL_PRIVATE_INVEST_NONRES" hidden="1">"c21061"</definedName>
    <definedName name="IQ_REAL_PRIVATE_INVEST_PRIVATE_INV_CHANGE" hidden="1">"c21062"</definedName>
    <definedName name="IQ_REAL_PRIVATE_INVEST_PRIVATE_INV_FARMS" hidden="1">"c21063"</definedName>
    <definedName name="IQ_REAL_PRIVATE_INVEST_PRIVATE_INV_NONFARMS" hidden="1">"c21064"</definedName>
    <definedName name="IQ_REAL_PRIVATE_INVEST_RES" hidden="1">"c21065"</definedName>
    <definedName name="IQ_REAL_PRIVATE_INVEST_STRUCTURES" hidden="1">"c21066"</definedName>
    <definedName name="IQ_REAL_PRIVATE_INVEST_TRANSPORTATION_EQUIP" hidden="1">"c21067"</definedName>
    <definedName name="IQ_REAL_SALES_TO_DOMESTIC_PURCHASES" hidden="1">"c21068"</definedName>
    <definedName name="IQ_REALIZED_GAINS_AVAIL_SALE_SEC_FFIEC" hidden="1">"c13022"</definedName>
    <definedName name="IQ_REALIZED_GAINS_HELD_MATURITY_SEC_FFIEC" hidden="1">"c13021"</definedName>
    <definedName name="IQ_REALIZED_GAINS_SEC_TOT_FFIEC" hidden="1">"c13517"</definedName>
    <definedName name="IQ_REBOOKED_GNMA_LOANS_REPURCHASED_ELIGIBLE_REPURCHASE_DUE_30_89_THRIFT" hidden="1">"c25260"</definedName>
    <definedName name="IQ_REBOOKED_GNMA_LOANS_REPURCHASED_ELIGIBLE_REPURCHASE_DUE_90_THRIFT" hidden="1">"c25281"</definedName>
    <definedName name="IQ_REBOOKED_GNMA_LOANS_REPURCHASED_ELIGIBLE_REPURCHASE_NON_ACCRUAL_THRIFT" hidden="1">"c25302"</definedName>
    <definedName name="IQ_RECENT_FUNDS" hidden="1">"c18908"</definedName>
    <definedName name="IQ_RECENT_FUNDS_ID" hidden="1">"c18909"</definedName>
    <definedName name="IQ_RECIPROCAL_BROKERED_DEPOSITS_THRIFT" hidden="1">"c24997"</definedName>
    <definedName name="IQ_RECORDED_INV_PURCHASED_CREDIT_IMPAIRED_LOANS_THRIFT" hidden="1">"c25238"</definedName>
    <definedName name="IQ_RECOVERIES_1_4_FAMILY_LOANS_FDIC" hidden="1">"c6707"</definedName>
    <definedName name="IQ_RECOVERIES_AUTO_LOANS_FDIC" hidden="1">"c6701"</definedName>
    <definedName name="IQ_RECOVERIES_AVG_LOANS_FFIEC" hidden="1">"c13476"</definedName>
    <definedName name="IQ_RECOVERIES_CL_LOANS_FDIC" hidden="1">"c6702"</definedName>
    <definedName name="IQ_RECOVERIES_CREDIT_CARDS_RECEIVABLES_FDIC" hidden="1">"c6704"</definedName>
    <definedName name="IQ_RECOVERIES_GVA_THRIFT" hidden="1">"c25094"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OVERIES_TVA_THRIFT" hidden="1">"c25108"</definedName>
    <definedName name="IQ_RECURRING_PROFIT_ACT_OR_EST" hidden="1">"c4507"</definedName>
    <definedName name="IQ_RECURRING_PROFIT_ACT_OR_EST_CIQ" hidden="1">"c5045"</definedName>
    <definedName name="IQ_RECURRING_PROFIT_EST" hidden="1">"c4499"</definedName>
    <definedName name="IQ_RECURRING_PROFIT_EST_CIQ" hidden="1">"c5037"</definedName>
    <definedName name="IQ_RECURRING_PROFIT_HIGH_EST" hidden="1">"c4501"</definedName>
    <definedName name="IQ_RECURRING_PROFIT_HIGH_EST_CIQ" hidden="1">"c5039"</definedName>
    <definedName name="IQ_RECURRING_PROFIT_LOW_EST" hidden="1">"c4502"</definedName>
    <definedName name="IQ_RECURRING_PROFIT_LOW_EST_CIQ" hidden="1">"c5040"</definedName>
    <definedName name="IQ_RECURRING_PROFIT_MEDIAN_EST" hidden="1">"c4503"</definedName>
    <definedName name="IQ_RECURRING_PROFIT_MEDIAN_EST_CIQ" hidden="1">"c5041"</definedName>
    <definedName name="IQ_RECURRING_PROFIT_NUM_EST" hidden="1">"c4504"</definedName>
    <definedName name="IQ_RECURRING_PROFIT_NUM_EST_CIQ" hidden="1">"c5042"</definedName>
    <definedName name="IQ_RECURRING_PROFIT_SHARE_ACT_OR_EST" hidden="1">"c4508"</definedName>
    <definedName name="IQ_RECURRING_PROFIT_SHARE_ACT_OR_EST_CIQ" hidden="1">"c5046"</definedName>
    <definedName name="IQ_RECURRING_PROFIT_SHARE_EST" hidden="1">"c4506"</definedName>
    <definedName name="IQ_RECURRING_PROFIT_SHARE_EST_CIQ" hidden="1">"c5044"</definedName>
    <definedName name="IQ_RECURRING_PROFIT_SHARE_HIGH_EST" hidden="1">"c4510"</definedName>
    <definedName name="IQ_RECURRING_PROFIT_SHARE_HIGH_EST_CIQ" hidden="1">"c5048"</definedName>
    <definedName name="IQ_RECURRING_PROFIT_SHARE_LOW_EST" hidden="1">"c4511"</definedName>
    <definedName name="IQ_RECURRING_PROFIT_SHARE_LOW_EST_CIQ" hidden="1">"c5049"</definedName>
    <definedName name="IQ_RECURRING_PROFIT_SHARE_MEDIAN_EST" hidden="1">"c4512"</definedName>
    <definedName name="IQ_RECURRING_PROFIT_SHARE_MEDIAN_EST_CIQ" hidden="1">"c5050"</definedName>
    <definedName name="IQ_RECURRING_PROFIT_SHARE_NUM_EST" hidden="1">"c4513"</definedName>
    <definedName name="IQ_RECURRING_PROFIT_SHARE_NUM_EST_CIQ" hidden="1">"c5051"</definedName>
    <definedName name="IQ_RECURRING_PROFIT_SHARE_STDDEV_EST" hidden="1">"c4514"</definedName>
    <definedName name="IQ_RECURRING_PROFIT_SHARE_STDDEV_EST_CIQ" hidden="1">"c5052"</definedName>
    <definedName name="IQ_RECURRING_PROFIT_STDDEV_EST" hidden="1">"c4516"</definedName>
    <definedName name="IQ_RECURRING_PROFIT_STDDEV_EST_CIQ" hidden="1">"c5054"</definedName>
    <definedName name="IQ_REDEEM_PREF_STOCK" localSheetId="12" hidden="1">"c1417"</definedName>
    <definedName name="IQ_REDEEM_PREF_STOCK" localSheetId="7" hidden="1">"c1417"</definedName>
    <definedName name="IQ_REDEEM_PREF_STOCK" hidden="1">"c106"</definedName>
    <definedName name="IQ_REDUCTION_TAX_POSITION_CURRENT_YR" hidden="1">"c15734"</definedName>
    <definedName name="IQ_REDUCTION_TAX_POSITION_PRIOR_YRS" hidden="1">"c15736"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TATED" hidden="1">"c16221"</definedName>
    <definedName name="IQ_REINSTATEMENT_DATE" hidden="1">"c16222"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INSURANCE_RECOVERABLE_ASSETS_LH_FFIEC" hidden="1">"c13104"</definedName>
    <definedName name="IQ_REINSURANCE_RECOVERABLE_ASSETS_PC_FFIEC" hidden="1">"c13098"</definedName>
    <definedName name="IQ_RELATED_PLANS_FDIC" hidden="1">"c6320"</definedName>
    <definedName name="IQ_RENT_AVG_PROP" hidden="1">"c16056"</definedName>
    <definedName name="IQ_RENT_OTHER_INC_FROM_OREO_FFIEC" hidden="1">"c13043"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_SAFE_DEPOSIT_FFIEC" hidden="1">"c13044"</definedName>
    <definedName name="IQ_RENTAL_NOI" hidden="1">"c16065"</definedName>
    <definedName name="IQ_RENTAL_NOI_AVG_GROSS_PROP" hidden="1">"c16057"</definedName>
    <definedName name="IQ_RENTAL_NOI_TOTAL_RENT_REVENUE" hidden="1">"c16061"</definedName>
    <definedName name="IQ_RENTAL_REV" hidden="1">"c1101"</definedName>
    <definedName name="IQ_REPAIRS_MAINTENANCE" hidden="1">"c16032"</definedName>
    <definedName name="IQ_REPO" hidden="1">"c19133"</definedName>
    <definedName name="IQ_REPOSSESS_1_4_DWELLING_UNITS_RE_THRIFT" hidden="1">"c24871"</definedName>
    <definedName name="IQ_REPOSSESS_ASSETS_THRIFT" hidden="1">"c24869"</definedName>
    <definedName name="IQ_REPOSSESS_CONSTRUCTION_RE_THRIFT" hidden="1">"c24870"</definedName>
    <definedName name="IQ_REPOSSESS_GVA_THRIFT" hidden="1">"c24877"</definedName>
    <definedName name="IQ_REPOSSESS_LAND_THRIFT" hidden="1">"c24874"</definedName>
    <definedName name="IQ_REPOSSESS_MULTIFAMILY_5_MORE_DWELLING_UNITS_RE_THRIFT" hidden="1">"c24872"</definedName>
    <definedName name="IQ_REPOSSESS_NONRES_EXCEPT_LAND_RE_THRIFT" hidden="1">"c24873"</definedName>
    <definedName name="IQ_REPOSSESS_OTHER_ASSETS_THRIFT" hidden="1">"c24876"</definedName>
    <definedName name="IQ_REPOSSESS_US_GOVT_GUARANTEED_INSURED_RE_OWNED_THRIFT" hidden="1">"c24875"</definedName>
    <definedName name="IQ_REPOSSESSED_ASSETS_TOTAL_ADJUSTED_NCOS_TOTAL_THRIFT" hidden="1">"c25218"</definedName>
    <definedName name="IQ_REPOSSESSED_ASSETS_TOTAL_GVA_CHARGE_OFFS_THRIFT" hidden="1">"c25133"</definedName>
    <definedName name="IQ_REPOSSESSED_ASSETS_TOTAL_SVA_PROVISIONS_TRANSFERS_FROM_GVA_TOTAL_THRIFT" hidden="1">"c25187"</definedName>
    <definedName name="IQ_REPRICEABLE_EARNING_ASSETS_INT_SENSITIVITY_FFIEC" hidden="1">"c13093"</definedName>
    <definedName name="IQ_REPRICEABLE_INT_DEPOSITS_INT_SENSITIVITY_FFIEC" hidden="1">"c13094"</definedName>
    <definedName name="IQ_REPURCHASED_REBOOKED_GNMA_DUE_30_89_FFIEC" hidden="1">"c13283"</definedName>
    <definedName name="IQ_REPURCHASED_REBOOKED_GNMA_DUE_90_FFIEC" hidden="1">"c13309"</definedName>
    <definedName name="IQ_REPURCHASED_REBOOKED_GNMA_NON_ACCRUAL_FFIEC" hidden="1">"c13334"</definedName>
    <definedName name="IQ_RES_CONST_REAL_APR_FC_UNUSED" hidden="1">"c8536"</definedName>
    <definedName name="IQ_RES_CONST_REAL_APR_FC_UNUSED_UNUSED_UNUSED" hidden="1">"c8536"</definedName>
    <definedName name="IQ_RES_CONST_REAL_APR_UNUSED" hidden="1">"c7656"</definedName>
    <definedName name="IQ_RES_CONST_REAL_APR_UNUSED_UNUSED_UNUSED" hidden="1">"c7656"</definedName>
    <definedName name="IQ_RES_CONST_REAL_FC_UNUSED" hidden="1">"c7876"</definedName>
    <definedName name="IQ_RES_CONST_REAL_FC_UNUSED_UNUSED_UNUSED" hidden="1">"c7876"</definedName>
    <definedName name="IQ_RES_CONST_REAL_POP_FC_UNUSED" hidden="1">"c8096"</definedName>
    <definedName name="IQ_RES_CONST_REAL_POP_FC_UNUSED_UNUSED_UNUSED" hidden="1">"c8096"</definedName>
    <definedName name="IQ_RES_CONST_REAL_POP_UNUSED" hidden="1">"c7216"</definedName>
    <definedName name="IQ_RES_CONST_REAL_POP_UNUSED_UNUSED_UNUSED" hidden="1">"c7216"</definedName>
    <definedName name="IQ_RES_CONST_REAL_SAAR_APR_FC_UNUSED" hidden="1">"c8537"</definedName>
    <definedName name="IQ_RES_CONST_REAL_SAAR_APR_FC_UNUSED_UNUSED_UNUSED" hidden="1">"c8537"</definedName>
    <definedName name="IQ_RES_CONST_REAL_SAAR_APR_UNUSED" hidden="1">"c7657"</definedName>
    <definedName name="IQ_RES_CONST_REAL_SAAR_APR_UNUSED_UNUSED_UNUSED" hidden="1">"c7657"</definedName>
    <definedName name="IQ_RES_CONST_REAL_SAAR_FC_UNUSED" hidden="1">"c7877"</definedName>
    <definedName name="IQ_RES_CONST_REAL_SAAR_FC_UNUSED_UNUSED_UNUSED" hidden="1">"c7877"</definedName>
    <definedName name="IQ_RES_CONST_REAL_SAAR_POP_FC_UNUSED" hidden="1">"c8097"</definedName>
    <definedName name="IQ_RES_CONST_REAL_SAAR_POP_FC_UNUSED_UNUSED_UNUSED" hidden="1">"c8097"</definedName>
    <definedName name="IQ_RES_CONST_REAL_SAAR_POP_UNUSED" hidden="1">"c7217"</definedName>
    <definedName name="IQ_RES_CONST_REAL_SAAR_POP_UNUSED_UNUSED_UNUSED" hidden="1">"c7217"</definedName>
    <definedName name="IQ_RES_CONST_REAL_SAAR_UNUSED" hidden="1">"c6997"</definedName>
    <definedName name="IQ_RES_CONST_REAL_SAAR_UNUSED_UNUSED_UNUSED" hidden="1">"c6997"</definedName>
    <definedName name="IQ_RES_CONST_REAL_SAAR_YOY_FC_UNUSED" hidden="1">"c8317"</definedName>
    <definedName name="IQ_RES_CONST_REAL_SAAR_YOY_FC_UNUSED_UNUSED_UNUSED" hidden="1">"c8317"</definedName>
    <definedName name="IQ_RES_CONST_REAL_SAAR_YOY_UNUSED" hidden="1">"c7437"</definedName>
    <definedName name="IQ_RES_CONST_REAL_SAAR_YOY_UNUSED_UNUSED_UNUSED" hidden="1">"c7437"</definedName>
    <definedName name="IQ_RES_CONST_REAL_UNUSED" hidden="1">"c6996"</definedName>
    <definedName name="IQ_RES_CONST_REAL_UNUSED_UNUSED_UNUSED" hidden="1">"c6996"</definedName>
    <definedName name="IQ_RES_CONST_REAL_YOY_FC_UNUSED" hidden="1">"c8316"</definedName>
    <definedName name="IQ_RES_CONST_REAL_YOY_FC_UNUSED_UNUSED_UNUSED" hidden="1">"c8316"</definedName>
    <definedName name="IQ_RES_CONST_REAL_YOY_UNUSED" hidden="1">"c7436"</definedName>
    <definedName name="IQ_RES_CONST_REAL_YOY_UNUSED_UNUSED_UNUSED" hidden="1">"c7436"</definedName>
    <definedName name="IQ_RES_CONST_SAAR_APR_FC_UNUSED" hidden="1">"c8540"</definedName>
    <definedName name="IQ_RES_CONST_SAAR_APR_FC_UNUSED_UNUSED_UNUSED" hidden="1">"c8540"</definedName>
    <definedName name="IQ_RES_CONST_SAAR_APR_UNUSED" hidden="1">"c7660"</definedName>
    <definedName name="IQ_RES_CONST_SAAR_APR_UNUSED_UNUSED_UNUSED" hidden="1">"c7660"</definedName>
    <definedName name="IQ_RES_CONST_SAAR_FC_UNUSED" hidden="1">"c7880"</definedName>
    <definedName name="IQ_RES_CONST_SAAR_FC_UNUSED_UNUSED_UNUSED" hidden="1">"c7880"</definedName>
    <definedName name="IQ_RES_CONST_SAAR_POP_FC_UNUSED" hidden="1">"c8100"</definedName>
    <definedName name="IQ_RES_CONST_SAAR_POP_FC_UNUSED_UNUSED_UNUSED" hidden="1">"c8100"</definedName>
    <definedName name="IQ_RES_CONST_SAAR_POP_UNUSED" hidden="1">"c7220"</definedName>
    <definedName name="IQ_RES_CONST_SAAR_POP_UNUSED_UNUSED_UNUSED" hidden="1">"c7220"</definedName>
    <definedName name="IQ_RES_CONST_SAAR_UNUSED" hidden="1">"c7000"</definedName>
    <definedName name="IQ_RES_CONST_SAAR_UNUSED_UNUSED_UNUSED" hidden="1">"c7000"</definedName>
    <definedName name="IQ_RES_CONST_SAAR_YOY_FC_UNUSED" hidden="1">"c8320"</definedName>
    <definedName name="IQ_RES_CONST_SAAR_YOY_FC_UNUSED_UNUSED_UNUSED" hidden="1">"c8320"</definedName>
    <definedName name="IQ_RES_CONST_SAAR_YOY_UNUSED" hidden="1">"c7440"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localSheetId="12" hidden="1">"c1419"</definedName>
    <definedName name="IQ_RESEARCH_DEV" localSheetId="7" hidden="1">"c1419"</definedName>
    <definedName name="IQ_RESEARCH_DEV" hidden="1">"c9"</definedName>
    <definedName name="IQ_RESIDENTIAL_LOANS" hidden="1">"c1102"</definedName>
    <definedName name="IQ_RESIDUAL_INTERESTS_INT_ONLY_STRIPS_THRIFT" hidden="1">"c24939"</definedName>
    <definedName name="IQ_RESIDUAL_INTERESTS_THRIFT" hidden="1">"c24938"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FFIEC" hidden="1">"c12958"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CM" hidden="1">"c1106"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SUPPLE" hidden="1">"c13809"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ATALOG_REVENUES" hidden="1">"c9903"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NV_BUILDING_MATERIAL" hidden="1">"c21069"</definedName>
    <definedName name="IQ_RETAIL_INV_CLOTHING" hidden="1">"c21070"</definedName>
    <definedName name="IQ_RETAIL_INV_DEPT_STORE" hidden="1">"c21071"</definedName>
    <definedName name="IQ_RETAIL_INV_FOOD" hidden="1">"c21072"</definedName>
    <definedName name="IQ_RETAIL_INV_FURNITURE" hidden="1">"c21073"</definedName>
    <definedName name="IQ_RETAIL_INV_GENERAL" hidden="1">"c21074"</definedName>
    <definedName name="IQ_RETAIL_INV_MOTOR_VEHICLE" hidden="1">"c21075"</definedName>
    <definedName name="IQ_RETAIL_INV_SALES_RATIO_BUILDING" hidden="1">"c21076"</definedName>
    <definedName name="IQ_RETAIL_INV_SALES_RATIO_CLOTHING" hidden="1">"c21077"</definedName>
    <definedName name="IQ_RETAIL_INV_SALES_RATIO_DEPT_STORE" hidden="1">"c21078"</definedName>
    <definedName name="IQ_RETAIL_INV_SALES_RATIO_FOOD" hidden="1">"c21079"</definedName>
    <definedName name="IQ_RETAIL_INV_SALES_RATIO_FURNITURE" hidden="1">"c21080"</definedName>
    <definedName name="IQ_RETAIL_INV_SALES_RATIO_GENERAL" hidden="1">"c21081"</definedName>
    <definedName name="IQ_RETAIL_INV_SALES_RATIO_MV" hidden="1">"c21082"</definedName>
    <definedName name="IQ_RETAIL_INV_SALES_RATIO_TOTAL" hidden="1">"c21083"</definedName>
    <definedName name="IQ_RETAIL_INV_SALES_RATIO_TOTAL_EX_MV" hidden="1">"c21084"</definedName>
    <definedName name="IQ_RETAIL_INV_TOTAL" hidden="1">"c21085"</definedName>
    <definedName name="IQ_RETAIL_INV_TOTAL_EX_MOTOR_VEHICLE" hidden="1">"c21086"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NLINE_REVENUES" hidden="1">"c9904"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REVENUES" hidden="1">"c9902"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BUILDING_MATERIAL" hidden="1">"c21087"</definedName>
    <definedName name="IQ_RETAIL_SALES_CATALOG" hidden="1">"c16128"</definedName>
    <definedName name="IQ_RETAIL_SALES_CLOTHING" hidden="1">"c21088"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FOODSTUFF" hidden="1">"c21089"</definedName>
    <definedName name="IQ_RETAIL_SALES_FURNITURE" hidden="1">"c21090"</definedName>
    <definedName name="IQ_RETAIL_SALES_GAS" hidden="1">"c21091"</definedName>
    <definedName name="IQ_RETAIL_SALES_GENERAL" hidden="1">"c21092"</definedName>
    <definedName name="IQ_RETAIL_SALES_HEALTH" hidden="1">"c21093"</definedName>
    <definedName name="IQ_RETAIL_SALES_MISC" hidden="1">"c21094"</definedName>
    <definedName name="IQ_RETAIL_SALES_MOTOR_VEHICLE" hidden="1">"c21095"</definedName>
    <definedName name="IQ_RETAIL_SALES_NONSTORES" hidden="1">"c21096"</definedName>
    <definedName name="IQ_RETAIL_SALES_ONLINE" hidden="1">"c16129"</definedName>
    <definedName name="IQ_RETAIL_SALES_POP" hidden="1">"c7223"</definedName>
    <definedName name="IQ_RETAIL_SALES_POP_FC" hidden="1">"c8103"</definedName>
    <definedName name="IQ_RETAIL_SALES_RETAIL" hidden="1">"c16127"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PORTING_GOODS" hidden="1">"c21097"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TOTAL" hidden="1">"c21098"</definedName>
    <definedName name="IQ_RETAIL_SALES_TOTAL_EX_MOTOR_VEHICLE" hidden="1">"c21099"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LES_YOY_PCT" hidden="1">"c21100"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L_WHOLESALE_REVENUES" hidden="1">"c15895"</definedName>
    <definedName name="IQ_RETAINED_EARN" localSheetId="12" hidden="1">"c1420"</definedName>
    <definedName name="IQ_RETAINED_EARN" localSheetId="7" hidden="1">"c1420"</definedName>
    <definedName name="IQ_RETAINED_EARN" hidden="1">"c110"</definedName>
    <definedName name="IQ_RETAINED_EARNINGS_AVERAGE_EQUITY_FDIC" hidden="1">"c6733"</definedName>
    <definedName name="IQ_RETAINED_EARNINGS_EQUITY_FFIEC" hidden="1">"c13348"</definedName>
    <definedName name="IQ_RETAINED_EARNINGS_EQUITY_THRIFT" hidden="1">"c25633"</definedName>
    <definedName name="IQ_RETAINED_EARNINGS_FFIEC" hidden="1">"c12878"</definedName>
    <definedName name="IQ_RETAINED_EARNINGS_THRIFT" hidden="1">"c24919"</definedName>
    <definedName name="IQ_RETIREMENT_DEFINED_BENEFIT_INC_THRIFT" hidden="1">"c24803"</definedName>
    <definedName name="IQ_RETIREMENT_DEFINED_CONT_INC_THRIFT" hidden="1">"c24802"</definedName>
    <definedName name="IQ_RETIREMENT_DEPOSITS_LESS_THAN_250000_THRIFT" hidden="1">"c24990"</definedName>
    <definedName name="IQ_RETIREMENT_DEPOSITS_WITH_BALANCES_GREATER_THAN_250000_THRIFT" hidden="1">"c24991"</definedName>
    <definedName name="IQ_RETIREMENT_OTHER_RETIREMENT_ACCOUNTS_INC_THRIFT" hidden="1">"c24804"</definedName>
    <definedName name="IQ_RETIREMENT_RELATED_EMPLOYEE_BENEFIT_ACCOUNTS_GROSS_LOSSES_MANAGED_ACCOUNTS_THRIFT" hidden="1">"c25462"</definedName>
    <definedName name="IQ_RETIREMENT_RELATED_EMPLOYEE_BENEFIT_ACCOUNTS_GROSS_LOSSES_NONMANAGED_ACCOUNTS_THRIFT" hidden="1">"c25467"</definedName>
    <definedName name="IQ_RETIREMENT_RELATED_EMPLOYEE_BENEFIT_ACCOUNTS_RECOVERIES_THRIFT" hidden="1">"c25472"</definedName>
    <definedName name="IQ_RETIREMENT_RELATED_TRUST_AGENCY_ACCOUNTS_EMPLOYEE_BENEFIT_DEFINED_BENEFIT_MANAGED_ASSETS_THRIFT" hidden="1">"c25349"</definedName>
    <definedName name="IQ_RETIREMENT_RELATED_TRUST_AGENCY_ACCOUNTS_EMPLOYEE_BENEFIT_DEFINED_BENEFIT_NONMANAGED_ASSETS_THRIFT" hidden="1">"c25370"</definedName>
    <definedName name="IQ_RETIREMENT_RELATED_TRUST_AGENCY_ACCOUNTS_EMPLOYEE_BENEFIT_DEFINED_BENEFIT_NUMBER_MANAGED_ACCOUNTS_THRIFT" hidden="1">"c25360"</definedName>
    <definedName name="IQ_RETIREMENT_RELATED_TRUST_AGENCY_ACCOUNTS_EMPLOYEE_BENEFIT_DEFINED_BENEFIT_NUMBER_NONMANAGED_ACCOUNTS_THRIFT" hidden="1">"c25382"</definedName>
    <definedName name="IQ_RETIREMENT_RELATED_TRUST_AGENCY_ACCOUNTS_EMPLOYEE_BENEFIT_DEFINED_CONTRIBUTION_MANAGED_ASSETS_THRIFT" hidden="1">"c25348"</definedName>
    <definedName name="IQ_RETIREMENT_RELATED_TRUST_AGENCY_ACCOUNTS_EMPLOYEE_BENEFIT_DEFINED_CONTRIBUTION_NONMANAGED_ASSETS_THRIFT" hidden="1">"c25369"</definedName>
    <definedName name="IQ_RETIREMENT_RELATED_TRUST_AGENCY_ACCOUNTS_EMPLOYEE_BENEFIT_DEFINED_CONTRIBUTION_NUMBER_MANAGED_ACCOUNTS_THRIFT" hidden="1">"c25359"</definedName>
    <definedName name="IQ_RETIREMENT_RELATED_TRUST_AGENCY_ACCOUNTS_EMPLOYEE_BENEFIT_DEFINED_CONTRIBUTION_NUMBER_NONMANAGED_ACCOUNTS_THRIFT" hidden="1">"c25381"</definedName>
    <definedName name="IQ_RETIREMENT_RELATED_TRUST_AGENCY_ACCOUNTS_EMPLOYEE_BENEFIT_OTHER_MANAGED_ASSETS_THRIFT" hidden="1">"c25350"</definedName>
    <definedName name="IQ_RETIREMENT_RELATED_TRUST_AGENCY_ACCOUNTS_EMPLOYEE_BENEFIT_OTHER_NONMANAGED_ASSETS_THRIFT" hidden="1">"c25371"</definedName>
    <definedName name="IQ_RETIREMENT_RELATED_TRUST_AGENCY_ACCOUNTS_EMPLOYEE_BENEFIT_OTHER_NUMBER_MANAGED_ACCOUNTS_THRIFT" hidden="1">"c25361"</definedName>
    <definedName name="IQ_RETIREMENT_RELATED_TRUST_AGENCY_ACCOUNTS_EMPLOYEE_BENEFIT_OTHER_NUMBER_NONMANAGED_ACCOUNTS_THRIFT" hidden="1">"c25383"</definedName>
    <definedName name="IQ_RETURN_ASSETS" localSheetId="12" hidden="1">"c1113"</definedName>
    <definedName name="IQ_RETURN_ASSETS" localSheetId="7" hidden="1">"c1113"</definedName>
    <definedName name="IQ_RETURN_ASSETS" hidden="1">"c145"</definedName>
    <definedName name="IQ_RETURN_ASSETS_ACT_OR_EST" hidden="1">"c3585"</definedName>
    <definedName name="IQ_RETURN_ASSETS_ACT_OR_EST_CIQ" hidden="1">"c12020"</definedName>
    <definedName name="IQ_RETURN_ASSETS_BANK" hidden="1">"c1114"</definedName>
    <definedName name="IQ_RETURN_ASSETS_BROK" hidden="1">"c1115"</definedName>
    <definedName name="IQ_RETURN_ASSETS_CM" hidden="1">"c1115"</definedName>
    <definedName name="IQ_RETURN_ASSETS_DET_EST" hidden="1">"c12066"</definedName>
    <definedName name="IQ_RETURN_ASSETS_DET_EST_CIQ" hidden="1">"c12130"</definedName>
    <definedName name="IQ_RETURN_ASSETS_DET_EST_DATE" hidden="1">"c12219"</definedName>
    <definedName name="IQ_RETURN_ASSETS_DET_EST_DATE_CIQ" hidden="1">"c12276"</definedName>
    <definedName name="IQ_RETURN_ASSETS_DET_EST_INCL" hidden="1">"c12356"</definedName>
    <definedName name="IQ_RETURN_ASSETS_DET_EST_INCL_CIQ" hidden="1">"c12404"</definedName>
    <definedName name="IQ_RETURN_ASSETS_DET_EST_NOTE" hidden="1">"c17543"</definedName>
    <definedName name="IQ_RETURN_ASSETS_DET_EST_NOTE_CIQ" hidden="1">"c17496"</definedName>
    <definedName name="IQ_RETURN_ASSETS_DET_EST_ORIGIN" hidden="1">"c12591"</definedName>
    <definedName name="IQ_RETURN_ASSETS_DET_EST_ORIGIN_CIQ" hidden="1">"c12645"</definedName>
    <definedName name="IQ_RETURN_ASSETS_EST" hidden="1">"c3529"</definedName>
    <definedName name="IQ_RETURN_ASSETS_EST_CIQ" hidden="1">"c3828"</definedName>
    <definedName name="IQ_RETURN_ASSETS_EST_DOWN_2MONTH" hidden="1">"c16537"</definedName>
    <definedName name="IQ_RETURN_ASSETS_EST_DOWN_2MONTH_CIQ" hidden="1">"c16801"</definedName>
    <definedName name="IQ_RETURN_ASSETS_EST_DOWN_3MONTH" hidden="1">"c16541"</definedName>
    <definedName name="IQ_RETURN_ASSETS_EST_DOWN_3MONTH_CIQ" hidden="1">"c16805"</definedName>
    <definedName name="IQ_RETURN_ASSETS_EST_DOWN_MONTH" hidden="1">"c16533"</definedName>
    <definedName name="IQ_RETURN_ASSETS_EST_DOWN_MONTH_CIQ" hidden="1">"c16797"</definedName>
    <definedName name="IQ_RETURN_ASSETS_EST_NOTE" hidden="1">"c17520"</definedName>
    <definedName name="IQ_RETURN_ASSETS_EST_NOTE_CIQ" hidden="1">"c17473"</definedName>
    <definedName name="IQ_RETURN_ASSETS_EST_NUM_ANALYSTS_2MONTH" hidden="1">"c16535"</definedName>
    <definedName name="IQ_RETURN_ASSETS_EST_NUM_ANALYSTS_2MONTH_CIQ" hidden="1">"c16799"</definedName>
    <definedName name="IQ_RETURN_ASSETS_EST_NUM_ANALYSTS_3MONTH" hidden="1">"c16539"</definedName>
    <definedName name="IQ_RETURN_ASSETS_EST_NUM_ANALYSTS_3MONTH_CIQ" hidden="1">"c16803"</definedName>
    <definedName name="IQ_RETURN_ASSETS_EST_NUM_ANALYSTS_MONTH" hidden="1">"c16531"</definedName>
    <definedName name="IQ_RETURN_ASSETS_EST_NUM_ANALYSTS_MONTH_CIQ" hidden="1">"c16795"</definedName>
    <definedName name="IQ_RETURN_ASSETS_EST_TOTAL_REVISED_2MONTH" hidden="1">"c16538"</definedName>
    <definedName name="IQ_RETURN_ASSETS_EST_TOTAL_REVISED_2MONTH_CIQ" hidden="1">"c16802"</definedName>
    <definedName name="IQ_RETURN_ASSETS_EST_TOTAL_REVISED_3MONTH" hidden="1">"c16542"</definedName>
    <definedName name="IQ_RETURN_ASSETS_EST_TOTAL_REVISED_3MONTH_CIQ" hidden="1">"c16806"</definedName>
    <definedName name="IQ_RETURN_ASSETS_EST_TOTAL_REVISED_MONTH" hidden="1">"c16534"</definedName>
    <definedName name="IQ_RETURN_ASSETS_EST_TOTAL_REVISED_MONTH_CIQ" hidden="1">"c16798"</definedName>
    <definedName name="IQ_RETURN_ASSETS_EST_UP_2MONTH" hidden="1">"c16536"</definedName>
    <definedName name="IQ_RETURN_ASSETS_EST_UP_2MONTH_CIQ" hidden="1">"c16800"</definedName>
    <definedName name="IQ_RETURN_ASSETS_EST_UP_3MONTH" hidden="1">"c16540"</definedName>
    <definedName name="IQ_RETURN_ASSETS_EST_UP_3MONTH_CIQ" hidden="1">"c16804"</definedName>
    <definedName name="IQ_RETURN_ASSETS_EST_UP_MONTH" hidden="1">"c16532"</definedName>
    <definedName name="IQ_RETURN_ASSETS_EST_UP_MONTH_CIQ" hidden="1">"c16796"</definedName>
    <definedName name="IQ_RETURN_ASSETS_FDIC" hidden="1">"c6730"</definedName>
    <definedName name="IQ_RETURN_ASSETS_FS" hidden="1">"c1116"</definedName>
    <definedName name="IQ_RETURN_ASSETS_GUIDANCE" hidden="1">"c4517"</definedName>
    <definedName name="IQ_RETURN_ASSETS_HIGH_EST" hidden="1">"c3530"</definedName>
    <definedName name="IQ_RETURN_ASSETS_HIGH_EST_CIQ" hidden="1">"c3830"</definedName>
    <definedName name="IQ_RETURN_ASSETS_HIGH_GUIDANCE" hidden="1">"c4183"</definedName>
    <definedName name="IQ_RETURN_ASSETS_LOW_EST" hidden="1">"c3531"</definedName>
    <definedName name="IQ_RETURN_ASSETS_LOW_EST_CIQ" hidden="1">"c3831"</definedName>
    <definedName name="IQ_RETURN_ASSETS_LOW_GUIDANCE" hidden="1">"c4223"</definedName>
    <definedName name="IQ_RETURN_ASSETS_MEDIAN_EST" hidden="1">"c3532"</definedName>
    <definedName name="IQ_RETURN_ASSETS_MEDIAN_EST_CIQ" hidden="1">"c3829"</definedName>
    <definedName name="IQ_RETURN_ASSETS_NUM_EST" hidden="1">"c3527"</definedName>
    <definedName name="IQ_RETURN_ASSETS_NUM_EST_CIQ" hidden="1">"c3832"</definedName>
    <definedName name="IQ_RETURN_ASSETS_STDDEV_EST" hidden="1">"c3528"</definedName>
    <definedName name="IQ_RETURN_ASSETS_STDDEV_EST_CIQ" hidden="1">"c3833"</definedName>
    <definedName name="IQ_RETURN_CAPITAL" hidden="1">"c1117"</definedName>
    <definedName name="IQ_RETURN_COMMON_EQUITY" hidden="1">"c13838"</definedName>
    <definedName name="IQ_RETURN_EMBEDDED_VALUE" hidden="1">"c9974"</definedName>
    <definedName name="IQ_RETURN_EQUITY" localSheetId="12" hidden="1">"c1118"</definedName>
    <definedName name="IQ_RETURN_EQUITY" localSheetId="7" hidden="1">"c1118"</definedName>
    <definedName name="IQ_RETURN_EQUITY" hidden="1">"c146"</definedName>
    <definedName name="IQ_RETURN_EQUITY_ACT_OR_EST" hidden="1">"c3586"</definedName>
    <definedName name="IQ_RETURN_EQUITY_ACT_OR_EST_CIQ" hidden="1">"c12021"</definedName>
    <definedName name="IQ_RETURN_EQUITY_BANK" hidden="1">"c1119"</definedName>
    <definedName name="IQ_RETURN_EQUITY_BROK" hidden="1">"c1120"</definedName>
    <definedName name="IQ_RETURN_EQUITY_CM" hidden="1">"c1120"</definedName>
    <definedName name="IQ_RETURN_EQUITY_DET_EST" hidden="1">"c12067"</definedName>
    <definedName name="IQ_RETURN_EQUITY_DET_EST_CIQ" hidden="1">"c12131"</definedName>
    <definedName name="IQ_RETURN_EQUITY_DET_EST_DATE" hidden="1">"c12220"</definedName>
    <definedName name="IQ_RETURN_EQUITY_DET_EST_DATE_CIQ" hidden="1">"c12277"</definedName>
    <definedName name="IQ_RETURN_EQUITY_DET_EST_INCL" hidden="1">"c12357"</definedName>
    <definedName name="IQ_RETURN_EQUITY_DET_EST_INCL_CIQ" hidden="1">"c12405"</definedName>
    <definedName name="IQ_RETURN_EQUITY_DET_EST_NOTE" hidden="1">"c17544"</definedName>
    <definedName name="IQ_RETURN_EQUITY_DET_EST_NOTE_CIQ" hidden="1">"c17497"</definedName>
    <definedName name="IQ_RETURN_EQUITY_DET_EST_ORIGIN" hidden="1">"c12592"</definedName>
    <definedName name="IQ_RETURN_EQUITY_DET_EST_ORIGIN_CIQ" hidden="1">"c12646"</definedName>
    <definedName name="IQ_RETURN_EQUITY_EST" hidden="1">"c3535"</definedName>
    <definedName name="IQ_RETURN_EQUITY_EST_CIQ" hidden="1">"c3821"</definedName>
    <definedName name="IQ_RETURN_EQUITY_EST_DOWN_2MONTH" hidden="1">"c16549"</definedName>
    <definedName name="IQ_RETURN_EQUITY_EST_DOWN_2MONTH_CIQ" hidden="1">"c16813"</definedName>
    <definedName name="IQ_RETURN_EQUITY_EST_DOWN_3MONTH" hidden="1">"c16553"</definedName>
    <definedName name="IQ_RETURN_EQUITY_EST_DOWN_3MONTH_CIQ" hidden="1">"c16817"</definedName>
    <definedName name="IQ_RETURN_EQUITY_EST_DOWN_MONTH" hidden="1">"c16545"</definedName>
    <definedName name="IQ_RETURN_EQUITY_EST_DOWN_MONTH_CIQ" hidden="1">"c16809"</definedName>
    <definedName name="IQ_RETURN_EQUITY_EST_NOTE" hidden="1">"c17521"</definedName>
    <definedName name="IQ_RETURN_EQUITY_EST_NOTE_CIQ" hidden="1">"c17474"</definedName>
    <definedName name="IQ_RETURN_EQUITY_EST_NUM_ANALYSTS_2MONTH" hidden="1">"c16547"</definedName>
    <definedName name="IQ_RETURN_EQUITY_EST_NUM_ANALYSTS_2MONTH_CIQ" hidden="1">"c16811"</definedName>
    <definedName name="IQ_RETURN_EQUITY_EST_NUM_ANALYSTS_3MONTH" hidden="1">"c16551"</definedName>
    <definedName name="IQ_RETURN_EQUITY_EST_NUM_ANALYSTS_3MONTH_CIQ" hidden="1">"c16815"</definedName>
    <definedName name="IQ_RETURN_EQUITY_EST_NUM_ANALYSTS_MONTH" hidden="1">"c16543"</definedName>
    <definedName name="IQ_RETURN_EQUITY_EST_NUM_ANALYSTS_MONTH_CIQ" hidden="1">"c16807"</definedName>
    <definedName name="IQ_RETURN_EQUITY_EST_TOTAL_REVISED_2MONTH" hidden="1">"c16550"</definedName>
    <definedName name="IQ_RETURN_EQUITY_EST_TOTAL_REVISED_2MONTH_CIQ" hidden="1">"c16814"</definedName>
    <definedName name="IQ_RETURN_EQUITY_EST_TOTAL_REVISED_3MONTH" hidden="1">"c16554"</definedName>
    <definedName name="IQ_RETURN_EQUITY_EST_TOTAL_REVISED_3MONTH_CIQ" hidden="1">"c16818"</definedName>
    <definedName name="IQ_RETURN_EQUITY_EST_TOTAL_REVISED_MONTH" hidden="1">"c16546"</definedName>
    <definedName name="IQ_RETURN_EQUITY_EST_TOTAL_REVISED_MONTH_CIQ" hidden="1">"c16810"</definedName>
    <definedName name="IQ_RETURN_EQUITY_EST_UP_2MONTH" hidden="1">"c16548"</definedName>
    <definedName name="IQ_RETURN_EQUITY_EST_UP_2MONTH_CIQ" hidden="1">"c16812"</definedName>
    <definedName name="IQ_RETURN_EQUITY_EST_UP_3MONTH" hidden="1">"c16552"</definedName>
    <definedName name="IQ_RETURN_EQUITY_EST_UP_3MONTH_CIQ" hidden="1">"c16816"</definedName>
    <definedName name="IQ_RETURN_EQUITY_EST_UP_MONTH" hidden="1">"c16544"</definedName>
    <definedName name="IQ_RETURN_EQUITY_EST_UP_MONTH_CIQ" hidden="1">"c16808"</definedName>
    <definedName name="IQ_RETURN_EQUITY_FDIC" hidden="1">"c6732"</definedName>
    <definedName name="IQ_RETURN_EQUITY_FS" hidden="1">"c1121"</definedName>
    <definedName name="IQ_RETURN_EQUITY_GUIDANCE" hidden="1">"c4518"</definedName>
    <definedName name="IQ_RETURN_EQUITY_HIGH_EST" hidden="1">"c3536"</definedName>
    <definedName name="IQ_RETURN_EQUITY_HIGH_EST_CIQ" hidden="1">"c3823"</definedName>
    <definedName name="IQ_RETURN_EQUITY_HIGH_GUIDANCE" hidden="1">"c4182"</definedName>
    <definedName name="IQ_RETURN_EQUITY_LOW_EST" hidden="1">"c3537"</definedName>
    <definedName name="IQ_RETURN_EQUITY_LOW_EST_CIQ" hidden="1">"c3824"</definedName>
    <definedName name="IQ_RETURN_EQUITY_LOW_GUIDANCE" hidden="1">"c4222"</definedName>
    <definedName name="IQ_RETURN_EQUITY_MEDIAN_EST" hidden="1">"c3538"</definedName>
    <definedName name="IQ_RETURN_EQUITY_MEDIAN_EST_CIQ" hidden="1">"c3822"</definedName>
    <definedName name="IQ_RETURN_EQUITY_NUM_EST" hidden="1">"c3533"</definedName>
    <definedName name="IQ_RETURN_EQUITY_NUM_EST_CIQ" hidden="1">"c3825"</definedName>
    <definedName name="IQ_RETURN_EQUITY_STDDEV_EST" hidden="1">"c3534"</definedName>
    <definedName name="IQ_RETURN_EQUITY_STDDEV_EST_CIQ" hidden="1">"c3826"</definedName>
    <definedName name="IQ_RETURN_INVESTMENT" localSheetId="12" hidden="1">"c1421"</definedName>
    <definedName name="IQ_RETURN_INVESTMENT" localSheetId="7" hidden="1">"c1421"</definedName>
    <definedName name="IQ_RETURN_INVESTMENT" hidden="1">"c144"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BEFORE_LOAN_LOSS_FOREIGN_FFIEC" hidden="1">"c15381"</definedName>
    <definedName name="IQ_REV_DET_EST" hidden="1">"c12065"</definedName>
    <definedName name="IQ_REV_DET_EST_CIQ" hidden="1">"c12129"</definedName>
    <definedName name="IQ_REV_DET_EST_CURRENCY" hidden="1">"c12472"</definedName>
    <definedName name="IQ_REV_DET_EST_CURRENCY_CIQ" hidden="1">"c12520"</definedName>
    <definedName name="IQ_REV_DET_EST_DATE" hidden="1">"c12218"</definedName>
    <definedName name="IQ_REV_DET_EST_DATE_CIQ" hidden="1">"c12275"</definedName>
    <definedName name="IQ_REV_DET_EST_INCL" hidden="1">"c12355"</definedName>
    <definedName name="IQ_REV_DET_EST_INCL_CIQ" hidden="1">"c12403"</definedName>
    <definedName name="IQ_REV_DET_EST_NOTE" hidden="1">"c17525"</definedName>
    <definedName name="IQ_REV_DET_EST_NOTE_CIQ" hidden="1">"c17478"</definedName>
    <definedName name="IQ_REV_DET_EST_ORIGIN" hidden="1">"c12590"</definedName>
    <definedName name="IQ_REV_DET_EST_ORIGIN_CIQ" hidden="1">"c12644"</definedName>
    <definedName name="IQ_REV_NAME_AP" hidden="1">"c8911"</definedName>
    <definedName name="IQ_REV_NAME_AP_ABS" hidden="1">"c8930"</definedName>
    <definedName name="IQ_REV_STDDEV_EST" hidden="1">"c264"</definedName>
    <definedName name="IQ_REV_STDDEV_EST_CIQ" hidden="1">"c3621"</definedName>
    <definedName name="IQ_REV_UTI" hidden="1">"c1125"</definedName>
    <definedName name="IQ_REVALUATION_GAINS_DERIVATIVE_DOM_FFIEC" hidden="1">"c12828"</definedName>
    <definedName name="IQ_REVALUATION_GAINS_DERIVATIVE_FOREIGN_FFIEC" hidden="1">"c12829"</definedName>
    <definedName name="IQ_REVALUATION_GAINS_FDIC" hidden="1">"c6428"</definedName>
    <definedName name="IQ_REVALUATION_LOSSES_FDIC" hidden="1">"c6429"</definedName>
    <definedName name="IQ_REVALUATION_NON_TRADING_PROP" hidden="1">"c15999"</definedName>
    <definedName name="IQ_REVENUE" localSheetId="12" hidden="1">"c1422"</definedName>
    <definedName name="IQ_REVENUE" localSheetId="7" hidden="1">"c1422"</definedName>
    <definedName name="IQ_REVENUE" hidden="1">"c3"</definedName>
    <definedName name="IQ_REVENUE_ACT_OR_EST" hidden="1">"c2214"</definedName>
    <definedName name="IQ_REVENUE_ACT_OR_EST_CIQ" hidden="1">"c5059"</definedName>
    <definedName name="IQ_REVENUE_ADVERTISING" hidden="1">"c2880"</definedName>
    <definedName name="IQ_REVENUE_ANALOG_CABLE" hidden="1">"c2875"</definedName>
    <definedName name="IQ_REVENUE_BASIC_CABLE" hidden="1">"c2877"</definedName>
    <definedName name="IQ_REVENUE_BBAND" hidden="1">"c2878"</definedName>
    <definedName name="IQ_REVENUE_BEFORE_LL_FFIEC" hidden="1">"c13018"</definedName>
    <definedName name="IQ_REVENUE_BEFORE_LL_THRIFT" hidden="1">"c24782"</definedName>
    <definedName name="IQ_REVENUE_COMMERCIAL" hidden="1">"c2881"</definedName>
    <definedName name="IQ_REVENUE_DIGITAL_CABLE" hidden="1">"c2876"</definedName>
    <definedName name="IQ_REVENUE_EST" hidden="1">"c188"</definedName>
    <definedName name="IQ_REVENUE_EST_BOTTOM_UP" hidden="1">"c5488"</definedName>
    <definedName name="IQ_REVENUE_EST_BOTTOM_UP_CIQ" hidden="1">"c12025"</definedName>
    <definedName name="IQ_REVENUE_EST_CIQ" hidden="1">"c3616"</definedName>
    <definedName name="IQ_REVENUE_EST_DOWN_2MONTH" hidden="1">"c16285"</definedName>
    <definedName name="IQ_REVENUE_EST_DOWN_2MONTH_CIQ" hidden="1">"c16609"</definedName>
    <definedName name="IQ_REVENUE_EST_DOWN_3MONTH" hidden="1">"c16289"</definedName>
    <definedName name="IQ_REVENUE_EST_DOWN_3MONTH_CIQ" hidden="1">"c16613"</definedName>
    <definedName name="IQ_REVENUE_EST_DOWN_MONTH" hidden="1">"c16281"</definedName>
    <definedName name="IQ_REVENUE_EST_DOWN_MONTH_CIQ" hidden="1">"c16605"</definedName>
    <definedName name="IQ_REVENUE_EST_NOTE" hidden="1">"c17502"</definedName>
    <definedName name="IQ_REVENUE_EST_NOTE_CIQ" hidden="1">"c17455"</definedName>
    <definedName name="IQ_REVENUE_EST_NUM_ANALYSTS_2MONTH" hidden="1">"c16283"</definedName>
    <definedName name="IQ_REVENUE_EST_NUM_ANALYSTS_2MONTH_CIQ" hidden="1">"c16607"</definedName>
    <definedName name="IQ_REVENUE_EST_NUM_ANALYSTS_3MONTH" hidden="1">"c16287"</definedName>
    <definedName name="IQ_REVENUE_EST_NUM_ANALYSTS_3MONTH_CIQ" hidden="1">"c16611"</definedName>
    <definedName name="IQ_REVENUE_EST_NUM_ANALYSTS_MONTH" hidden="1">"c16279"</definedName>
    <definedName name="IQ_REVENUE_EST_NUM_ANALYSTS_MONTH_CIQ" hidden="1">"c16603"</definedName>
    <definedName name="IQ_REVENUE_EST_TOTAL_REVISED_2MONTH" hidden="1">"c16286"</definedName>
    <definedName name="IQ_REVENUE_EST_TOTAL_REVISED_2MONTH_CIQ" hidden="1">"c16610"</definedName>
    <definedName name="IQ_REVENUE_EST_TOTAL_REVISED_3MONTH" hidden="1">"c16290"</definedName>
    <definedName name="IQ_REVENUE_EST_TOTAL_REVISED_3MONTH_CIQ" hidden="1">"c16614"</definedName>
    <definedName name="IQ_REVENUE_EST_TOTAL_REVISED_MONTH" hidden="1">"c16282"</definedName>
    <definedName name="IQ_REVENUE_EST_TOTAL_REVISED_MONTH_CIQ" hidden="1">"c16606"</definedName>
    <definedName name="IQ_REVENUE_EST_UP_2MONTH" hidden="1">"c16284"</definedName>
    <definedName name="IQ_REVENUE_EST_UP_2MONTH_CIQ" hidden="1">"c16608"</definedName>
    <definedName name="IQ_REVENUE_EST_UP_3MONTH" hidden="1">"c16288"</definedName>
    <definedName name="IQ_REVENUE_EST_UP_3MONTH_CIQ" hidden="1">"c16612"</definedName>
    <definedName name="IQ_REVENUE_EST_UP_MONTH" hidden="1">"c16280"</definedName>
    <definedName name="IQ_REVENUE_EST_UP_MONTH_CIQ" hidden="1">"c16604"</definedName>
    <definedName name="IQ_REVENUE_GUIDANCE" hidden="1">"c4519"</definedName>
    <definedName name="IQ_REVENUE_HIGH_EST" hidden="1">"c261"</definedName>
    <definedName name="IQ_REVENUE_HIGH_EST_CIQ" hidden="1">"c3618"</definedName>
    <definedName name="IQ_REVENUE_HIGH_GUIDANCE" hidden="1">"c4169"</definedName>
    <definedName name="IQ_REVENUE_LOW_EST" hidden="1">"c262"</definedName>
    <definedName name="IQ_REVENUE_LOW_EST_CIQ" hidden="1">"c3619"</definedName>
    <definedName name="IQ_REVENUE_LOW_GUIDANCE" hidden="1">"c4209"</definedName>
    <definedName name="IQ_REVENUE_MEDIAN_EST" hidden="1">"c1662"</definedName>
    <definedName name="IQ_REVENUE_MEDIAN_EST_CIQ" hidden="1">"c3617"</definedName>
    <definedName name="IQ_REVENUE_NUM_EST" hidden="1">"c263"</definedName>
    <definedName name="IQ_REVENUE_NUM_EST_CIQ" hidden="1">"c3620"</definedName>
    <definedName name="IQ_REVENUE_OTHER" hidden="1">"c2882"</definedName>
    <definedName name="IQ_REVENUE_PHONE" hidden="1">"c2879"</definedName>
    <definedName name="IQ_REVENUE_TOTAL" hidden="1">"c2883"</definedName>
    <definedName name="IQ_REVENUES_SATELLITE" hidden="1">"c15792"</definedName>
    <definedName name="IQ_REVENUES_WIRELESS" hidden="1">"c15793"</definedName>
    <definedName name="IQ_REVERSE_REPO" hidden="1">"c19131"</definedName>
    <definedName name="IQ_REVISION_DATE_" hidden="1">40589.5727430556</definedName>
    <definedName name="IQ_REVOLV_OPEN_SECURED_1_4_LL_REC_DOM_FFIEC" hidden="1">"c12902"</definedName>
    <definedName name="IQ_REVOLVING_HOME_EQUITY_LINES_UNUSED_FFIEC" hidden="1">"c13241"</definedName>
    <definedName name="IQ_REVOLVING_LOANS_GROSS_LOANS_FFIEC" hidden="1">"c13398"</definedName>
    <definedName name="IQ_REVOLVING_LOANS_GROSS_LOANS_THRIFT" hidden="1">"c25723"</definedName>
    <definedName name="IQ_REVOLVING_LOANS_RISK_BASED_CAPITAL_THRIFT" hidden="1">"c25708"</definedName>
    <definedName name="IQ_REVOLVING_LOANS_RISK_BASED_FFIEC" hidden="1">"c13419"</definedName>
    <definedName name="IQ_REVOLVING_LOANS_SEC_1_4_DOM_CHARGE_OFFS_FFIEC" hidden="1">"c13168"</definedName>
    <definedName name="IQ_REVOLVING_LOANS_SEC_1_4_DOM_RECOV_FFIEC" hidden="1">"c13190"</definedName>
    <definedName name="IQ_REVOLVING_OPEN_END_1_4_TRADING_DOM_FFIEC" hidden="1">"c12927"</definedName>
    <definedName name="IQ_REVOLVING_OPEN_END_PML_SECURED_1_4_DWELLING_UNITS_DUE_30_89_THRIFT" hidden="1">"c25241"</definedName>
    <definedName name="IQ_REVOLVING_OPEN_END_PML_SECURED_1_4_DWELLING_UNITS_DUE_90_THRIFT" hidden="1">"c25262"</definedName>
    <definedName name="IQ_REVOLVING_OPEN_END_PML_SECURED_1_4_DWELLING_UNITS_NON_ACCRUAL_THRIFT" hidden="1">"c25283"</definedName>
    <definedName name="IQ_REVOLVING_SECURED_1_4_DUE_30_89_FFIEC" hidden="1">"c13260"</definedName>
    <definedName name="IQ_REVOLVING_SECURED_1_4_DUE_90_FFIEC" hidden="1">"c13288"</definedName>
    <definedName name="IQ_REVOLVING_SECURED_1_4_NON_ACCRUAL_FFIEC" hidden="1">"c13314"</definedName>
    <definedName name="IQ_RGU" hidden="1">"c2863"</definedName>
    <definedName name="IQ_RISK_ADJ_BANK_ASSETS" hidden="1">"c2670"</definedName>
    <definedName name="IQ_RISK_WEIGHTED_ASSETS_0_PCT_FFIEC" hidden="1">"c18874"</definedName>
    <definedName name="IQ_RISK_WEIGHTED_ASSETS_100_PCT_FFIEC" hidden="1">"c18877"</definedName>
    <definedName name="IQ_RISK_WEIGHTED_ASSETS_20_PCT_FFIEC" hidden="1">"c18875"</definedName>
    <definedName name="IQ_RISK_WEIGHTED_ASSETS_50_PCT_FFIEC" hidden="1">"c18876"</definedName>
    <definedName name="IQ_RISK_WEIGHTED_ASSETS_BEFORE_EXCESS_ALLOWANCE_LL_LOSSES_THRIFT" hidden="1">"c25077"</definedName>
    <definedName name="IQ_RISK_WEIGHTED_ASSETS_FDIC" hidden="1">"c6370"</definedName>
    <definedName name="IQ_RISK_WEIGHTED_ASSETS_LOW_LEVEL_RECOURSE_RESIDUAL_INTERESTS_THRIFT" hidden="1">"c25075"</definedName>
    <definedName name="IQ_ROAM_MIN_USE_OTHER_CARRIERS" hidden="1">"c15765"</definedName>
    <definedName name="IQ_ROYALTIES_DUE_AFTER_FIVE" hidden="1">"c15969"</definedName>
    <definedName name="IQ_ROYALTIES_DUE_CY" hidden="1">"c15964"</definedName>
    <definedName name="IQ_ROYALTIES_DUE_CY1" hidden="1">"c15965"</definedName>
    <definedName name="IQ_ROYALTIES_DUE_CY2" hidden="1">"c15966"</definedName>
    <definedName name="IQ_ROYALTIES_DUE_CY3" hidden="1">"c15967"</definedName>
    <definedName name="IQ_ROYALTIES_DUE_CY4" hidden="1">"c15968"</definedName>
    <definedName name="IQ_ROYALTY_REVENUE_COAL" hidden="1">"c15932"</definedName>
    <definedName name="IQ_RSI" hidden="1">"c12704"</definedName>
    <definedName name="IQ_RSI_ADJ" hidden="1">"c12705"</definedName>
    <definedName name="IQ_RSSD_ID_FFIEC" hidden="1">"c20506"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IES_EMPLOYEE_BENEFITS_FFIEC" hidden="1">"c13023"</definedName>
    <definedName name="IQ_SALARIES_EMPLOYEE_BENEFITS_THRIFT" hidden="1">"c24786"</definedName>
    <definedName name="IQ_SALARIES_OTHER_BENEFITS" hidden="1">"c16176"</definedName>
    <definedName name="IQ_SALARY" hidden="1">"c1130"</definedName>
    <definedName name="IQ_SALARY_FDIC" hidden="1">"c6576"</definedName>
    <definedName name="IQ_SALE_COMMON_GROSS_FFIEC" hidden="1">"c12963"</definedName>
    <definedName name="IQ_SALE_CONVERSION_ACQUISITION_NET_COMMON_FFIEC" hidden="1">"c15351"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CM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CM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PREF_FFIEC" hidden="1">"c12961"</definedName>
    <definedName name="IQ_SALE_PROP" hidden="1">"c16029"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CM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_TREASURY_FFIEC" hidden="1">"c12965"</definedName>
    <definedName name="IQ_SALES_COAL" hidden="1">"c15930"</definedName>
    <definedName name="IQ_SALES_COMM_NON_MORTGAGE_LOANS_THRIFT" hidden="1">"c25340"</definedName>
    <definedName name="IQ_SALES_CONSUMER_NON_MORTGAGE_LOANS_THRIFT" hidden="1">"c25342"</definedName>
    <definedName name="IQ_SALES_MARKETING" hidden="1">"c2240"</definedName>
    <definedName name="IQ_SALES_OTHER_MORTGAGE_BACKED_SEC_THRIFT" hidden="1">"c25315"</definedName>
    <definedName name="IQ_SALES_PASS_THROUGH_MORTGAGE_BACKED_SEC_THRIFT" hidden="1">"c25312"</definedName>
    <definedName name="IQ_SALES_TO_TOTAL_REVENUE_COAL" hidden="1">"c15943"</definedName>
    <definedName name="IQ_SAME_PROP_AGG_GLA" hidden="1">"c16055"</definedName>
    <definedName name="IQ_SAME_PROP_AGG_UNITS" hidden="1">"c16053"</definedName>
    <definedName name="IQ_SAME_PROP_EXPENSE" hidden="1">"c16050"</definedName>
    <definedName name="IQ_SAME_PROP_EXPENSE_GROWTH" hidden="1">"c16051"</definedName>
    <definedName name="IQ_SAME_PROP_NUMBER_PROP" hidden="1">"c16052"</definedName>
    <definedName name="IQ_SAME_PROP_PORTFOLIO_AREA" hidden="1">"c16054"</definedName>
    <definedName name="IQ_SAME_PROP_REV_GROWTH" hidden="1">"c16049"</definedName>
    <definedName name="IQ_SAME_PROP_REVENUE" hidden="1">"c16048"</definedName>
    <definedName name="IQ_SAME_STORE" hidden="1">"c1149"</definedName>
    <definedName name="IQ_SAME_STORE_ACT_OR_EST" hidden="1">"c18269"</definedName>
    <definedName name="IQ_SAME_STORE_ACT_OR_EST_CIQ" hidden="1">"c18275"</definedName>
    <definedName name="IQ_SAME_STORE_DET_EST" hidden="1">"c18177"</definedName>
    <definedName name="IQ_SAME_STORE_DET_EST_CIQ" hidden="1">"c18226"</definedName>
    <definedName name="IQ_SAME_STORE_DET_EST_CURRENCY" hidden="1">"c18310"</definedName>
    <definedName name="IQ_SAME_STORE_DET_EST_CURRENCY_CIQ" hidden="1">"c18349"</definedName>
    <definedName name="IQ_SAME_STORE_DET_EST_DATE" hidden="1">"c18284"</definedName>
    <definedName name="IQ_SAME_STORE_DET_EST_DATE_CIQ" hidden="1">"c18328"</definedName>
    <definedName name="IQ_SAME_STORE_DET_EST_INCL" hidden="1">"c18288"</definedName>
    <definedName name="IQ_SAME_STORE_DET_EST_INCL_CIQ" hidden="1">"c18335"</definedName>
    <definedName name="IQ_SAME_STORE_DET_EST_NOTE" hidden="1">"c18299"</definedName>
    <definedName name="IQ_SAME_STORE_DET_EST_NOTE_CIQ" hidden="1">"c18342"</definedName>
    <definedName name="IQ_SAME_STORE_DET_EST_ORIGIN" hidden="1">"c18321"</definedName>
    <definedName name="IQ_SAME_STORE_DET_EST_ORIGIN_CIQ" hidden="1">"c18356"</definedName>
    <definedName name="IQ_SAME_STORE_EST" hidden="1">"c18116"</definedName>
    <definedName name="IQ_SAME_STORE_EST_CIQ" hidden="1">"c18184"</definedName>
    <definedName name="IQ_SAME_STORE_EST_NOTE" hidden="1">"c18237"</definedName>
    <definedName name="IQ_SAME_STORE_EST_NOTE_CIQ" hidden="1">"c18244"</definedName>
    <definedName name="IQ_SAME_STORE_FRANCHISE" hidden="1">"c2900"</definedName>
    <definedName name="IQ_SAME_STORE_GUIDANCE" hidden="1">"c18412"</definedName>
    <definedName name="IQ_SAME_STORE_HIGH_EST" hidden="1">"c18136"</definedName>
    <definedName name="IQ_SAME_STORE_HIGH_EST_CIQ" hidden="1">"c18198"</definedName>
    <definedName name="IQ_SAME_STORE_HIGH_GUIDANCE" hidden="1">"c18413"</definedName>
    <definedName name="IQ_SAME_STORE_LOW_EST" hidden="1">"c18146"</definedName>
    <definedName name="IQ_SAME_STORE_LOW_EST_CIQ" hidden="1">"c18205"</definedName>
    <definedName name="IQ_SAME_STORE_LOW_GUIDANCE" hidden="1">"c18414"</definedName>
    <definedName name="IQ_SAME_STORE_MEDIAN_EST" hidden="1">"c18126"</definedName>
    <definedName name="IQ_SAME_STORE_MEDIAN_EST_CIQ" hidden="1">"c18191"</definedName>
    <definedName name="IQ_SAME_STORE_NUM_EST" hidden="1">"c18166"</definedName>
    <definedName name="IQ_SAME_STORE_NUM_EST_CIQ" hidden="1">"c18219"</definedName>
    <definedName name="IQ_SAME_STORE_OWNED" hidden="1">"c2908"</definedName>
    <definedName name="IQ_SAME_STORE_STDDEV_EST" hidden="1">"c18156"</definedName>
    <definedName name="IQ_SAME_STORE_STDDEV_EST_CIQ" hidden="1">"c18212"</definedName>
    <definedName name="IQ_SAME_STORE_TOTAL" hidden="1">"c2892"</definedName>
    <definedName name="IQ_SAVING_DEP" hidden="1">"c1150"</definedName>
    <definedName name="IQ_SAVINGS_ACCT_DEPOSITS_TOTAL_DEPOSITS" hidden="1">"c15721"</definedName>
    <definedName name="IQ_SAVINGS_ASSOCIATION_EQUITY_CAPITAL_BEGINNING_BALANCE_FROM_PRIOR_QTR_THRIFT" hidden="1">"c25008"</definedName>
    <definedName name="IQ_SAVINGS_ASSOCIATION_EQUITY_CAPITAL_ENDING_BALANCE_THRIFT" hidden="1">"c25019"</definedName>
    <definedName name="IQ_SAVINGS_DEPOSITS_NON_TRANS_ACCTS_FFIEC" hidden="1">"c15329"</definedName>
    <definedName name="IQ_SAVINGS_DEPOSITS_QUARTERLY_AVG_FFIEC" hidden="1">"c15485"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BC_EXPENSE_FFIEC" hidden="1">"c13077"</definedName>
    <definedName name="IQ_SCALABLE_INFRASTRUCTURE_CABLE_INVEST" hidden="1">"c15802"</definedName>
    <definedName name="IQ_SEC_1_4_CONSTRUCTION_DOM_CHARGE_OFFS_FFIEC" hidden="1">"c13165"</definedName>
    <definedName name="IQ_SEC_1_4_CONSTRUCTION_DOM_RECOV_FFIEC" hidden="1">"c13187"</definedName>
    <definedName name="IQ_SEC_BACKED_NON_MORTGAGE_LOANS_THRIFT" hidden="1">"c24825"</definedName>
    <definedName name="IQ_SEC_BACKED_US_GOVT_ELIGIBLE_0_PCT_RISK_WEIGHT_THRIFT" hidden="1">"c25052"</definedName>
    <definedName name="IQ_SEC_BORROWED_OFF_BS_FFIEC" hidden="1">"c13127"</definedName>
    <definedName name="IQ_SEC_FARMLAND_DOM_CHARGE_OFFS_FFIEC" hidden="1">"c13167"</definedName>
    <definedName name="IQ_SEC_FARMLAND_DOM_RECOV_FFIEC" hidden="1">"c13189"</definedName>
    <definedName name="IQ_SEC_FUNDS_PURCHASED_ASSETS_TOT_FFIEC" hidden="1">"c13447"</definedName>
    <definedName name="IQ_SEC_ISSUED_US_AFS_AMORT_COST_FFIEC" hidden="1">"c20492"</definedName>
    <definedName name="IQ_SEC_ISSUED_US_AFS_FAIR_VAL_FFIEC" hidden="1">"c20457"</definedName>
    <definedName name="IQ_SEC_ISSUED_US_AVAIL_SALE_FFIEC" hidden="1">"c12795"</definedName>
    <definedName name="IQ_SEC_ISSUED_US_TRADING_DOM_FFIEC" hidden="1">"c12920"</definedName>
    <definedName name="IQ_SEC_ISSUED_US_TRADING_FFIEC" hidden="1">"c12815"</definedName>
    <definedName name="IQ_SEC_MULTIFAM_DOM_CHARGE_OFFS_FFIEC" hidden="1">"c13171"</definedName>
    <definedName name="IQ_SEC_MULTIFAM_DOM_DUE_30_89_FFIEC" hidden="1">"c13263"</definedName>
    <definedName name="IQ_SEC_MULTIFAM_DOM_DUE_90_FFIEC" hidden="1">"c13291"</definedName>
    <definedName name="IQ_SEC_MULTIFAM_DOM_NON_ACCRUAL_FFIEC" hidden="1">"c13317"</definedName>
    <definedName name="IQ_SEC_MULTIFAM_DOM_RECOV_FFIEC" hidden="1">"c13193"</definedName>
    <definedName name="IQ_SEC_NONFARM_NONRES_CHARGE_OFFS_FFIEC" hidden="1">"c13629"</definedName>
    <definedName name="IQ_SEC_NONFARM_NONRES_DOM_OFFICES_DUE_30_89_FFIEC" hidden="1">"c13264"</definedName>
    <definedName name="IQ_SEC_NONFARM_NONRES_DOM_OFFICES_DUE_90_FFIEC" hidden="1">"c13292"</definedName>
    <definedName name="IQ_SEC_NONFARM_NONRES_DOM_OFFICES_NON_ACCRUAL_FFIEC" hidden="1">"c13318"</definedName>
    <definedName name="IQ_SEC_NONFARM_NONRES_RECOV_FFIEC" hidden="1">"c13633"</definedName>
    <definedName name="IQ_SEC_OTHER_CONSTRUCTION_DOM_CHARGE_OFFS_FFIEC" hidden="1">"c13166"</definedName>
    <definedName name="IQ_SEC_OTHER_CONSTRUCTION_DOM_RECOV_FFIEC" hidden="1">"c13188"</definedName>
    <definedName name="IQ_SEC_OTHER_NONFARM_NONRES_CHARGE_OFFS_FFIEC" hidden="1">"c13173"</definedName>
    <definedName name="IQ_SEC_OTHER_NONFARM_NONRES_DUE_30_89_FFIEC" hidden="1">"c13266"</definedName>
    <definedName name="IQ_SEC_OTHER_NONFARM_NONRES_DUE_90_FFIEC" hidden="1">"c13637"</definedName>
    <definedName name="IQ_SEC_OTHER_NONFARM_NONRES_NON_ACCRUAL_FFIEC" hidden="1">"c15462"</definedName>
    <definedName name="IQ_SEC_OTHER_NONFARM_NONRES_RECOV_FFIEC" hidden="1">"c13195"</definedName>
    <definedName name="IQ_SEC_OWNER_NONFARM_NONRES_CHARGE_OFFS_FFIEC" hidden="1">"c13172"</definedName>
    <definedName name="IQ_SEC_OWNER_NONFARM_NONRES_DUE_30_89_FFIEC" hidden="1">"c13265"</definedName>
    <definedName name="IQ_SEC_OWNER_NONFARM_NONRES_DUE_90_FFIEC" hidden="1">"c13636"</definedName>
    <definedName name="IQ_SEC_OWNER_NONFARM_NONRES_NON_ACCRUAL_FFIEC" hidden="1">"c15461"</definedName>
    <definedName name="IQ_SEC_OWNER_NONFARM_NONRES_RECOV_FFIEC" hidden="1">"c13194"</definedName>
    <definedName name="IQ_SEC_PURCHASED_RESELL" hidden="1">"c5513"</definedName>
    <definedName name="IQ_SEC_PURCHASED_RESELL_FFIEC" hidden="1">"c12807"</definedName>
    <definedName name="IQ_SEC_RE_FOREIGN_DUE_30_89_FFIEC" hidden="1">"c13267"</definedName>
    <definedName name="IQ_SEC_RE_FOREIGN_DUE_90_FFIEC" hidden="1">"c13293"</definedName>
    <definedName name="IQ_SEC_RE_FOREIGN_NON_ACCRUAL_FFIEC" hidden="1">"c13319"</definedName>
    <definedName name="IQ_SEC_RISK_WEIGHTED_100_PCT_MORE_UNDER_RATINGS_THRIFT" hidden="1">"c25071"</definedName>
    <definedName name="IQ_SEC_SOLD_REPURCHASE_FFIEC" hidden="1">"c12857"</definedName>
    <definedName name="IQ_SEC_SOLD_UNDER_AGREEMENTS_REPURCHASE_THRIFT" hidden="1">"c25574"</definedName>
    <definedName name="IQ_SECOND_LIEN_BONDS_NOTES" hidden="1">"c17893"</definedName>
    <definedName name="IQ_SECOND_LIEN_BONDS_NOTES_PCT" hidden="1">"c18007"</definedName>
    <definedName name="IQ_SECOND_LIEN_DEBT" hidden="1">"c17898"</definedName>
    <definedName name="IQ_SECOND_LIEN_DEBT_PCT" hidden="1">"c18012"</definedName>
    <definedName name="IQ_SECOND_LIEN_LOANS" hidden="1">"c17892"</definedName>
    <definedName name="IQ_SECOND_LIEN_LOANS_PCT" hidden="1">"c18006"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COMMERCIAL_LOANS_THRIFT" hidden="1">"c24854"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DOM_DUE_30_89_FFIEC" hidden="1">"c13259"</definedName>
    <definedName name="IQ_SECURED_FARMLAND_DOM_DUE_90_FFIEC" hidden="1">"c13287"</definedName>
    <definedName name="IQ_SECURED_FARMLAND_DOM_NON_ACCRUAL_FFIEC" hidden="1">"c13313"</definedName>
    <definedName name="IQ_SECURED_FARMLAND_LL_REC_DOM_FFIEC" hidden="1">"c12901"</definedName>
    <definedName name="IQ_SECURED_FARMLAND_NET_CHARGE_OFFS_FDIC" hidden="1">"c6631"</definedName>
    <definedName name="IQ_SECURED_FARMLAND_RECOVERIES_FDIC" hidden="1">"c6612"</definedName>
    <definedName name="IQ_SECURED_FED_FUNDS_PURCHASED_TOTAL_ASSETS_THRIFT" hidden="1">"c25703"</definedName>
    <definedName name="IQ_SECURED_FEDERAL_FUNDS_PURCHASED_THRIFT" hidden="1">"c25573"</definedName>
    <definedName name="IQ_SECURED_MULTI_RES_LL_REC_DOM_FFIEC" hidden="1">"c12905"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AFS_AMORT_COST_FFIEC" hidden="1">"c20488"</definedName>
    <definedName name="IQ_SECURITIES_AFS_FAIR_VAL_FFIEC" hidden="1">"c20453"</definedName>
    <definedName name="IQ_SECURITIES_GAINS_FDIC" hidden="1">"c6584"</definedName>
    <definedName name="IQ_SECURITIES_HELD_MATURITY_FFIEC" hidden="1">"c12777"</definedName>
    <definedName name="IQ_SECURITIES_HTM_AMORT_COST_FFIEC" hidden="1">"c20436"</definedName>
    <definedName name="IQ_SECURITIES_HTM_FAIR_VAL_FFIEC" hidden="1">"c20471"</definedName>
    <definedName name="IQ_SECURITIES_ISSUED_STATES_FDIC" hidden="1">"c6300"</definedName>
    <definedName name="IQ_SECURITIES_ISSUED_US_FFIEC" hidden="1">"c12781"</definedName>
    <definedName name="IQ_SECURITIES_ISSUED_US_HTM_AMORT_COST_FFIEC" hidden="1">"c20440"</definedName>
    <definedName name="IQ_SECURITIES_ISSUED_US_HTM_FAIR_VAL_FFIEC" hidden="1">"c20475"</definedName>
    <definedName name="IQ_SECURITIES_LENT_FDIC" hidden="1">"c6532"</definedName>
    <definedName name="IQ_SECURITIES_LENT_FFIEC" hidden="1">"c13255"</definedName>
    <definedName name="IQ_SECURITIES_QUARTERLY_AVG_FFIEC" hidden="1">"c13079"</definedName>
    <definedName name="IQ_SECURITIES_STATE_POLI_SUBD_QUARTERLY_AVG_FFIEC" hidden="1">"c15470"</definedName>
    <definedName name="IQ_SECURITIES_UNDERWRITING_FDIC" hidden="1">"c6529"</definedName>
    <definedName name="IQ_SECURITIES_UNDERWRITING_UNUSED_FFIEC" hidden="1">"c13247"</definedName>
    <definedName name="IQ_SECURITIZATION_INC_OPERATING_INC_FFIEC" hidden="1">"c13390"</definedName>
    <definedName name="IQ_SECURITIZATION_INCOME_FFIEC" hidden="1">"c13012"</definedName>
    <definedName name="IQ_SECURITIZED_DEBT" hidden="1">"c17897"</definedName>
    <definedName name="IQ_SECURITIZED_DEBT_PCT" hidden="1">"c18011"</definedName>
    <definedName name="IQ_SECURITY_ACTIVE_STATUS" hidden="1">"c15160"</definedName>
    <definedName name="IQ_SECURITY_BORROW" hidden="1">"c1152"</definedName>
    <definedName name="IQ_SECURITY_FEATURES" hidden="1">"c17681"</definedName>
    <definedName name="IQ_SECURITY_LEVEL" hidden="1">"c2159"</definedName>
    <definedName name="IQ_SECURITY_NAME" hidden="1">"c15159"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LECTED_FOREIGN_ASSETS_FFIEC" hidden="1">"c13485"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_ACCOUNT_ASSETS_LH_FFIEC" hidden="1">"c13105"</definedName>
    <definedName name="IQ_SEPARATE_ACCOUNT_LIAB_LH_FFIEC" hidden="1">"c13108"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COMM_FEE_DOM_FFIEC" hidden="1">"c25821"</definedName>
    <definedName name="IQ_SERVICE_CHARGES_DEPOSIT_ACCOUNTS_DOM_FFIEC" hidden="1">"c13003"</definedName>
    <definedName name="IQ_SERVICE_CHARGES_FDIC" hidden="1">"c6572"</definedName>
    <definedName name="IQ_SERVICE_CHARGES_OPERATING_INC_FFIEC" hidden="1">"c13384"</definedName>
    <definedName name="IQ_SERVICE_FEE" hidden="1">"c8951"</definedName>
    <definedName name="IQ_SERVICING_ASSETS_MORTGAGE_LOANS_THRIFT" hidden="1">"c24888"</definedName>
    <definedName name="IQ_SERVICING_ASSETS_NON_MORTGAGE_LOANS_THRIFT" hidden="1">"c24889"</definedName>
    <definedName name="IQ_SERVICING_FEES_FFIEC" hidden="1">"c13011"</definedName>
    <definedName name="IQ_SERVICING_FEES_OPERATING_INC_FFIEC" hidden="1">"c13389"</definedName>
    <definedName name="IQ_SETTLEMENT_PRICE" hidden="1">"c15157"</definedName>
    <definedName name="IQ_SETTLEMENTS_TAX_AUTHORITIES" hidden="1">"c15737"</definedName>
    <definedName name="IQ_SGA" localSheetId="12" hidden="1">"c1158"</definedName>
    <definedName name="IQ_SGA" localSheetId="7" hidden="1">"c1158"</definedName>
    <definedName name="IQ_SGA" hidden="1">"c8"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_PARTNERSHIP_ASSETS" hidden="1">"c16071"</definedName>
    <definedName name="IQ_SHARE_PARTNERSHIP_CONSOL_JV_DEBT" hidden="1">"c19139"</definedName>
    <definedName name="IQ_SHARE_PARTNERSHIP_CURRENT_ASSETS" hidden="1">"c16069"</definedName>
    <definedName name="IQ_SHARE_PARTNERSHIP_CURRENT_LIAB" hidden="1">"c16073"</definedName>
    <definedName name="IQ_SHARE_PARTNERSHIP_CURRENT_TAX" hidden="1">"c16091"</definedName>
    <definedName name="IQ_SHARE_PARTNERSHIP_DEBT" hidden="1">"c16078"</definedName>
    <definedName name="IQ_SHARE_PARTNERSHIP_DEFERRED_TAX" hidden="1">"c16092"</definedName>
    <definedName name="IQ_SHARE_PARTNERSHIP_DEPRECIATION" hidden="1">"c16089"</definedName>
    <definedName name="IQ_SHARE_PARTNERSHIP_FLOAT_DEBT" hidden="1">"c16077"</definedName>
    <definedName name="IQ_SHARE_PARTNERSHIP_FR_DEBT" hidden="1">"c16076"</definedName>
    <definedName name="IQ_SHARE_PARTNERSHIP_INT_EXPENSE" hidden="1">"c16088"</definedName>
    <definedName name="IQ_SHARE_PARTNERSHIP_INT_INCOME" hidden="1">"c16090"</definedName>
    <definedName name="IQ_SHARE_PARTNERSHIP_LIAB" hidden="1">"c16075"</definedName>
    <definedName name="IQ_SHARE_PARTNERSHIP_LT_ASSETS" hidden="1">"c16070"</definedName>
    <definedName name="IQ_SHARE_PARTNERSHIP_NOI" hidden="1">"c16084"</definedName>
    <definedName name="IQ_SHARE_PARTNERSHIP_NON_CURRENT_LIAB" hidden="1">"c16074"</definedName>
    <definedName name="IQ_SHARE_PARTNERSHIP_OPEX" hidden="1">"c16086"</definedName>
    <definedName name="IQ_SHARE_PARTNERSHIP_OTHER_EXPENSE" hidden="1">"c16087"</definedName>
    <definedName name="IQ_SHARE_PARTNERSHIP_OTHER_INCOME" hidden="1">"c16085"</definedName>
    <definedName name="IQ_SHARE_PARTNERSHIP_REVENUE" hidden="1">"c16083"</definedName>
    <definedName name="IQ_SHARE_RE_ASSET" hidden="1">"c16082"</definedName>
    <definedName name="IQ_SHARE_RE_ASSET_DEVELOP_PROP" hidden="1">"c16080"</definedName>
    <definedName name="IQ_SHARE_RE_ASSET_INV_PROP" hidden="1">"c16079"</definedName>
    <definedName name="IQ_SHARE_RE_ASSET_OTHER" hidden="1">"c16081"</definedName>
    <definedName name="IQ_SHAREOUTSTANDING" hidden="1">"c1347"</definedName>
    <definedName name="IQ_SHARES_PER_DR" hidden="1">"c204"</definedName>
    <definedName name="IQ_SHARES_PURCHASED_AVERAGE_PRICE" hidden="1">"c5821"</definedName>
    <definedName name="IQ_SHARES_PURCHASED_QUARTER" hidden="1">"c5820"</definedName>
    <definedName name="IQ_SHARESOUTSTANDING" localSheetId="12" hidden="1">"c1164"</definedName>
    <definedName name="IQ_SHARESOUTSTANDING" localSheetId="7" hidden="1">"c1164"</definedName>
    <definedName name="IQ_SHARESOUTSTANDING" hidden="1">"c201"</definedName>
    <definedName name="IQ_SHORT_BUSINESS_DESCRIPTION" hidden="1">"c24668"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POSITIONS_FFIEC" hidden="1">"c12859"</definedName>
    <definedName name="IQ_SHORT_TERM_INV_SHORT_TERM_NONCORE_FUNDING_THRIFT" hidden="1">"c25625"</definedName>
    <definedName name="IQ_SHORT_TERM_INV_TOTAL_ASSETS_THRIFT" hidden="1">"c25695"</definedName>
    <definedName name="IQ_SHORT_TERM_INVEST" localSheetId="12" hidden="1">"c1425"</definedName>
    <definedName name="IQ_SHORT_TERM_INVEST" localSheetId="7" hidden="1">"c1425"</definedName>
    <definedName name="IQ_SHORT_TERM_INVEST" hidden="1">"c72"</definedName>
    <definedName name="IQ_SMALL_INT_BEAR_CD" hidden="1">"c1166"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LD_COAL" hidden="1">"c15936"</definedName>
    <definedName name="IQ_SOURCE" localSheetId="12" hidden="1">"c1168"</definedName>
    <definedName name="IQ_SOURCE" localSheetId="7" hidden="1">"c1168"</definedName>
    <definedName name="IQ_SOURCE" hidden="1">"c281"</definedName>
    <definedName name="IQ_SP" hidden="1">"c2171"</definedName>
    <definedName name="IQ_SP_BANK" hidden="1">"c2637"</definedName>
    <definedName name="IQ_SP_BANK_ACTION" hidden="1">"c2636"</definedName>
    <definedName name="IQ_SP_BANK_DATE" hidden="1">"c2635"</definedName>
    <definedName name="IQ_SP_DATE" hidden="1">"c2172"</definedName>
    <definedName name="IQ_SP_FIN_ENHANCE_FX" hidden="1">"c2631"</definedName>
    <definedName name="IQ_SP_FIN_ENHANCE_FX_ACTION" hidden="1">"c2630"</definedName>
    <definedName name="IQ_SP_FIN_ENHANCE_FX_DATE" hidden="1">"c2629"</definedName>
    <definedName name="IQ_SP_FIN_ENHANCE_LC" hidden="1">"c2634"</definedName>
    <definedName name="IQ_SP_FIN_ENHANCE_LC_ACTION" hidden="1">"c2633"</definedName>
    <definedName name="IQ_SP_FIN_ENHANCE_LC_DATE" hidden="1">"c2632"</definedName>
    <definedName name="IQ_SP_FIN_STRENGTH_LC_ACTION_LT" hidden="1">"c2625"</definedName>
    <definedName name="IQ_SP_FIN_STRENGTH_LC_ACTION_ST" hidden="1">"c2626"</definedName>
    <definedName name="IQ_SP_FIN_STRENGTH_LC_DATE_LT" hidden="1">"c2623"</definedName>
    <definedName name="IQ_SP_FIN_STRENGTH_LC_DATE_ST" hidden="1">"c2624"</definedName>
    <definedName name="IQ_SP_FIN_STRENGTH_LC_LT" hidden="1">"c2627"</definedName>
    <definedName name="IQ_SP_FIN_STRENGTH_LC_ST" hidden="1">"c2628"</definedName>
    <definedName name="IQ_SP_FX_ACTION_LT" hidden="1">"c2613"</definedName>
    <definedName name="IQ_SP_FX_ACTION_ST" hidden="1">"c2614"</definedName>
    <definedName name="IQ_SP_FX_DATE_LT" hidden="1">"c2611"</definedName>
    <definedName name="IQ_SP_FX_DATE_ST" hidden="1">"c2612"</definedName>
    <definedName name="IQ_SP_FX_LT" hidden="1">"c2615"</definedName>
    <definedName name="IQ_SP_FX_ST" hidden="1">"c2616"</definedName>
    <definedName name="IQ_SP_ISSUE_ACTION" hidden="1">"c2644"</definedName>
    <definedName name="IQ_SP_ISSUE_DATE" hidden="1">"c2643"</definedName>
    <definedName name="IQ_SP_ISSUE_LT" hidden="1">"c2645"</definedName>
    <definedName name="IQ_SP_ISSUE_NSR_ACTION_LT" hidden="1">"c13616"</definedName>
    <definedName name="IQ_SP_ISSUE_NSR_ACTION_ST" hidden="1">"c13622"</definedName>
    <definedName name="IQ_SP_ISSUE_NSR_DATE_LT" hidden="1">"c13615"</definedName>
    <definedName name="IQ_SP_ISSUE_NSR_DATE_ST" hidden="1">"c13621"</definedName>
    <definedName name="IQ_SP_ISSUE_NSR_LT" hidden="1">"c13614"</definedName>
    <definedName name="IQ_SP_ISSUE_NSR_ST" hidden="1">"c13620"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_LC_ACTION_LT" hidden="1">"c2619"</definedName>
    <definedName name="IQ_SP_LC_ACTION_ST" hidden="1">"c2620"</definedName>
    <definedName name="IQ_SP_LC_DATE_LT" hidden="1">"c2617"</definedName>
    <definedName name="IQ_SP_LC_DATE_ST" hidden="1">"c2618"</definedName>
    <definedName name="IQ_SP_LC_LT" hidden="1">"c2621"</definedName>
    <definedName name="IQ_SP_LC_ST" hidden="1">"c2622"</definedName>
    <definedName name="IQ_SP_NSR_ACTION_LT" hidden="1">"c13613"</definedName>
    <definedName name="IQ_SP_NSR_ACTION_ST" hidden="1">"c13619"</definedName>
    <definedName name="IQ_SP_NSR_DATE_LT" hidden="1">"c13612"</definedName>
    <definedName name="IQ_SP_NSR_DATE_ST" hidden="1">"c13618"</definedName>
    <definedName name="IQ_SP_NSR_LT" hidden="1">"c13611"</definedName>
    <definedName name="IQ_SP_NSR_ST" hidden="1">"c13617"</definedName>
    <definedName name="IQ_SP_OUTLOOK_WATCH" hidden="1">"c2639"</definedName>
    <definedName name="IQ_SP_OUTLOOK_WATCH_DATE" hidden="1">"c2638"</definedName>
    <definedName name="IQ_SP_QUALITY_RANKING_DESCRIPTION" hidden="1">"c17410"</definedName>
    <definedName name="IQ_SP_QUALITY_RANKING_VALUE" hidden="1">"c17409"</definedName>
    <definedName name="IQ_SP_REASON" hidden="1">"c2174"</definedName>
    <definedName name="IQ_SP_STARS_DESCRIPTION" hidden="1">"c17408"</definedName>
    <definedName name="IQ_SP_STARS_VALUE" hidden="1">"c17407"</definedName>
    <definedName name="IQ_SP_STATUS" hidden="1">"c2173"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CM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PECIALTIES" hidden="1">"c18932"</definedName>
    <definedName name="IQ_SPECIFIC_ALLOWANCE" hidden="1">"c15247"</definedName>
    <definedName name="IQ_SPONSORS" hidden="1">"c18920"</definedName>
    <definedName name="IQ_SPONSORS_ID" hidden="1">"c18921"</definedName>
    <definedName name="IQ_SPOT_CLOSEPRICE" hidden="1">"c17802"</definedName>
    <definedName name="IQ_SPOT_HIGHPRICE" hidden="1">"c17800"</definedName>
    <definedName name="IQ_SPOT_LASTSALEPRICE" hidden="1">"c17806"</definedName>
    <definedName name="IQ_SPOT_LOWPRICE" hidden="1">"c17801"</definedName>
    <definedName name="IQ_SPOT_PRICEDATE" hidden="1">"c17805"</definedName>
    <definedName name="IQ_SPOT_YEARHIGH" hidden="1">"c17803"</definedName>
    <definedName name="IQ_SPOT_YEARLOW" hidden="1">"c17804"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ECURED_BONDS_NOTES" hidden="1">"c17889"</definedName>
    <definedName name="IQ_SR_SECURED_BONDS_NOTES_PCT" hidden="1">"c18003"</definedName>
    <definedName name="IQ_SR_SECURED_LOANS" hidden="1">"c17888"</definedName>
    <definedName name="IQ_SR_SECURED_LOANS_PCT" hidden="1">"c18002"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R_UNSECURED_BONDS_NOTES" hidden="1">"c17891"</definedName>
    <definedName name="IQ_SR_UNSECURED_BONDS_NOTES_PCT" hidden="1">"c18005"</definedName>
    <definedName name="IQ_ST_DEBT" hidden="1">"c1176"</definedName>
    <definedName name="IQ_ST_DEBT_BNK" hidden="1">"c1177"</definedName>
    <definedName name="IQ_ST_DEBT_BR" hidden="1">"c1178"</definedName>
    <definedName name="IQ_ST_DEBT_CM" hidden="1">"c1178"</definedName>
    <definedName name="IQ_ST_DEBT_DERIVATIVES" hidden="1">"c17741"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CM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CM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ASSETS_TOT_FFIEC" hidden="1">"c13438"</definedName>
    <definedName name="IQ_ST_INVEST_ST_NONCORE_FUNDING_FFIEC" hidden="1">"c13338"</definedName>
    <definedName name="IQ_ST_INVEST_UTI" hidden="1">"c1198"</definedName>
    <definedName name="IQ_ST_NOTE_RECEIV" hidden="1">"c1199"</definedName>
    <definedName name="IQ_STAND_REC_DET_EST" hidden="1">"c12069"</definedName>
    <definedName name="IQ_STAND_REC_DET_EST_CIQ" hidden="1">"c12133"</definedName>
    <definedName name="IQ_STAND_REC_DET_EST_DATE" hidden="1">"c12222"</definedName>
    <definedName name="IQ_STAND_REC_DET_EST_DATE_CIQ" hidden="1">"c12279"</definedName>
    <definedName name="IQ_STAND_REC_DET_EST_ORIGIN" hidden="1">"c12594"</definedName>
    <definedName name="IQ_STAND_REC_DET_EST_ORIGIN_CIQ" hidden="1">"c12648"</definedName>
    <definedName name="IQ_STAND_REC_NUM_DET_EST" hidden="1">"c12068"</definedName>
    <definedName name="IQ_STAND_REC_NUM_DET_EST_CIQ" hidden="1">"c12132"</definedName>
    <definedName name="IQ_STAND_REC_NUM_DET_EST_DATE" hidden="1">"c12221"</definedName>
    <definedName name="IQ_STAND_REC_NUM_DET_EST_DATE_CIQ" hidden="1">"c12278"</definedName>
    <definedName name="IQ_STAND_REC_NUM_DET_EST_ORIGIN" hidden="1">"c12593"</definedName>
    <definedName name="IQ_STAND_REC_NUM_DET_EST_ORIGIN_CIQ" hidden="1">"c12647"</definedName>
    <definedName name="IQ_STANDBY_LETTERS_CREDIT_THRIFT" hidden="1">"c25614"</definedName>
    <definedName name="IQ_STANDBY_LOC_FHLB_BANK_BEHALF_OFF_BS_FFIEC" hidden="1">"c15412"</definedName>
    <definedName name="IQ_STATE" localSheetId="12" hidden="1">"c1200"</definedName>
    <definedName name="IQ_STATE" localSheetId="7" hidden="1">"c1200"</definedName>
    <definedName name="IQ_STATE" hidden="1">"c217"</definedName>
    <definedName name="IQ_STATE_COUNTY_MUNICIPAL_OBLIGATIONS_ALL_OTHER_ACCOUNTS_THRIFT" hidden="1">"c25426"</definedName>
    <definedName name="IQ_STATE_COUNTY_MUNICIPAL_OBLIGATIONS_EMPLOYEE_BENEFIT_RETIREMENT_RELATED_ACCOUNTS_THRIFT" hidden="1">"c25410"</definedName>
    <definedName name="IQ_STATE_COUNTY_MUNICIPAL_OBLIGATIONS_PERSONAL_TRUST_AGENCY_INV_MANAGEMENT_ACCOUNTS_THRIFT" hidden="1">"c25394"</definedName>
    <definedName name="IQ_STATE_LOCAL_OTHER_INC_TAXES_THRIFT" hidden="1">"c24817"</definedName>
    <definedName name="IQ_STATE_LOCAL_REVENUE_BONDS_ELIGIBLE_50_PCT_RISK_WEIGHT_THRIFT" hidden="1">"c25067"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_MUNI_OBLIGATIONS_THRIFT" hidden="1">"c24824"</definedName>
    <definedName name="IQ_STATE_OF_INC" hidden="1">"c18104"</definedName>
    <definedName name="IQ_STATES_NONTRANSACTION_ACCOUNTS_FDIC" hidden="1">"c6547"</definedName>
    <definedName name="IQ_STATES_POLI_SUBD_US_NON_TRANS_ACCTS_FFIEC" hidden="1">"c15324"</definedName>
    <definedName name="IQ_STATES_POLI_SUBD_US_TRANS_ACCTS_FFIEC" hidden="1">"c15316"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ATUTORY_SURPLUS_GAAP_EQUITY" hidden="1">"c15883"</definedName>
    <definedName name="IQ_STOCK_BASED" localSheetId="12" hidden="1">"c1202"</definedName>
    <definedName name="IQ_STOCK_BASED" localSheetId="7" hidden="1">"c1202"</definedName>
    <definedName name="IQ_STOCK_BASED" hidden="1">"c55"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EST" hidden="1">"c4520"</definedName>
    <definedName name="IQ_STOCK_BASED_EST_CIQ" hidden="1">"c5073"</definedName>
    <definedName name="IQ_STOCK_BASED_EXPLORE_DRILL" hidden="1">"c13851"</definedName>
    <definedName name="IQ_STOCK_BASED_GA" hidden="1">"c2993"</definedName>
    <definedName name="IQ_STOCK_BASED_HIGH_EST" hidden="1">"c4521"</definedName>
    <definedName name="IQ_STOCK_BASED_HIGH_EST_CIQ" hidden="1">"c5074"</definedName>
    <definedName name="IQ_STOCK_BASED_LOW_EST" hidden="1">"c4522"</definedName>
    <definedName name="IQ_STOCK_BASED_LOW_EST_CIQ" hidden="1">"c5075"</definedName>
    <definedName name="IQ_STOCK_BASED_MEDIAN_EST" hidden="1">"c4523"</definedName>
    <definedName name="IQ_STOCK_BASED_MEDIAN_EST_CIQ" hidden="1">"c5076"</definedName>
    <definedName name="IQ_STOCK_BASED_NUM_EST" hidden="1">"c4524"</definedName>
    <definedName name="IQ_STOCK_BASED_NUM_EST_CIQ" hidden="1">"c5077"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STDDEV_EST" hidden="1">"c4525"</definedName>
    <definedName name="IQ_STOCK_BASED_STDDEV_EST_CIQ" hidden="1">"c5078"</definedName>
    <definedName name="IQ_STOCK_BASED_TOTAL" hidden="1">"c3040"</definedName>
    <definedName name="IQ_STOCK_ISSUED_SAVINGS_ASSOCIATION_THRIFT" hidden="1">"c25012"</definedName>
    <definedName name="IQ_STOCK_MARKET_INDEX" hidden="1">"c21101"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OCK_RETIRED_SAVINGS_ASSOCIATION_THRIFT" hidden="1">"c25013"</definedName>
    <definedName name="IQ_STRAIGHT_LINE_RENT_ADJ" hidden="1">"c16178"</definedName>
    <definedName name="IQ_STRATEGY_NOTE" hidden="1">"c6791"</definedName>
    <definedName name="IQ_STRIKE_PRICE_ISSUED" hidden="1">"c1645"</definedName>
    <definedName name="IQ_STRIKE_PRICE_OS" hidden="1">"c1646"</definedName>
    <definedName name="IQ_STRIPS_RECEIVABLE_MORTGAGE_LOANS_FFIEC" hidden="1">"c12844"</definedName>
    <definedName name="IQ_STRIPS_RECEIVABLE_OTHER_FFIEC" hidden="1">"c12845"</definedName>
    <definedName name="IQ_STRUCT_FIN_CLASS" hidden="1">"c8950"</definedName>
    <definedName name="IQ_STRUCT_FIN_SERIES" hidden="1">"c8956"</definedName>
    <definedName name="IQ_STRUCTURED_NOTES_INVEST_SECURITIES_FFIEC" hidden="1">"c13468"</definedName>
    <definedName name="IQ_STRUCTURING_NOTES_TIER_1_FFIEC" hidden="1">"c13344"</definedName>
    <definedName name="IQ_STW" hidden="1">"c2166"</definedName>
    <definedName name="IQ_STYLE_GROWTH_VALUE" hidden="1">"c19203"</definedName>
    <definedName name="IQ_STYLE_HIGH_YIELD" hidden="1">"c19204"</definedName>
    <definedName name="IQ_STYLE_MARKET_CAP" hidden="1">"c19202"</definedName>
    <definedName name="IQ_STYLE_REPORTED" hidden="1">"c19205"</definedName>
    <definedName name="IQ_SUB_BONDS_NOTES" hidden="1">"c2503"</definedName>
    <definedName name="IQ_SUB_BONDS_NOTES_PCT" hidden="1">"c2504"</definedName>
    <definedName name="IQ_SUB_DEBENTURES_THRIFT" hidden="1">"c24902"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B_NOTES_DEBENTURES_FAIR_VALUE_TOT_FFIEC" hidden="1">"c15410"</definedName>
    <definedName name="IQ_SUB_NOTES_DEBENTURES_FFIEC" hidden="1">"c12867"</definedName>
    <definedName name="IQ_SUB_NOTES_DEBENTURES_LEVEL_1_FFIEC" hidden="1">"c15432"</definedName>
    <definedName name="IQ_SUB_NOTES_DEBENTURES_LEVEL_2_FFIEC" hidden="1">"c15445"</definedName>
    <definedName name="IQ_SUB_NOTES_DEBENTURES_LEVEL_3_FFIEC" hidden="1">"c15458"</definedName>
    <definedName name="IQ_SUB_NOTES_PAYABLE_UNCONSOLIDATED_TRUSTS_FFIEC" hidden="1">"c12868"</definedName>
    <definedName name="IQ_SUBORDINATED_DEBENTURES_AMOUNTS_NETTED_THRIFT" hidden="1">"c25540"</definedName>
    <definedName name="IQ_SUBORDINATED_DEBENTURES_LEVEL_1_THRIFT" hidden="1">"c25536"</definedName>
    <definedName name="IQ_SUBORDINATED_DEBENTURES_LEVEL_2_THRIFT" hidden="1">"c25537"</definedName>
    <definedName name="IQ_SUBORDINATED_DEBENTURES_LEVEL_3_THRIFT" hidden="1">"c25538"</definedName>
    <definedName name="IQ_SUBORDINATED_DEBENTURES_TOTAL_AFTER_NETTING_THRIFT" hidden="1">"c25541"</definedName>
    <definedName name="IQ_SUBORDINATED_DEBENTURES_TOTAL_BEFORE_NETTING_THRIFT" hidden="1">"c25539"</definedName>
    <definedName name="IQ_SUBORDINATED_DEBENTURES_WITH_REMAINING_MATURITY_ONE_YEAR_LESS_THRIFT" hidden="1">"c25577"</definedName>
    <definedName name="IQ_SUBORDINATED_DEBENTURES_WITH_REMAINING_MATURITY_OVER_ONE_YEAR_THRIFT" hidden="1">"c25578"</definedName>
    <definedName name="IQ_SUBS_ANALOG_CABLE" hidden="1">"c2855"</definedName>
    <definedName name="IQ_SUBS_BASIC_CABLE" hidden="1">"c16205"</definedName>
    <definedName name="IQ_SUBS_BBAND" hidden="1">"c2858"</definedName>
    <definedName name="IQ_SUBS_BUNDLED" hidden="1">"c2861"</definedName>
    <definedName name="IQ_SUBS_DIG_CABLE" hidden="1">"c2856"</definedName>
    <definedName name="IQ_SUBS_NON_VIDEO" hidden="1">"c2860"</definedName>
    <definedName name="IQ_SUBS_PHONE" hidden="1">"c2859"</definedName>
    <definedName name="IQ_SUBS_POSTPAID_WIRELESS" hidden="1">"c2118"</definedName>
    <definedName name="IQ_SUBS_PREPAID_WIRELESS" hidden="1">"c2117"</definedName>
    <definedName name="IQ_SUBS_RESELL_WHOLESALE_WIRELESS" hidden="1">"c15749"</definedName>
    <definedName name="IQ_SUBS_TOTAL" hidden="1">"c2862"</definedName>
    <definedName name="IQ_SUBS_TOTAL_WIRELESS" hidden="1">"c2119"</definedName>
    <definedName name="IQ_SUBS_VIDEO" hidden="1">"c2857"</definedName>
    <definedName name="IQ_SUPPLIES_FFIEC" hidden="1">"c13050"</definedName>
    <definedName name="IQ_SUPPORT_INFRASTRUCTURE_CABLE_INVEST" hidden="1">"c15805"</definedName>
    <definedName name="IQ_SURFACE_RESERVES_COAL" hidden="1">"c15920"</definedName>
    <definedName name="IQ_SURFACE_RESERVES_TO_TOTAL_RESERVES_COAL" hidden="1">"c15959"</definedName>
    <definedName name="IQ_SURPLUS_FDIC" hidden="1">"c6351"</definedName>
    <definedName name="IQ_SURPLUS_FFIEC" hidden="1">"c12877"</definedName>
    <definedName name="IQ_SVA" hidden="1">"c1214"</definedName>
    <definedName name="IQ_SYNTH_STRUCTURED_PRODUCTS_AFS_AMORT_COST_FFIEC" hidden="1">"c20501"</definedName>
    <definedName name="IQ_SYNTH_STRUCTURED_PRODUCTS_AFS_FAIR_VAL_FFIEC" hidden="1">"c20466"</definedName>
    <definedName name="IQ_SYNTH_STRUCTURED_PRODUCTS_HTM_AMORT_COST_FFIEC" hidden="1">"c20449"</definedName>
    <definedName name="IQ_SYNTH_STRUCTURED_PRODUCTS_HTM_FAIR_VAL_FFIEC" hidden="1">"c20484"</definedName>
    <definedName name="IQ_SYNTHETIC_STRUCTURED_PRODUCTS_AVAIL_SALE_FFIEC" hidden="1">"c15264"</definedName>
    <definedName name="IQ_SYNTHETIC_STRUCTURED_PRODUCTS_FFIEC" hidden="1">"c15261"</definedName>
    <definedName name="IQ_TANGIBLE_ASSETS_FFIEC" hidden="1">"c13916"</definedName>
    <definedName name="IQ_TANGIBLE_ASSETS_THRIFT" hidden="1">"c25088"</definedName>
    <definedName name="IQ_TANGIBLE_COMMON_EQUITY_FFIEC" hidden="1">"c13914"</definedName>
    <definedName name="IQ_TANGIBLE_COMMON_EQUITY_THRIFT" hidden="1">"c25086"</definedName>
    <definedName name="IQ_TANGIBLE_EQUITY_ASSETS_FFIEC" hidden="1">"c13346"</definedName>
    <definedName name="IQ_TANGIBLE_EQUITY_FFIEC" hidden="1">"c13915"</definedName>
    <definedName name="IQ_TANGIBLE_EQUITY_RATIO_THRIFT" hidden="1">"c25084"</definedName>
    <definedName name="IQ_TANGIBLE_EQUITY_THRIFT" hidden="1">"c25087"</definedName>
    <definedName name="IQ_TANGIBLE_TIER_1_LEVERAGE_FFIEC" hidden="1">"c13345"</definedName>
    <definedName name="IQ_TANGIBLE_TIER_1_LEVERAGE_RATIO_THRIFT" hidden="1">"c25631"</definedName>
    <definedName name="IQ_TARGET_PRICE_DET_EST" hidden="1">"c12070"</definedName>
    <definedName name="IQ_TARGET_PRICE_DET_EST_CIQ" hidden="1">"c12134"</definedName>
    <definedName name="IQ_TARGET_PRICE_DET_EST_CURRENCY" hidden="1">"c12475"</definedName>
    <definedName name="IQ_TARGET_PRICE_DET_EST_CURRENCY_CIQ" hidden="1">"c12523"</definedName>
    <definedName name="IQ_TARGET_PRICE_DET_EST_DATE" hidden="1">"c12223"</definedName>
    <definedName name="IQ_TARGET_PRICE_DET_EST_DATE_CIQ" hidden="1">"c12280"</definedName>
    <definedName name="IQ_TARGET_PRICE_DET_EST_INCL" hidden="1">"c12358"</definedName>
    <definedName name="IQ_TARGET_PRICE_DET_EST_INCL_CIQ" hidden="1">"c12406"</definedName>
    <definedName name="IQ_TARGET_PRICE_DET_EST_ORIGIN" hidden="1">"c12729"</definedName>
    <definedName name="IQ_TARGET_PRICE_DET_EST_ORIGIN_CIQ" hidden="1">"c12730"</definedName>
    <definedName name="IQ_TARGET_PRICE_NUM" hidden="1">"c1653"</definedName>
    <definedName name="IQ_TARGET_PRICE_NUM_CIQ" hidden="1">"c4661"</definedName>
    <definedName name="IQ_TARGET_PRICE_STDDEV" hidden="1">"c1654"</definedName>
    <definedName name="IQ_TARGET_PRICE_STDDEV_CIQ" hidden="1">"c4662"</definedName>
    <definedName name="IQ_TARP_INIT_INVEST_AMT" hidden="1">"c17863"</definedName>
    <definedName name="IQ_TARP_INIT_INVEST_DATE_ANN" hidden="1">"c17861"</definedName>
    <definedName name="IQ_TARP_INIT_INVEST_DATE_CLOSED" hidden="1">"c17862"</definedName>
    <definedName name="IQ_TARP_INVESTOR_STATUS" hidden="1">"c17865"</definedName>
    <definedName name="IQ_TARP_REMAINING_AMT" hidden="1">"c17869"</definedName>
    <definedName name="IQ_TARP_REMAINING_SEC_DES" hidden="1">"c17870"</definedName>
    <definedName name="IQ_TARP_REPAYMENT_DISP" hidden="1">"c17866"</definedName>
    <definedName name="IQ_TARP_REPAYMENT_DISP_AMT" hidden="1">"c17868"</definedName>
    <definedName name="IQ_TARP_REPAYMENT_DISP_DATE" hidden="1">"c17867"</definedName>
    <definedName name="IQ_TARP_ROUND" hidden="1">"c17859"</definedName>
    <definedName name="IQ_TARP_STATUS" hidden="1">"c17864"</definedName>
    <definedName name="IQ_TARP_TR_AMT" hidden="1">"c17857"</definedName>
    <definedName name="IQ_TARP_TR_DATE" hidden="1">"c17856"</definedName>
    <definedName name="IQ_TARP_TR_TYPE" hidden="1">"c17858"</definedName>
    <definedName name="IQ_TARP_TRANSACTION_ID" hidden="1">"c17871"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EQUIVALENT_ADJUSTMENTS_FFIEC" hidden="1">"c13854"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AXES_ADJ_NOI_FFIEC" hidden="1">"c13395"</definedName>
    <definedName name="IQ_TAXES_NOI_FFIEC" hidden="1">"c13394"</definedName>
    <definedName name="IQ_TAXES_TE_AVG_ASSETS_FFIEC" hidden="1">"c13366"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EXCL_FFIEC" hidden="1">"c13516"</definedName>
    <definedName name="IQ_TBV_SHARE" hidden="1">"c1217"</definedName>
    <definedName name="IQ_TBV_SHARE_REPORTED" hidden="1">"c19140"</definedName>
    <definedName name="IQ_TELECOM_FFIEC" hidden="1">"c13057"</definedName>
    <definedName name="IQ_TEMPLATE" hidden="1">"c1521"</definedName>
    <definedName name="IQ_TENANT" hidden="1">"c1218"</definedName>
    <definedName name="IQ_TENANT_LEASE_COMMISSION" hidden="1">"c16177"</definedName>
    <definedName name="IQ_TERM_LOANS" hidden="1">"c2499"</definedName>
    <definedName name="IQ_TERM_LOANS_PCT" hidden="1">"c2500"</definedName>
    <definedName name="IQ_TEV" hidden="1">"c1219"</definedName>
    <definedName name="IQ_TEV_DET_EST" hidden="1">"c18367"</definedName>
    <definedName name="IQ_TEV_DET_EST_CIQ" hidden="1">"c18171"</definedName>
    <definedName name="IQ_TEV_DET_EST_CURRENCY" hidden="1">"c18371"</definedName>
    <definedName name="IQ_TEV_DET_EST_CURRENCY_CIQ" hidden="1">"c18304"</definedName>
    <definedName name="IQ_TEV_DET_EST_DATE" hidden="1">"c18368"</definedName>
    <definedName name="IQ_TEV_DET_EST_DATE_CIQ" hidden="1">"c18278"</definedName>
    <definedName name="IQ_TEV_DET_EST_INCL" hidden="1">"c18369"</definedName>
    <definedName name="IQ_TEV_DET_EST_INCL_CIQ" hidden="1">"c18360"</definedName>
    <definedName name="IQ_TEV_DET_EST_NOTE" hidden="1">"c18370"</definedName>
    <definedName name="IQ_TEV_DET_EST_NOTE_CIQ" hidden="1">"c18293"</definedName>
    <definedName name="IQ_TEV_DET_EST_ORIGIN" hidden="1">"c18372"</definedName>
    <definedName name="IQ_TEV_DET_EST_ORIGIN_CIQ" hidden="1">"c18315"</definedName>
    <definedName name="IQ_TEV_EBIT" hidden="1">"c1220"</definedName>
    <definedName name="IQ_TEV_EBIT_AVG" hidden="1">"c1221"</definedName>
    <definedName name="IQ_TEV_EBIT_FWD" hidden="1">"c2238"</definedName>
    <definedName name="IQ_TEV_EBIT_FWD_CIQ" hidden="1">"c4047"</definedName>
    <definedName name="IQ_TEV_EBITDA" hidden="1">"c1222"</definedName>
    <definedName name="IQ_TEV_EBITDA_AVG" hidden="1">"c1223"</definedName>
    <definedName name="IQ_TEV_EBITDA_CAPEX" hidden="1">"c17553"</definedName>
    <definedName name="IQ_TEV_EBITDA_FWD" hidden="1">"c1224"</definedName>
    <definedName name="IQ_TEV_EBITDA_FWD_CIQ" hidden="1">"c4043"</definedName>
    <definedName name="IQ_TEV_EMPLOYEE_AVG" hidden="1">"c1225"</definedName>
    <definedName name="IQ_TEV_EST" hidden="1">"c4526"</definedName>
    <definedName name="IQ_TEV_EST_CIQ" hidden="1">"c5079"</definedName>
    <definedName name="IQ_TEV_EST_DOWN_2MONTH" hidden="1">"c16489"</definedName>
    <definedName name="IQ_TEV_EST_DOWN_3MONTH" hidden="1">"c16493"</definedName>
    <definedName name="IQ_TEV_EST_DOWN_MONTH" hidden="1">"c16485"</definedName>
    <definedName name="IQ_TEV_EST_NOTE_CIQ" hidden="1">"c18231"</definedName>
    <definedName name="IQ_TEV_EST_NUM_ANALYSTS_2MONTH" hidden="1">"c16487"</definedName>
    <definedName name="IQ_TEV_EST_NUM_ANALYSTS_3MONTH" hidden="1">"c16491"</definedName>
    <definedName name="IQ_TEV_EST_NUM_ANALYSTS_MONTH" hidden="1">"c16483"</definedName>
    <definedName name="IQ_TEV_EST_TOTAL_REVISED_2MONTH" hidden="1">"c16490"</definedName>
    <definedName name="IQ_TEV_EST_TOTAL_REVISED_3MONTH" hidden="1">"c16494"</definedName>
    <definedName name="IQ_TEV_EST_TOTAL_REVISED_MONTH" hidden="1">"c16486"</definedName>
    <definedName name="IQ_TEV_EST_UP_2MONTH" hidden="1">"c16488"</definedName>
    <definedName name="IQ_TEV_EST_UP_3MONTH" hidden="1">"c16492"</definedName>
    <definedName name="IQ_TEV_EST_UP_MONTH" hidden="1">"c16484"</definedName>
    <definedName name="IQ_TEV_HIGH_EST" hidden="1">"c4527"</definedName>
    <definedName name="IQ_TEV_HIGH_EST_CIQ" hidden="1">"c5080"</definedName>
    <definedName name="IQ_TEV_LOW_EST" hidden="1">"c4528"</definedName>
    <definedName name="IQ_TEV_LOW_EST_CIQ" hidden="1">"c5081"</definedName>
    <definedName name="IQ_TEV_MEDIAN_EST" hidden="1">"c4529"</definedName>
    <definedName name="IQ_TEV_MEDIAN_EST_CIQ" hidden="1">"c5082"</definedName>
    <definedName name="IQ_TEV_NUM_EST" hidden="1">"c4530"</definedName>
    <definedName name="IQ_TEV_NUM_EST_CIQ" hidden="1">"c5083"</definedName>
    <definedName name="IQ_TEV_STDDEV_EST" hidden="1">"c4531"</definedName>
    <definedName name="IQ_TEV_STDDEV_EST_CIQ" hidden="1">"c5084"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CAPITAL_BEFORE_CHARGES_T1_FFIEC" hidden="1">"c13139"</definedName>
    <definedName name="IQ_TIER_1_CAPITAL_FFIEC" hidden="1">"c13143"</definedName>
    <definedName name="IQ_TIER_1_CAPITAL_RATIO_THRIFT" hidden="1">"c25081"</definedName>
    <definedName name="IQ_TIER_1_CAPITAL_REQUIREMENT_ADJUSTED_ASSETS_THRIFT" hidden="1">"c25039"</definedName>
    <definedName name="IQ_TIER_1_CAPITAL_T1_THRIFT" hidden="1">"c25029"</definedName>
    <definedName name="IQ_TIER_1_LEVERAGE_RATIO_FFIEC" hidden="1">"c13160"</definedName>
    <definedName name="IQ_TIER_1_RISK_BASED_CAPITAL_RATIO_FDIC" hidden="1">"c6746"</definedName>
    <definedName name="IQ_TIER_1_RISK_BASED_CAPITAL_RATIO_FFIEC" hidden="1">"c13161"</definedName>
    <definedName name="IQ_TIER_1_RISK_BASED_CAPITAL_RATIO_THRIFT" hidden="1">"c25083"</definedName>
    <definedName name="IQ_TIER_2_CAPITAL_FFIEC" hidden="1">"c13149"</definedName>
    <definedName name="IQ_TIER_2_CAPITAL_T2_THRIFT" hidden="1">"c25045"</definedName>
    <definedName name="IQ_TIER_3_CAPITAL_ALLOCATED_MARKET_RISK_FFIEC" hidden="1">"c13151"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ER_TWO_CAPITAL_RATIO" hidden="1">"c15241"</definedName>
    <definedName name="IQ_TIME_DEP" hidden="1">"c1230"</definedName>
    <definedName name="IQ_TIME_DEPOSIT_LESS_100000_QUARTERLY_AVG_FFIEC" hidden="1">"c15487"</definedName>
    <definedName name="IQ_TIME_DEPOSIT_MORE_100000_QUARTERLY_AVG_FFIEC" hidden="1">"c15486"</definedName>
    <definedName name="IQ_TIME_DEPOSITS_100000_MORE_TOTAL_ASSETS_THRIFT" hidden="1">"c25701"</definedName>
    <definedName name="IQ_TIME_DEPOSITS_100000_THROUGH_250000_THRIFT" hidden="1">"c25002"</definedName>
    <definedName name="IQ_TIME_DEPOSITS_GREATER_100000_TOTAL_DEPOSITS_THRIFT" hidden="1">"c25779"</definedName>
    <definedName name="IQ_TIME_DEPOSITS_GREATER_THAN_250000_THRIFT" hidden="1">"c25003"</definedName>
    <definedName name="IQ_TIME_DEPOSITS_LESS_100K_OTHER_INSTITUTIONS_FFIEC" hidden="1">"c12953"</definedName>
    <definedName name="IQ_TIME_DEPOSITS_LESS_100K_TOT_DEPOSITS_FFIEC" hidden="1">"c13907"</definedName>
    <definedName name="IQ_TIME_DEPOSITS_LESS_THAN_100K_FDIC" hidden="1">"c6465"</definedName>
    <definedName name="IQ_TIME_DEPOSITS_MORE_100K_OTHER_INSTITUTIONS_FFIEC" hidden="1">"c12954"</definedName>
    <definedName name="IQ_TIME_DEPOSITS_MORE_100K_TOT_DEPOSITS_FFIEC" hidden="1">"c13906"</definedName>
    <definedName name="IQ_TIME_DEPOSITS_MORE_THAN_100K_FDIC" hidden="1">"c6470"</definedName>
    <definedName name="IQ_TIME_DEPOSITS_THRIFT" hidden="1">"c25001"</definedName>
    <definedName name="IQ_TIME_DEPOSITS_TOTAL_DEPOSITS" hidden="1">"c15723"</definedName>
    <definedName name="IQ_TODAY" hidden="1">0</definedName>
    <definedName name="IQ_TOT_1_4_FAM_LOANS_TOT_LOANS_FFIEC" hidden="1">"c13868"</definedName>
    <definedName name="IQ_TOT_ADJ_INC" localSheetId="12" hidden="1">"c1616"</definedName>
    <definedName name="IQ_TOT_ADJ_INC" localSheetId="7" hidden="1">"c1616"</definedName>
    <definedName name="IQ_TOT_ADJ_INC" hidden="1">"c287"</definedName>
    <definedName name="IQ_TOT_LEASES_TOT_LOANS_FFIEC" hidden="1">"c13876"</definedName>
    <definedName name="IQ_TOT_NON_RE_LOANS_TOT_LOANS_FFIEC" hidden="1">"c13877"</definedName>
    <definedName name="IQ_TOT_NONTRANS_ACCTS_TOT_DEPOSITS_FFIEC" hidden="1">"c13909"</definedName>
    <definedName name="IQ_TOT_RE_LOANS_TOT_LOANS_FFIEC" hidden="1">"c13873"</definedName>
    <definedName name="IQ_TOT_TIME_DEPOSITS_TOT_DEPOSITS_FFIEC" hidden="1">"c13908"</definedName>
    <definedName name="IQ_TOTAL_1_4_FAMILY_LOANS_TOTAL_LOANS_THRIFT" hidden="1">"c25741"</definedName>
    <definedName name="IQ_TOTAL_ALLOWABLE_EXCLUSIONS_THRIFT" hidden="1">"c25567"</definedName>
    <definedName name="IQ_TOTAL_AR_BR" hidden="1">"c1231"</definedName>
    <definedName name="IQ_TOTAL_AR_CM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localSheetId="12" hidden="1">"c1234"</definedName>
    <definedName name="IQ_TOTAL_ASSETS" localSheetId="7" hidden="1">"c1234"</definedName>
    <definedName name="IQ_TOTAL_ASSETS" hidden="1">"c90"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ADJUSTED_ASSETS_THRIFT" hidden="1">"c25030"</definedName>
    <definedName name="IQ_TOTAL_ASSETS_BNK_SUBTOTAL_AP" hidden="1">"c13644"</definedName>
    <definedName name="IQ_TOTAL_ASSETS_FAIR_VALUE_TOT_FFIEC" hidden="1">"c15405"</definedName>
    <definedName name="IQ_TOTAL_ASSETS_FDIC" hidden="1">"c6339"</definedName>
    <definedName name="IQ_TOTAL_ASSETS_FFIEC" hidden="1">"c12849"</definedName>
    <definedName name="IQ_TOTAL_ASSETS_LEVEL_1_FFIEC" hidden="1">"c15427"</definedName>
    <definedName name="IQ_TOTAL_ASSETS_LEVEL_2_FFIEC" hidden="1">"c15440"</definedName>
    <definedName name="IQ_TOTAL_ASSETS_LEVEL_3_FFIEC" hidden="1">"c15453"</definedName>
    <definedName name="IQ_TOTAL_ASSETS_LH_FFIEC" hidden="1">"c13106"</definedName>
    <definedName name="IQ_TOTAL_ASSETS_MANAGED_PROP_MUTUAL_FUNDS_ANNUITIES_THRIFT" hidden="1">"c24941"</definedName>
    <definedName name="IQ_TOTAL_ASSETS_MEASURED_FV_RECURRING_BASIS_AMOUNTS_NETTED_THRIFT" hidden="1">"c25522"</definedName>
    <definedName name="IQ_TOTAL_ASSETS_MEASURED_FV_RECURRING_BASIS_LEVEL_1_THRIFT" hidden="1">"c25518"</definedName>
    <definedName name="IQ_TOTAL_ASSETS_MEASURED_FV_RECURRING_BASIS_LEVEL_2_THRIFT" hidden="1">"c25519"</definedName>
    <definedName name="IQ_TOTAL_ASSETS_MEASURED_FV_RECURRING_BASIS_LEVEL_3_THRIFT" hidden="1">"c25520"</definedName>
    <definedName name="IQ_TOTAL_ASSETS_MEASURED_FV_RECURRING_BASIS_TOTAL_AFTER_NETTING_THRIFT" hidden="1">"c25523"</definedName>
    <definedName name="IQ_TOTAL_ASSETS_MEASURED_FV_RECURRING_BASIS_TOTAL_BEFORE_NETTING_THRIFT" hidden="1">"c25521"</definedName>
    <definedName name="IQ_TOTAL_ASSETS_PC_FFIEC" hidden="1">"c13099"</definedName>
    <definedName name="IQ_TOTAL_ASSETS_SUBTOTAL_AP" hidden="1">"c8985"</definedName>
    <definedName name="IQ_TOTAL_ASSETS_THRIFT" hidden="1">"c24894"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BORROWINGS_THRIFT" hidden="1">"c24899"</definedName>
    <definedName name="IQ_TOTAL_BROKER_ORIGINATED_DEPOSITS_FULLY_INSURED_THRIFT" hidden="1">"c24978"</definedName>
    <definedName name="IQ_TOTAL_BROKER_ORIGINATED_DEPOSITS_OTHER_THRIFT" hidden="1">"c24981"</definedName>
    <definedName name="IQ_TOTAL_BROKERED_DEPOSIT_FFIEC" hidden="1">"c15304"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EPOSITS_INV_SEC_THRIFT" hidden="1">"c24828"</definedName>
    <definedName name="IQ_TOTAL_CASH_DIVID" localSheetId="12" hidden="1">"c1455"</definedName>
    <definedName name="IQ_TOTAL_CASH_DIVID" localSheetId="7" hidden="1">"c1455"</definedName>
    <definedName name="IQ_TOTAL_CASH_DIVID" hidden="1">"c130"</definedName>
    <definedName name="IQ_TOTAL_CASH_DUE_DEPOSITORY_INSTIT_DOM_FFIEC" hidden="1">"c15291"</definedName>
    <definedName name="IQ_TOTAL_CASH_DUE_DEPOSITORY_INSTIT_FFIEC" hidden="1">"c15285"</definedName>
    <definedName name="IQ_TOTAL_CASH_FINAN" localSheetId="12" hidden="1">"c1352"</definedName>
    <definedName name="IQ_TOTAL_CASH_FINAN" localSheetId="7" hidden="1">"c1352"</definedName>
    <definedName name="IQ_TOTAL_CASH_FINAN" hidden="1">"c133"</definedName>
    <definedName name="IQ_TOTAL_CASH_INVEST" localSheetId="12" hidden="1">"c1353"</definedName>
    <definedName name="IQ_TOTAL_CASH_INVEST" localSheetId="7" hidden="1">"c1353"</definedName>
    <definedName name="IQ_TOTAL_CASH_INVEST" hidden="1">"c128"</definedName>
    <definedName name="IQ_TOTAL_CASH_OPER" localSheetId="12" hidden="1">"c1354"</definedName>
    <definedName name="IQ_TOTAL_CASH_OPER" localSheetId="7" hidden="1">"c1354"</definedName>
    <definedName name="IQ_TOTAL_CASH_OPER" hidden="1">"c125"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localSheetId="12" hidden="1">"c1411"</definedName>
    <definedName name="IQ_TOTAL_COMMON" localSheetId="7" hidden="1">"c1411"</definedName>
    <definedName name="IQ_TOTAL_COMMON" hidden="1">"c116"</definedName>
    <definedName name="IQ_TOTAL_COMMON_EQUITY" hidden="1">"c1246"</definedName>
    <definedName name="IQ_TOTAL_COMMON_EQUITY_FFIEC" hidden="1">"c13913"</definedName>
    <definedName name="IQ_TOTAL_COMMON_EQUITY_THRIFT" hidden="1">"c25085"</definedName>
    <definedName name="IQ_TOTAL_COMMON_EQUITY_TOTAL_ASSETS_FFIEC" hidden="1">"c13864"</definedName>
    <definedName name="IQ_TOTAL_COMMON_EQUITY_TOTAL_ASSETS_THRIFT" hidden="1">"c25739"</definedName>
    <definedName name="IQ_TOTAL_COMMON_SHARES_OUT_FFIEC" hidden="1">"c12955"</definedName>
    <definedName name="IQ_TOTAL_CONSTRUCTION_LL_REC_DOM_FFIEC" hidden="1">"c13515"</definedName>
    <definedName name="IQ_TOTAL_CURRENT_ASSETS" localSheetId="12" hidden="1">"c1430"</definedName>
    <definedName name="IQ_TOTAL_CURRENT_ASSETS" localSheetId="7" hidden="1">"c1430"</definedName>
    <definedName name="IQ_TOTAL_CURRENT_ASSETS" hidden="1">"c82"</definedName>
    <definedName name="IQ_TOTAL_CURRENT_LIAB" localSheetId="12" hidden="1">"c1431"</definedName>
    <definedName name="IQ_TOTAL_CURRENT_LIAB" localSheetId="7" hidden="1">"c1431"</definedName>
    <definedName name="IQ_TOTAL_CURRENT_LIAB" hidden="1">"c97"</definedName>
    <definedName name="IQ_TOTAL_DAILY_AVERAGE_ALLOWABLE_EXCLUSIONS_THRIFT" hidden="1">"c25580"</definedName>
    <definedName name="IQ_TOTAL_DAILY_AVERAGE_FOREIGN_DEPOSITS_THRIFT" hidden="1">"c25581"</definedName>
    <definedName name="IQ_TOTAL_DAILY_AVERAGE_GROSS_DEPOSIT_LIABILITIES_BEFORE_EXCLUSIONS_THRIFT" hidden="1">"c25579"</definedName>
    <definedName name="IQ_TOTAL_DEBT" localSheetId="12" hidden="1">"c1247"</definedName>
    <definedName name="IQ_TOTAL_DEBT" localSheetId="7" hidden="1">"c1247"</definedName>
    <definedName name="IQ_TOTAL_DEBT" hidden="1">"c101"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ST" hidden="1">"c4532"</definedName>
    <definedName name="IQ_TOTAL_DEBT_EST_CIQ" hidden="1">"c5085"</definedName>
    <definedName name="IQ_TOTAL_DEBT_EXCL_FIN" hidden="1">"c2937"</definedName>
    <definedName name="IQ_TOTAL_DEBT_HIGH_EST" hidden="1">"c4534"</definedName>
    <definedName name="IQ_TOTAL_DEBT_HIGH_EST_CIQ" hidden="1">"c5087"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CM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LOW_EST" hidden="1">"c4535"</definedName>
    <definedName name="IQ_TOTAL_DEBT_LOW_EST_CIQ" hidden="1">"c5088"</definedName>
    <definedName name="IQ_TOTAL_DEBT_MEDIAN_EST" hidden="1">"c4536"</definedName>
    <definedName name="IQ_TOTAL_DEBT_MEDIAN_EST_CIQ" hidden="1">"c5089"</definedName>
    <definedName name="IQ_TOTAL_DEBT_NON_CURRENT" hidden="1">"c6191"</definedName>
    <definedName name="IQ_TOTAL_DEBT_NUM_EST" hidden="1">"c4537"</definedName>
    <definedName name="IQ_TOTAL_DEBT_NUM_EST_CIQ" hidden="1">"c5090"</definedName>
    <definedName name="IQ_TOTAL_DEBT_OVER_EBITDA" localSheetId="12" hidden="1">"c1433"</definedName>
    <definedName name="IQ_TOTAL_DEBT_OVER_EBITDA" localSheetId="7" hidden="1">"c1433"</definedName>
    <definedName name="IQ_TOTAL_DEBT_OVER_EBITDA" hidden="1">"c183"</definedName>
    <definedName name="IQ_TOTAL_DEBT_OVER_TOTAL_BV" localSheetId="12" hidden="1">"c1434"</definedName>
    <definedName name="IQ_TOTAL_DEBT_OVER_TOTAL_BV" localSheetId="7" hidden="1">"c1434"</definedName>
    <definedName name="IQ_TOTAL_DEBT_OVER_TOTAL_BV" hidden="1">"c180"</definedName>
    <definedName name="IQ_TOTAL_DEBT_OVER_TOTAL_CAP" localSheetId="12" hidden="1">"c1432"</definedName>
    <definedName name="IQ_TOTAL_DEBT_OVER_TOTAL_CAP" localSheetId="7" hidden="1">"c1432"</definedName>
    <definedName name="IQ_TOTAL_DEBT_OVER_TOTAL_CAP" hidden="1">"c182"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CM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BT_STDDEV_EST" hidden="1">"c4538"</definedName>
    <definedName name="IQ_TOTAL_DEBT_STDDEV_EST_CIQ" hidden="1">"c5091"</definedName>
    <definedName name="IQ_TOTAL_DEPOSITS" localSheetId="12" hidden="1">"c1265"</definedName>
    <definedName name="IQ_TOTAL_DEPOSITS" localSheetId="7" hidden="1">"c1265"</definedName>
    <definedName name="IQ_TOTAL_DEPOSITS" hidden="1">"c284"</definedName>
    <definedName name="IQ_TOTAL_DEPOSITS_DOM_FFIEC" hidden="1">"c15313"</definedName>
    <definedName name="IQ_TOTAL_DEPOSITS_FDIC" hidden="1">"c6342"</definedName>
    <definedName name="IQ_TOTAL_DEPOSITS_FFIEC" hidden="1">"c13623"</definedName>
    <definedName name="IQ_TOTAL_DEPOSITS_SUPPLE" hidden="1">"c15253"</definedName>
    <definedName name="IQ_TOTAL_DEPOSITS_THRIFT" hidden="1">"c24984"</definedName>
    <definedName name="IQ_TOTAL_DIV_PAID_CF" hidden="1">"c1266"</definedName>
    <definedName name="IQ_TOTAL_DIVIDEND_INCOME_THRIFT" hidden="1">"c24756"</definedName>
    <definedName name="IQ_TOTAL_EARNING_ASSETS_QUARTERLY_AVG_FFIEC" hidden="1">"c25823"</definedName>
    <definedName name="IQ_TOTAL_ELIGIBLE_0_PCT_RISK_WEIGHT_THRIFT" hidden="1">"c25050"</definedName>
    <definedName name="IQ_TOTAL_ELIGIBLE_100_PCT_RISK_WEIGHT_THRIFT" hidden="1">"c25070"</definedName>
    <definedName name="IQ_TOTAL_ELIGIBLE_20_PCT_RISK_WEIGHT_THRIFT" hidden="1">"c25056"</definedName>
    <definedName name="IQ_TOTAL_ELIGIBLE_50_PCT_RISK_WEIGHT_THRIFT" hidden="1">"c25063"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localSheetId="12" hidden="1">"c1267"</definedName>
    <definedName name="IQ_TOTAL_EQUITY" localSheetId="7" hidden="1">"c1267"</definedName>
    <definedName name="IQ_TOTAL_EQUITY" hidden="1">"c114"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CAPITAL_INC_MINORITY_INT_THRIFT" hidden="1">"c24927"</definedName>
    <definedName name="IQ_TOTAL_EQUITY_CAPITAL_T1_FFIEC" hidden="1">"c13130"</definedName>
    <definedName name="IQ_TOTAL_EQUITY_CAPITAL_T1_THRIFT" hidden="1">"c25021"</definedName>
    <definedName name="IQ_TOTAL_EQUITY_CAPITAL_THRIFT" hidden="1">"c24925"</definedName>
    <definedName name="IQ_TOTAL_EQUITY_FFIEC" hidden="1">"c12881"</definedName>
    <definedName name="IQ_TOTAL_EQUITY_INCL_MINORITY_INTEREST_FFIEC" hidden="1">"c15278"</definedName>
    <definedName name="IQ_TOTAL_EQUITY_INV_NOT_CARRIED_FV_THRIFT" hidden="1">"c24879"</definedName>
    <definedName name="IQ_TOTAL_EQUITY_LH_FFIEC" hidden="1">"c13109"</definedName>
    <definedName name="IQ_TOTAL_EQUITY_PC_FFIEC" hidden="1">"c13102"</definedName>
    <definedName name="IQ_TOTAL_EQUITY_SUBTOTAL_AP" hidden="1">"c8989"</definedName>
    <definedName name="IQ_TOTAL_EQUITY_TOTAL_ASSETS_FFIEC" hidden="1">"c13863"</definedName>
    <definedName name="IQ_TOTAL_EQUITY_TOTAL_ASSETS_THRIFT" hidden="1">"c25738"</definedName>
    <definedName name="IQ_TOTAL_FIDUCIARY_ACCOUNTS_MANAGED_ASSETS_THRIFT" hidden="1">"c25346"</definedName>
    <definedName name="IQ_TOTAL_FIDUCIARY_ACCOUNTS_NONMANAGED_ASSETS_THRIFT" hidden="1">"c25367"</definedName>
    <definedName name="IQ_TOTAL_FIDUCIARY_ACCOUNTS_NUMBER_MANAGED_ACCOUNTS_THRIFT" hidden="1">"c25357"</definedName>
    <definedName name="IQ_TOTAL_FIDUCIARY_ACCOUNTS_NUMBER_NONMANAGED_ACCOUNTS_THRIFT" hidden="1">"c25379"</definedName>
    <definedName name="IQ_TOTAL_FOREIGN_DEPOSITS_FFIEC" hidden="1">"c15348"</definedName>
    <definedName name="IQ_TOTAL_FOREIGN_DEPOSITS_INCLUDED_IN_TOTAL_ALLOWABLE_EXCLUSIONS_THRIFT" hidden="1">"c25568"</definedName>
    <definedName name="IQ_TOTAL_FOREIGN_LOANS_QUARTERLY_AVG_FFIEC" hidden="1">"c15482"</definedName>
    <definedName name="IQ_TOTAL_GROSS_DEPOSIT_LIABILITIES_BEFORE_EXCLUSIONS_THRIFT" hidden="1">"c25566"</definedName>
    <definedName name="IQ_TOTAL_GROSS_FIDUCIARY_RELATED_SERVICES_INC_THRIFT" hidden="1">"c24811"</definedName>
    <definedName name="IQ_TOTAL_GROSS_LOSSES_MANAGED_ACCOUNTS_THRIFT" hidden="1">"c25465"</definedName>
    <definedName name="IQ_TOTAL_GROSS_LOSSES_NONMANAGED_ACCOUNTS_THRIFT" hidden="1">"c25470"</definedName>
    <definedName name="IQ_TOTAL_IBF_ASSETS_CONSOL_BANK_FFIEC" hidden="1">"c15299"</definedName>
    <definedName name="IQ_TOTAL_IBF_LIABILITIES_FFIEC" hidden="1">"c15302"</definedName>
    <definedName name="IQ_TOTAL_IBF_LL_REC_FFIEC" hidden="1">"c15297"</definedName>
    <definedName name="IQ_TOTAL_INT_EXP_THRIFT" hidden="1">"c24764"</definedName>
    <definedName name="IQ_TOTAL_INT_EXPENSE_FFIEC" hidden="1">"c13000"</definedName>
    <definedName name="IQ_TOTAL_INT_INCOME_FFIEC" hidden="1">"c12989"</definedName>
    <definedName name="IQ_TOTAL_INT_INCOME_THRIFT" hidden="1">"c24753"</definedName>
    <definedName name="IQ_TOTAL_INTEREST_EXP" localSheetId="12" hidden="1">"c1382"</definedName>
    <definedName name="IQ_TOTAL_INTEREST_EXP" localSheetId="7" hidden="1">"c1382"</definedName>
    <definedName name="IQ_TOTAL_INTEREST_EXP" hidden="1">"c67"</definedName>
    <definedName name="IQ_TOTAL_INTEREST_EXP_FOREIGN_FFIEC" hidden="1">"c15374"</definedName>
    <definedName name="IQ_TOTAL_INTEREST_INC_FOREIGN_FFIEC" hidden="1">"c15373"</definedName>
    <definedName name="IQ_TOTAL_INVENTORY" localSheetId="12" hidden="1">"c1385"</definedName>
    <definedName name="IQ_TOTAL_INVENTORY" localSheetId="7" hidden="1">"c1385"</definedName>
    <definedName name="IQ_TOTAL_INVENTORY" hidden="1">"c79"</definedName>
    <definedName name="IQ_TOTAL_INVEST" hidden="1">"c1275"</definedName>
    <definedName name="IQ_TOTAL_IRA_KEOGH_PLAN_ACCOUNTS_FFIEC" hidden="1">"c15303"</definedName>
    <definedName name="IQ_TOTAL_LEASES_TOTAL_LOANS_THRIFT" hidden="1">"c25751"</definedName>
    <definedName name="IQ_TOTAL_LIAB" localSheetId="12" hidden="1">"c1276"</definedName>
    <definedName name="IQ_TOTAL_LIAB" localSheetId="7" hidden="1">"c1276"</definedName>
    <definedName name="IQ_TOTAL_LIAB" hidden="1">"c105"</definedName>
    <definedName name="IQ_TOTAL_LIAB_BNK" hidden="1">"c1277"</definedName>
    <definedName name="IQ_TOTAL_LIAB_BR" hidden="1">"c1278"</definedName>
    <definedName name="IQ_TOTAL_LIAB_CM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localSheetId="12" hidden="1">"c1435"</definedName>
    <definedName name="IQ_TOTAL_LIAB_SHAREHOLD" localSheetId="7" hidden="1">"c1435"</definedName>
    <definedName name="IQ_TOTAL_LIAB_SHAREHOLD" hidden="1">"c115"</definedName>
    <definedName name="IQ_TOTAL_LIAB_TOTAL_ASSETS" hidden="1">"c1283"</definedName>
    <definedName name="IQ_TOTAL_LIABILITIES_EQUITY_FFIEC" hidden="1">"c12882"</definedName>
    <definedName name="IQ_TOTAL_LIABILITIES_EQUITY_THRIFT" hidden="1">"c24928"</definedName>
    <definedName name="IQ_TOTAL_LIABILITIES_FAIR_VALUE_TOT_FFIEC" hidden="1">"c15411"</definedName>
    <definedName name="IQ_TOTAL_LIABILITIES_FDIC" hidden="1">"c6348"</definedName>
    <definedName name="IQ_TOTAL_LIABILITIES_FFIEC" hidden="1">"c12873"</definedName>
    <definedName name="IQ_TOTAL_LIABILITIES_LEVEL_1_FFIEC" hidden="1">"c15433"</definedName>
    <definedName name="IQ_TOTAL_LIABILITIES_LEVEL_2_FFIEC" hidden="1">"c15446"</definedName>
    <definedName name="IQ_TOTAL_LIABILITIES_LEVEL_3_FFIEC" hidden="1">"c15459"</definedName>
    <definedName name="IQ_TOTAL_LIABILITIES_MEASURED_FV_RECURRING_BASIS_AMOUNTS_NETTED_THRIFT" hidden="1">"c25564"</definedName>
    <definedName name="IQ_TOTAL_LIABILITIES_MEASURED_FV_RECURRING_BASIS_LEVEL_1_THRIFT" hidden="1">"c25560"</definedName>
    <definedName name="IQ_TOTAL_LIABILITIES_MEASURED_FV_RECURRING_BASIS_LEVEL_2_THRIFT" hidden="1">"c25561"</definedName>
    <definedName name="IQ_TOTAL_LIABILITIES_MEASURED_FV_RECURRING_BASIS_LEVEL_3_THRIFT" hidden="1">"c25562"</definedName>
    <definedName name="IQ_TOTAL_LIABILITIES_MEASURED_FV_RECURRING_BASIS_TOTAL_AFTER_NETTING_THRIFT" hidden="1">"c25565"</definedName>
    <definedName name="IQ_TOTAL_LIABILITIES_MEASURED_FV_RECURRING_BASIS_TOTAL_BEFORE_NETTING_THRIFT" hidden="1">"c25563"</definedName>
    <definedName name="IQ_TOTAL_LIABILITIES_THRIFT" hidden="1">"c24913"</definedName>
    <definedName name="IQ_TOTAL_LL_DOMESTIC_QUARTERLY_AVG_FFIEC" hidden="1">"c25825"</definedName>
    <definedName name="IQ_TOTAL_LL_FOREIGN_QUARTERLY_AVG_FFIEC" hidden="1">"c25824"</definedName>
    <definedName name="IQ_TOTAL_LL_REC_DOM_FFIEC" hidden="1">"c12917"</definedName>
    <definedName name="IQ_TOTAL_LL_REC_FFIEC" hidden="1">"c12898"</definedName>
    <definedName name="IQ_TOTAL_LOANS" hidden="1">"c5653"</definedName>
    <definedName name="IQ_TOTAL_LOANS_DOM_QUARTERLY_AVG_FFIEC" hidden="1">"c15475"</definedName>
    <definedName name="IQ_TOTAL_LOANS_IN_PROCESS_FORECLOSURE_THRIFT" hidden="1">"c25310"</definedName>
    <definedName name="IQ_TOTAL_LOANS_LEASES_AND_OTHER_DUE_30_89_FFIEC" hidden="1">"c15416"</definedName>
    <definedName name="IQ_TOTAL_LOANS_LEASES_AND_OTHER_DUE_90_FFIEC" hidden="1">"c15420"</definedName>
    <definedName name="IQ_TOTAL_LOANS_LEASES_AND_OTHER_NON_ACCRUAL_FFIEC" hidden="1">"c15466"</definedName>
    <definedName name="IQ_TOTAL_LOANS_LEASES_CHARGE_OFFS_FFIEC" hidden="1">"c13186"</definedName>
    <definedName name="IQ_TOTAL_LOANS_LEASES_DUE_30_89_FFIEC" hidden="1">"c13280"</definedName>
    <definedName name="IQ_TOTAL_LOANS_LEASES_DUE_90_FFIEC" hidden="1">"c13306"</definedName>
    <definedName name="IQ_TOTAL_LOANS_LEASES_NON_ACCRUAL_FFIEC" hidden="1">"c13757"</definedName>
    <definedName name="IQ_TOTAL_LOANS_LEASES_RECOV_FFIEC" hidden="1">"c13208"</definedName>
    <definedName name="IQ_TOTAL_LONG_DEBT" localSheetId="12" hidden="1">"c1617"</definedName>
    <definedName name="IQ_TOTAL_LONG_DEBT" localSheetId="7" hidden="1">"c1617"</definedName>
    <definedName name="IQ_TOTAL_LONG_DEBT" hidden="1">"c100"</definedName>
    <definedName name="IQ_TOTAL_MANAGED_ASSETS_ALL_OTHER_ACCOUNTS_THRIFT" hidden="1">"c25422"</definedName>
    <definedName name="IQ_TOTAL_MANAGED_ASSETS_EMPLOYEE_BENEFIT_RETIREMENT_RELATED_ACCOUNTS_THRIFT" hidden="1">"c25406"</definedName>
    <definedName name="IQ_TOTAL_MANAGED_ASSETS_PERSONAL_TRUST_AGENCY_INV_MANAGEMENT_ACCOUNTS_THRIFT" hidden="1">"c25390"</definedName>
    <definedName name="IQ_TOTAL_MBS_THRIFT" hidden="1">"c24837"</definedName>
    <definedName name="IQ_TOTAL_MORTGAGE_LOANS_THRIFT" hidden="1">"c24852"</definedName>
    <definedName name="IQ_TOTAL_MORTGAGE_NON_MORTGAGE_LOANS_DUE_30_89_THRIFT" hidden="1">"c25255"</definedName>
    <definedName name="IQ_TOTAL_MORTGAGE_NON_MORTGAGE_LOANS_DUE_90_THRIFT" hidden="1">"c25276"</definedName>
    <definedName name="IQ_TOTAL_MORTGAGE_NON_MORTGAGE_LOANS_NON_ACCRUAL_THRIFT" hidden="1">"c25297"</definedName>
    <definedName name="IQ_TOTAL_NON_MORTGAGE_LOANS_THRIFT" hidden="1">"c24868"</definedName>
    <definedName name="IQ_TOTAL_NON_RE_LOANS_TOTAL_LOANS_THRIFT" hidden="1">"c25752"</definedName>
    <definedName name="IQ_TOTAL_NON_REC" hidden="1">"c1444"</definedName>
    <definedName name="IQ_TOTAL_NON_TRANS_ACCTS_FFIEC" hidden="1">"c15328"</definedName>
    <definedName name="IQ_TOTAL_NONINTEREST_EXPENSE_FOREIGN_FFIEC" hidden="1">"c15386"</definedName>
    <definedName name="IQ_TOTAL_OPER_EXP_BR" hidden="1">"c1284"</definedName>
    <definedName name="IQ_TOTAL_OPER_EXP_CM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localSheetId="12" hidden="1">"c1445"</definedName>
    <definedName name="IQ_TOTAL_OPER_EXPEN" localSheetId="7" hidden="1">"c1445"</definedName>
    <definedName name="IQ_TOTAL_OPER_EXPEN" hidden="1">"c20"</definedName>
    <definedName name="IQ_TOTAL_OPERATING_EXPENSE" hidden="1">"c16047"</definedName>
    <definedName name="IQ_TOTAL_OPERATING_REVENUE" hidden="1">"c16030"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ASSETS_THRIFT" hidden="1">"c24883"</definedName>
    <definedName name="IQ_TOTAL_OTHER_OPER" hidden="1">"c1289"</definedName>
    <definedName name="IQ_TOTAL_OTHER_TEMP_IMPAIR_LOSS_FFIEC" hidden="1">"c25846"</definedName>
    <definedName name="IQ_TOTAL_OTHER_UNUSED_FFIEC" hidden="1">"c25858"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ENSION_OBLIGATION" hidden="1">"c1292"</definedName>
    <definedName name="IQ_TOTAL_PRINCIPAL" hidden="1">"c2509"</definedName>
    <definedName name="IQ_TOTAL_PRINCIPAL_AMT_ASSETS_COVERED_RECOURSE_OBLIGATIONS_DIRECT_CREDIT_SUBSTITUTES_THRIFT" hidden="1">"c25615"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_LOANS_TOTAL_LOANS" hidden="1">"c15715"</definedName>
    <definedName name="IQ_TOTAL_RE_NOI_AVG_GROSS_PROP" hidden="1">"c16059"</definedName>
    <definedName name="IQ_TOTAL_RECEIV" localSheetId="12" hidden="1">"c1293"</definedName>
    <definedName name="IQ_TOTAL_RECEIV" localSheetId="7" hidden="1">"c1293"</definedName>
    <definedName name="IQ_TOTAL_RECEIV" hidden="1">"c78"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COVERIES_THRIFT" hidden="1">"c25475"</definedName>
    <definedName name="IQ_TOTAL_RENTAL_REVENUE" hidden="1">"c16022"</definedName>
    <definedName name="IQ_TOTAL_RESERVES" hidden="1">"c21102"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TURN_SWAPS_DERIVATIVES_BENEFICIARY_FFIEC" hidden="1">"c13120"</definedName>
    <definedName name="IQ_TOTAL_RETURN_SWAPS_DERIVATIVES_GUARANTOR_FFIEC" hidden="1">"c13113"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CM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localSheetId="12" hidden="1">"c1436"</definedName>
    <definedName name="IQ_TOTAL_REVENUE" localSheetId="7" hidden="1">"c1436"</definedName>
    <definedName name="IQ_TOTAL_REVENUE" hidden="1">"c5"</definedName>
    <definedName name="IQ_TOTAL_REVENUE_FFIEC" hidden="1">"c13020"</definedName>
    <definedName name="IQ_TOTAL_REVENUE_FOREIGN_FFIEC" hidden="1">"c15383"</definedName>
    <definedName name="IQ_TOTAL_REVENUE_THRIFT" hidden="1">"c24785"</definedName>
    <definedName name="IQ_TOTAL_RISK_BASED_CAPITAL_FFIEC" hidden="1">"c13153"</definedName>
    <definedName name="IQ_TOTAL_RISK_BASED_CAPITAL_RATIO_FDIC" hidden="1">"c6747"</definedName>
    <definedName name="IQ_TOTAL_RISK_BASED_CAPITAL_RATIO_FFIEC" hidden="1">"c13162"</definedName>
    <definedName name="IQ_TOTAL_RISK_BASED_CAPITAL_RATIO_THRIFT" hidden="1">"c25082"</definedName>
    <definedName name="IQ_TOTAL_RISK_BASED_CAPITAL_REQUIREMENT_THRIFT" hidden="1">"c25080"</definedName>
    <definedName name="IQ_TOTAL_RISK_BASED_CAPITAL_THRIFT" hidden="1">"c25049"</definedName>
    <definedName name="IQ_TOTAL_RISK_WEIGHTED_ASSETS_FFIEC" hidden="1">"c13858"</definedName>
    <definedName name="IQ_TOTAL_RISK_WEIGHTED_ASSETS_THRIFT" hidden="1">"c25079"</definedName>
    <definedName name="IQ_TOTAL_ROOMS" hidden="1">"c8789"</definedName>
    <definedName name="IQ_TOTAL_SECURITIES_FDIC" hidden="1">"c6306"</definedName>
    <definedName name="IQ_TOTAL_SPECIAL" localSheetId="12" hidden="1">"c1618"</definedName>
    <definedName name="IQ_TOTAL_SPECIAL" localSheetId="7" hidden="1">"c1618"</definedName>
    <definedName name="IQ_TOTAL_SPECIAL" hidden="1">"c59"</definedName>
    <definedName name="IQ_TOTAL_SQ_FT" hidden="1">"c8781"</definedName>
    <definedName name="IQ_TOTAL_SR_SECURED" hidden="1">"c17890"</definedName>
    <definedName name="IQ_TOTAL_SR_SECURED_EBITDA" hidden="1">"c17901"</definedName>
    <definedName name="IQ_TOTAL_SR_SECURED_EBITDA_CAPEX" hidden="1">"c17902"</definedName>
    <definedName name="IQ_TOTAL_SR_SECURED_PCT" hidden="1">"c18004"</definedName>
    <definedName name="IQ_TOTAL_ST_BORROW" localSheetId="12" hidden="1">"c1424"</definedName>
    <definedName name="IQ_TOTAL_ST_BORROW" localSheetId="7" hidden="1">"c1424"</definedName>
    <definedName name="IQ_TOTAL_ST_BORROW" hidden="1">"c286"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DEPOSITS_TOTAL_DEPOSITS_THRIFT" hidden="1">"c25780"</definedName>
    <definedName name="IQ_TOTAL_TIME_LESS_100000_1_TO_3_YEARS_FFIEC" hidden="1">"c15335"</definedName>
    <definedName name="IQ_TOTAL_TIME_LESS_100000_3_MONTHS_LESS_FFIEC" hidden="1">"c15333"</definedName>
    <definedName name="IQ_TOTAL_TIME_LESS_100000_3_TO_12_MONTHS_FFIEC" hidden="1">"c15334"</definedName>
    <definedName name="IQ_TOTAL_TIME_LESS_100000_FFIEC" hidden="1">"c15332"</definedName>
    <definedName name="IQ_TOTAL_TIME_LESS_100000_OVER_3_YEARS_FFIEC" hidden="1">"c15336"</definedName>
    <definedName name="IQ_TOTAL_TIME_MORE_100000_1_TO_3_YEARS_FFIEC" hidden="1">"c15340"</definedName>
    <definedName name="IQ_TOTAL_TIME_MORE_100000_3_MONTHS_LESS_FFIEC" hidden="1">"c15338"</definedName>
    <definedName name="IQ_TOTAL_TIME_MORE_100000_3_TO_12_MONTHS_FFIEC" hidden="1">"c15339"</definedName>
    <definedName name="IQ_TOTAL_TIME_MORE_100000_FFIEC" hidden="1">"c15337"</definedName>
    <definedName name="IQ_TOTAL_TIME_MORE_100000_OVER_3_YEARS_FFIEC" hidden="1">"c15341"</definedName>
    <definedName name="IQ_TOTAL_TIME_SAVINGS_DEPOSITS_FDIC" hidden="1">"c6498"</definedName>
    <definedName name="IQ_TOTAL_TRADING_ASSETS_FFIEC" hidden="1">"c12939"</definedName>
    <definedName name="IQ_TOTAL_TRADING_LIAB_DOM_FFIEC" hidden="1">"c12944"</definedName>
    <definedName name="IQ_TOTAL_TRADING_LIAB_FOREIGN_FFIEC" hidden="1">"c15296"</definedName>
    <definedName name="IQ_TOTAL_TRANS_ACCTS_FFIEC" hidden="1">"c15321"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CM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SUPPLE" hidden="1">"c13817"</definedName>
    <definedName name="IQ_TOTAL_UNUSUAL_UTI" hidden="1">"c5521"</definedName>
    <definedName name="IQ_TOTAL_VOLUME_RT" hidden="1">"TOTALVOLUME"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DJ_SIZE_FINAL" hidden="1">"c16265"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NKY_ADVISOR_CLIENT_NAME_LIST" hidden="1">"c17671"</definedName>
    <definedName name="IQ_TR_BNKY_ADVISOR_FEE_LIST" hidden="1">"c17673"</definedName>
    <definedName name="IQ_TR_BNKY_ADVISOR_FEE_PCT_LIST" hidden="1">"c17674"</definedName>
    <definedName name="IQ_TR_BNKY_ADVISOR_ID_LIST" hidden="1">"c17670"</definedName>
    <definedName name="IQ_TR_BNKY_ADVISOR_NAME_LIST" hidden="1">"c17669"</definedName>
    <definedName name="IQ_TR_BNKY_ADVISOR_ROLE_LIST" hidden="1">"c17672"</definedName>
    <definedName name="IQ_TR_BNKY_AFFILIATES_JOINT_ADMIN" hidden="1">"c17636"</definedName>
    <definedName name="IQ_TR_BNKY_AFFILIATES_JOINT_ADMIN_LIST" hidden="1">"c17656"</definedName>
    <definedName name="IQ_TR_BNKY_CASE_CONSOLIDATED_DATE" hidden="1">"c17632"</definedName>
    <definedName name="IQ_TR_BNKY_CASE_FILING_FEE_PAID" hidden="1">"c17634"</definedName>
    <definedName name="IQ_TR_BNKY_CASE_NUMBER" hidden="1">"c17627"</definedName>
    <definedName name="IQ_TR_BNKY_CASH_IN_HAND" hidden="1">"c17651"</definedName>
    <definedName name="IQ_TR_BNKY_COURT" hidden="1">"c17626"</definedName>
    <definedName name="IQ_TR_BNKY_CREDITOR_CLAIM_AMT_LIST" hidden="1">"c17660"</definedName>
    <definedName name="IQ_TR_BNKY_CREDITOR_ID_LIST" hidden="1">"c17658"</definedName>
    <definedName name="IQ_TR_BNKY_CREDITOR_NAME_LIST" hidden="1">"c17657"</definedName>
    <definedName name="IQ_TR_BNKY_CREDITOR_REL_LIST" hidden="1">"c17659"</definedName>
    <definedName name="IQ_TR_BNKY_CREDITORS" hidden="1">"c17635"</definedName>
    <definedName name="IQ_TR_BNKY_DIP_COMMITMENT_FEE_LIST" hidden="1">"c17667"</definedName>
    <definedName name="IQ_TR_BNKY_DIP_FIN_PROVIDED" hidden="1">"c17640"</definedName>
    <definedName name="IQ_TR_BNKY_DIP_FIN_PROVIDED_LIST" hidden="1">"c17665"</definedName>
    <definedName name="IQ_TR_BNKY_DIP_FIN_PROVIDERS" hidden="1">"c17639"</definedName>
    <definedName name="IQ_TR_BNKY_DIP_FIN_SECURITY_TYPES" hidden="1">"c17642"</definedName>
    <definedName name="IQ_TR_BNKY_DIP_FIN_UTILIZED" hidden="1">"c17641"</definedName>
    <definedName name="IQ_TR_BNKY_DIP_ID_LIST" hidden="1">"c17662"</definedName>
    <definedName name="IQ_TR_BNKY_DIP_LEAD_PROVIDER_LIST" hidden="1">"c17668"</definedName>
    <definedName name="IQ_TR_BNKY_DIP_LIBOR_SPREAD_LIST" hidden="1">"c17666"</definedName>
    <definedName name="IQ_TR_BNKY_DIP_MATURITY_DATE_LIST" hidden="1">"c17664"</definedName>
    <definedName name="IQ_TR_BNKY_DIP_NAME_LIST" hidden="1">"c17661"</definedName>
    <definedName name="IQ_TR_BNKY_DIP_SECURITY_LIST" hidden="1">"c17663"</definedName>
    <definedName name="IQ_TR_BNKY_DISMISSED_DATE" hidden="1">"c17633"</definedName>
    <definedName name="IQ_TR_BNKY_EMERGED_REORG_DATE" hidden="1">"c17630"</definedName>
    <definedName name="IQ_TR_BNKY_FEATURES_LIST" hidden="1">"c17655"</definedName>
    <definedName name="IQ_TR_BNKY_FILING_TYPE" hidden="1">"c17624"</definedName>
    <definedName name="IQ_TR_BNKY_INVOL_PETITION_FILED_DATE" hidden="1">"c17629"</definedName>
    <definedName name="IQ_TR_BNKY_ISSUANCE_DEBT" hidden="1">"c17648"</definedName>
    <definedName name="IQ_TR_BNKY_ISSUANCE_EQUITY" hidden="1">"c17649"</definedName>
    <definedName name="IQ_TR_BNKY_LEAD_ASSETS_INIT_FILING" hidden="1">"c17645"</definedName>
    <definedName name="IQ_TR_BNKY_LEAD_ASSETS_INIT_FILING_LIST" hidden="1">"c17678"</definedName>
    <definedName name="IQ_TR_BNKY_LEAD_DEBTOR" hidden="1">"c17643"</definedName>
    <definedName name="IQ_TR_BNKY_LEAD_DEBTOR_LIST" hidden="1">"c17675"</definedName>
    <definedName name="IQ_TR_BNKY_LEAD_LIAB_INIT_FILING" hidden="1">"c17644"</definedName>
    <definedName name="IQ_TR_BNKY_LEAD_LIAB_INIT_FILING_LIST" hidden="1">"c17677"</definedName>
    <definedName name="IQ_TR_BNKY_LEAD_REV_ANN" hidden="1">"c17646"</definedName>
    <definedName name="IQ_TR_BNKY_LEAD_REV_ANN_LIST" hidden="1">"c17679"</definedName>
    <definedName name="IQ_TR_BNKY_LEAD_STOCK_PRICE_ANN" hidden="1">"c17647"</definedName>
    <definedName name="IQ_TR_BNKY_LEAD_STOCK_PRICE_ANN_LIST" hidden="1">"c17680"</definedName>
    <definedName name="IQ_TR_BNKY_LEAD_TYPE_LIST" hidden="1">"c17676"</definedName>
    <definedName name="IQ_TR_BNKY_LIQUIDATED_DATE" hidden="1">"c17631"</definedName>
    <definedName name="IQ_TR_BNKY_PRE_BANKRUPTCY_SITUATION" hidden="1">"c17637"</definedName>
    <definedName name="IQ_TR_BNKY_RESOLUTION" hidden="1">"c17638"</definedName>
    <definedName name="IQ_TR_BNKY_RESTRUCTURING_WEBSITE" hidden="1">"c17625"</definedName>
    <definedName name="IQ_TR_BNKY_SALE_ASSETS" hidden="1">"c17650"</definedName>
    <definedName name="IQ_TR_BNKY_TOTAL_CLAIMANTS_AMT" hidden="1">"c17653"</definedName>
    <definedName name="IQ_TR_BNKY_TOTAL_FIN_PROVIDED" hidden="1">"c17652"</definedName>
    <definedName name="IQ_TR_BNKY_TOTAL_PAYMENTS_CLAIMANTS" hidden="1">"c17654"</definedName>
    <definedName name="IQ_TR_BNKY_VOL_PETITION_FILED_DATE" hidden="1">"c17628"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_TERM_FEE" hidden="1">"c13638"</definedName>
    <definedName name="IQ_TR_BUY_TERM_FEE_PCT" hidden="1">"c13639"</definedName>
    <definedName name="IQ_TR_BUYBACK_TO_CLOSE" hidden="1">"c13919"</definedName>
    <definedName name="IQ_TR_BUYBACK_TO_HIGH" hidden="1">"c13917"</definedName>
    <definedName name="IQ_TR_BUYBACK_TO_LOW" hidden="1">"c13918"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CONSID_PCT_FINAL" hidden="1">"c16268"</definedName>
    <definedName name="IQ_TR_CASH_ST_INVEST" hidden="1">"c3025"</definedName>
    <definedName name="IQ_TR_CASH_ST_INVEST_FINAL" hidden="1">"c16266"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ISSUE" hidden="1">"c17571"</definedName>
    <definedName name="IQ_TR_CO_NET_PROCEEDS_PCT" hidden="1">"c2270"</definedName>
    <definedName name="IQ_TR_COMMENTS" hidden="1">"c2383"</definedName>
    <definedName name="IQ_TR_CURRENCY" hidden="1">"c3016"</definedName>
    <definedName name="IQ_TR_DEAL_APPROACH" hidden="1">"c12706"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BT_CONSID_PCT_FINAL" hidden="1">"c16274"</definedName>
    <definedName name="IQ_TR_DEF_AGRMT_DATE" hidden="1">"c2285"</definedName>
    <definedName name="IQ_TR_DISCLOSED_FEES_EXP" hidden="1">"c2288"</definedName>
    <definedName name="IQ_TR_EARNOUTS" hidden="1">"c3023"</definedName>
    <definedName name="IQ_TR_EARNOUTS_FINAL" hidden="1">"c16262"</definedName>
    <definedName name="IQ_TR_EX_OVER_SHARES_ISSUE" hidden="1">"c17566"</definedName>
    <definedName name="IQ_TR_EXPIRED_DATE" hidden="1">"c2412"</definedName>
    <definedName name="IQ_TR_GROSS_OFFERING_AMT" hidden="1">"c2262"</definedName>
    <definedName name="IQ_TR_GROSS_PROCEEDS_ISSUE" hidden="1">"c17568"</definedName>
    <definedName name="IQ_TR_HYBRID_CONSID_PCT" hidden="1">"c2300"</definedName>
    <definedName name="IQ_TR_HYBRID_CONSID_PCT_FINAL" hidden="1">"c16276"</definedName>
    <definedName name="IQ_TR_IMPLIED_EQ" hidden="1">"c3018"</definedName>
    <definedName name="IQ_TR_IMPLIED_EQ_BV" hidden="1">"c3019"</definedName>
    <definedName name="IQ_TR_IMPLIED_EQ_BV_FINAL" hidden="1">"c16255"</definedName>
    <definedName name="IQ_TR_IMPLIED_EQ_FINAL" hidden="1">"c16253"</definedName>
    <definedName name="IQ_TR_IMPLIED_EQ_NI_LTM" hidden="1">"c3020"</definedName>
    <definedName name="IQ_TR_IMPLIED_EQ_NI_LTM_FINAL" hidden="1">"c16254"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_FINAL" hidden="1">"c16252"</definedName>
    <definedName name="IQ_TR_IMPLIED_EV_EBIT_FWD" hidden="1">"c17878"</definedName>
    <definedName name="IQ_TR_IMPLIED_EV_EBITDA" hidden="1">"c2303"</definedName>
    <definedName name="IQ_TR_IMPLIED_EV_EBITDA_FINAL" hidden="1">"c16251"</definedName>
    <definedName name="IQ_TR_IMPLIED_EV_EBITDA_FWD" hidden="1">"c17877"</definedName>
    <definedName name="IQ_TR_IMPLIED_EV_FINAL" hidden="1">"c16249"</definedName>
    <definedName name="IQ_TR_IMPLIED_EV_NI_LTM" hidden="1">"c2307"</definedName>
    <definedName name="IQ_TR_IMPLIED_EV_REV" hidden="1">"c2304"</definedName>
    <definedName name="IQ_TR_IMPLIED_EV_REV_FINAL" hidden="1">"c16250"</definedName>
    <definedName name="IQ_TR_IMPLIED_EV_REV_FWD" hidden="1">"c17876"</definedName>
    <definedName name="IQ_TR_INIT_FILED_DATE" hidden="1">"c3495"</definedName>
    <definedName name="IQ_TR_IPO_TRANSACTION_ID" hidden="1">"c17554"</definedName>
    <definedName name="IQ_TR_LEAD_UNDERWRITERS" hidden="1">"c17576"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ASSUM_LIABILITIES_FINAL" hidden="1">"c16264"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FFER_PER_SHARE_FINAL" hidden="1">"c16257"</definedName>
    <definedName name="IQ_TR_OFFER_PRICE_BV_FWD" hidden="1">"c17880"</definedName>
    <definedName name="IQ_TR_OFFER_PRICE_EARNINGS_FWD" hidden="1">"c17879"</definedName>
    <definedName name="IQ_TR_OPTIONS_CONSID_PCT" hidden="1">"c2311"</definedName>
    <definedName name="IQ_TR_OPTIONS_CONSID_PCT_FINAL" hidden="1">"c16278"</definedName>
    <definedName name="IQ_TR_OTHER_CONSID" hidden="1">"c3022"</definedName>
    <definedName name="IQ_TR_OTHER_CONSID_FINAL" hidden="1">"c16261"</definedName>
    <definedName name="IQ_TR_PCT_SOUGHT" hidden="1">"c2309"</definedName>
    <definedName name="IQ_TR_PCT_SOUGHT_ACQUIRED_FINAL" hidden="1">"c16256"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_1D_PRICE" hidden="1">"c19180"</definedName>
    <definedName name="IQ_TR_PO_1D_RETURN" hidden="1">"c19179"</definedName>
    <definedName name="IQ_TR_PO_1M_PRICE" hidden="1">"c19184"</definedName>
    <definedName name="IQ_TR_PO_1M_RETURN" hidden="1">"c19183"</definedName>
    <definedName name="IQ_TR_PO_1W_PRICE" hidden="1">"c19182"</definedName>
    <definedName name="IQ_TR_PO_1W_RETURN" hidden="1">"c19181"</definedName>
    <definedName name="IQ_TR_PO_1Y_PRICE" hidden="1">"c19190"</definedName>
    <definedName name="IQ_TR_PO_1Y_RETURN" hidden="1">"c19189"</definedName>
    <definedName name="IQ_TR_PO_3M_PRICE" hidden="1">"c19186"</definedName>
    <definedName name="IQ_TR_PO_3M_RETURN" hidden="1">"c19185"</definedName>
    <definedName name="IQ_TR_PO_6M_PRICE" hidden="1">"c19188"</definedName>
    <definedName name="IQ_TR_PO_6M_RETURN" hidden="1">"c19187"</definedName>
    <definedName name="IQ_TR_PO_DISCOUNT_SHARE" hidden="1">"c17562"</definedName>
    <definedName name="IQ_TR_PO_ISSUE_CURRENCY" hidden="1">"c17557"</definedName>
    <definedName name="IQ_TR_PO_NET_PROCEEDS_SHARE" hidden="1">"c17563"</definedName>
    <definedName name="IQ_TR_PO_PRICE_RANGE" hidden="1">"c17559"</definedName>
    <definedName name="IQ_TR_PO_PRICE_RANGE_HIGH" hidden="1">"c17560"</definedName>
    <definedName name="IQ_TR_PO_PRICE_RANGE_LOW" hidden="1">"c17561"</definedName>
    <definedName name="IQ_TR_PO_PRICE_SHARE" hidden="1">"c17558"</definedName>
    <definedName name="IQ_TR_PO_SHARES_OFFERED" hidden="1">"c17564"</definedName>
    <definedName name="IQ_TR_PO_SHARES_OFFERED_EX_OVER" hidden="1">"c17567"</definedName>
    <definedName name="IQ_TR_PO_TICKER" hidden="1">"c17556"</definedName>
    <definedName name="IQ_TR_PO_TRADING_ITEM_CIQID" hidden="1">"c17555"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F_CONSID_PCT_FINAL" hidden="1">"c16272"</definedName>
    <definedName name="IQ_TR_PREMONEY_VAL" hidden="1">"c2287"</definedName>
    <definedName name="IQ_TR_PRINTING_FEES" hidden="1">"c2276"</definedName>
    <definedName name="IQ_TR_PROCEEDS_EX_OVER_ISSUE" hidden="1">"c17574"</definedName>
    <definedName name="IQ_TR_PT_MONETARY_VALUES" hidden="1">"c2415"</definedName>
    <definedName name="IQ_TR_PT_NUMBER_SHARES" hidden="1">"c2417"</definedName>
    <definedName name="IQ_TR_PT_OFFER_PER_SHARE" hidden="1">"c18872"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G_OVER_SHARES_ISSUE" hidden="1">"c17565"</definedName>
    <definedName name="IQ_TR_REG_OVER_VALUE_ISSUE" hidden="1">"c17572"</definedName>
    <definedName name="IQ_TR_REGISTRATION_FEES" hidden="1">"c2274"</definedName>
    <definedName name="IQ_TR_REMAIN_MONETARY_VALUE" hidden="1">"c18099"</definedName>
    <definedName name="IQ_TR_REMAIN_NUMBER_SHARES" hidden="1">"c18101"</definedName>
    <definedName name="IQ_TR_REMAIN_PCT_SHARES" hidden="1">"c18100"</definedName>
    <definedName name="IQ_TR_RENEWAL_BUYBACK" hidden="1">"c2413"</definedName>
    <definedName name="IQ_TR_ROUND_NUMBER" hidden="1">"c2295"</definedName>
    <definedName name="IQ_TR_SEC_FEES" hidden="1">"c13642"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_TERM_FEE" hidden="1">"c2298"</definedName>
    <definedName name="IQ_TR_SELL_TERM_FEE_PCT" hidden="1">"c2297"</definedName>
    <definedName name="IQ_TR_SELLER_DILUT_EPS_EXCL" hidden="1">"c17703"</definedName>
    <definedName name="IQ_TR_SELLER_EARNING_CO" hidden="1">"c17702"</definedName>
    <definedName name="IQ_TR_SELLER_EBIT" hidden="1">"c17700"</definedName>
    <definedName name="IQ_TR_SELLER_EBITDA" hidden="1">"c17699"</definedName>
    <definedName name="IQ_TR_SELLER_ID" hidden="1">"c2406"</definedName>
    <definedName name="IQ_TR_SELLER_MIN_INT" hidden="1">"c17707"</definedName>
    <definedName name="IQ_TR_SELLER_NET_DEBT" hidden="1">"c17709"</definedName>
    <definedName name="IQ_TR_SELLER_NI" hidden="1">"c17701"</definedName>
    <definedName name="IQ_TR_SELLER_TOTAL_ASSETS" hidden="1">"c17710"</definedName>
    <definedName name="IQ_TR_SELLER_TOTAL_CASH_ST_INVEST" hidden="1">"c17708"</definedName>
    <definedName name="IQ_TR_SELLER_TOTAL_COMMON_EQ" hidden="1">"c17704"</definedName>
    <definedName name="IQ_TR_SELLER_TOTAL_DEBT" hidden="1">"c17705"</definedName>
    <definedName name="IQ_TR_SELLER_TOTAL_PREF" hidden="1">"c17706"</definedName>
    <definedName name="IQ_TR_SELLER_TOTAL_REV" hidden="1">"c17698"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ISSUE" hidden="1">"c17570"</definedName>
    <definedName name="IQ_TR_SH_NET_PROCEEDS_PCT" hidden="1">"c2271"</definedName>
    <definedName name="IQ_TR_SHELF_EXP_EXPIRATION_DATE" hidden="1">"c18102"</definedName>
    <definedName name="IQ_TR_SHELF_EXPIRED_DATE" hidden="1">"c18103"</definedName>
    <definedName name="IQ_TR_SPECIAL_COMMITTEE" hidden="1">"c2362"</definedName>
    <definedName name="IQ_TR_SPIN_DEF_AGRMT_DATE" hidden="1">"c17696"</definedName>
    <definedName name="IQ_TR_SPIN_DIST_RATIO_FINAL" hidden="1">"c17734"</definedName>
    <definedName name="IQ_TR_SPIN_DIST_RATIO_OFFER" hidden="1">"c17728"</definedName>
    <definedName name="IQ_TR_SPIN_DIST_SHARES_FINAL" hidden="1">"c17852"</definedName>
    <definedName name="IQ_TR_SPIN_DIST_SHARES_OFFER" hidden="1">"c17729"</definedName>
    <definedName name="IQ_TR_SPIN_DIST_VALUE" hidden="1">"c17711"</definedName>
    <definedName name="IQ_TR_SPIN_DIST_VALUE_FINAL" hidden="1">"c17722"</definedName>
    <definedName name="IQ_TR_SPIN_DIST_VALUE_OFFER" hidden="1">"c17712"</definedName>
    <definedName name="IQ_TR_SPIN_IMPLIED_EQ_BV_OFFER" hidden="1">"c17721"</definedName>
    <definedName name="IQ_TR_SPIN_IMPLIED_EQ_NI_LTM_OFFER" hidden="1">"c17720"</definedName>
    <definedName name="IQ_TR_SPIN_IMPLIED_EQ_OFFER" hidden="1">"c17714"</definedName>
    <definedName name="IQ_TR_SPIN_IMPLIED_EV_EBIT_OFFER" hidden="1">"c17719"</definedName>
    <definedName name="IQ_TR_SPIN_IMPLIED_EV_EBITDA_OFFER" hidden="1">"c17718"</definedName>
    <definedName name="IQ_TR_SPIN_IMPLIED_EV_OFFER" hidden="1">"c17716"</definedName>
    <definedName name="IQ_TR_SPIN_IMPLIED_EV_REV_OFFER" hidden="1">"c17717"</definedName>
    <definedName name="IQ_TR_SPIN_NET_ASSUM_LIAB_OFFER" hidden="1">"c17715"</definedName>
    <definedName name="IQ_TR_SPIN_PARENT_SHARES_OUT_FINAL" hidden="1">"c17733"</definedName>
    <definedName name="IQ_TR_SPIN_PARENT_SHARES_OUT_OFFER" hidden="1">"c17727"</definedName>
    <definedName name="IQ_TR_SPIN_PCT_DIST_FINAL" hidden="1">"c17723"</definedName>
    <definedName name="IQ_TR_SPIN_PCT_DIST_OFFER" hidden="1">"c17713"</definedName>
    <definedName name="IQ_TR_SPIN_RECORD_DATE" hidden="1">"c17697"</definedName>
    <definedName name="IQ_TR_SPIN_SECURITY_CIQID" hidden="1">"c17724"</definedName>
    <definedName name="IQ_TR_SPIN_SECURITY_PCT_DIST_FINAL" hidden="1">"c17732"</definedName>
    <definedName name="IQ_TR_SPIN_SECURITY_PCT_DIST_OFFER" hidden="1">"c17726"</definedName>
    <definedName name="IQ_TR_SPIN_SECURITY_PRICE_FINAL" hidden="1">"c17731"</definedName>
    <definedName name="IQ_TR_SPIN_SECURITY_PRICE_OFFER" hidden="1">"c17725"</definedName>
    <definedName name="IQ_TR_SPIN_VALUE_CONSID_FINAL" hidden="1">"c17853"</definedName>
    <definedName name="IQ_TR_SPIN_VALUE_CONSID_OFFER" hidden="1">"c17730"</definedName>
    <definedName name="IQ_TR_STATUS" hidden="1">"c2399"</definedName>
    <definedName name="IQ_TR_STOCK_CONSID_PCT" hidden="1">"c2312"</definedName>
    <definedName name="IQ_TR_STOCK_CONSID_PCT_FINAL" hidden="1">"c16270"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BV_SHARE_EST" hidden="1">"c17885"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_EST" hidden="1">"c17883"</definedName>
    <definedName name="IQ_TR_TARGET_EBITDA" hidden="1">"c2334"</definedName>
    <definedName name="IQ_TR_TARGET_EBITDA_EQ_INC" hidden="1">"c3608"</definedName>
    <definedName name="IQ_TR_TARGET_EBITDA_EST" hidden="1">"c17882"</definedName>
    <definedName name="IQ_TR_TARGET_EPS_EST" hidden="1">"c17884"</definedName>
    <definedName name="IQ_TR_TARGET_EST_CURRENCY" hidden="1">"c17886"</definedName>
    <definedName name="IQ_TR_TARGET_EST_DATE" hidden="1">"c17887"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REVENUE_EST" hidden="1">"c17881"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"c13640"</definedName>
    <definedName name="IQ_TR_TERM_FEE_PCT" hidden="1">"c13641"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ASH_FINAL" hidden="1">"c16267"</definedName>
    <definedName name="IQ_TR_TOTAL_CONSID_SH" hidden="1">"c2316"</definedName>
    <definedName name="IQ_TR_TOTAL_CONSID_SH_FINAL" hidden="1">"c16260"</definedName>
    <definedName name="IQ_TR_TOTAL_DEBT" hidden="1">"c2317"</definedName>
    <definedName name="IQ_TR_TOTAL_DEBT_FINAL" hidden="1">"c16273"</definedName>
    <definedName name="IQ_TR_TOTAL_EX_OVER_VALUE_ISSUE" hidden="1">"c17573"</definedName>
    <definedName name="IQ_TR_TOTAL_GROSS_TV" hidden="1">"c2318"</definedName>
    <definedName name="IQ_TR_TOTAL_GROSS_TV_FINAL" hidden="1">"c16259"</definedName>
    <definedName name="IQ_TR_TOTAL_HYBRID" hidden="1">"c2319"</definedName>
    <definedName name="IQ_TR_TOTAL_HYBRID_FINAL" hidden="1">"c16275"</definedName>
    <definedName name="IQ_TR_TOTAL_LEGAL_FEES" hidden="1">"c2272"</definedName>
    <definedName name="IQ_TR_TOTAL_NET_TV" hidden="1">"c2320"</definedName>
    <definedName name="IQ_TR_TOTAL_NET_TV_FINAL" hidden="1">"c16258"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OPTIONS_BUYER_FINAL" hidden="1">"c16277"</definedName>
    <definedName name="IQ_TR_TOTAL_OPTIONS_FINAL" hidden="1">"c16263"</definedName>
    <definedName name="IQ_TR_TOTAL_PREFERRED" hidden="1">"c2321"</definedName>
    <definedName name="IQ_TR_TOTAL_PREFERRED_FINAL" hidden="1">"c16271"</definedName>
    <definedName name="IQ_TR_TOTAL_REG_AMT" hidden="1">"c2261"</definedName>
    <definedName name="IQ_TR_TOTAL_STOCK" hidden="1">"c2323"</definedName>
    <definedName name="IQ_TR_TOTAL_STOCK_FINAL" hidden="1">"c16269"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UNDERWRITER_COMP_ISSUE" hidden="1">"c17569"</definedName>
    <definedName name="IQ_TR_UNDERWRITERS_OTHER" hidden="1">"c17577"</definedName>
    <definedName name="IQ_TR_WITHDRAWN_DTE" hidden="1">"c2266"</definedName>
    <definedName name="IQ_TRADE_AR" localSheetId="12" hidden="1">"c1345"</definedName>
    <definedName name="IQ_TRADE_AR" localSheetId="7" hidden="1">"c1345"</definedName>
    <definedName name="IQ_TRADE_AR" hidden="1">"c76"</definedName>
    <definedName name="IQ_TRADE_BALANCE_USD" hidden="1">"c21103"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AIR_VALUE_TOT_FFIEC" hidden="1">"c13210"</definedName>
    <definedName name="IQ_TRADING_ASSETS_FDIC" hidden="1">"c6328"</definedName>
    <definedName name="IQ_TRADING_ASSETS_FFIEC" hidden="1">"c12812"</definedName>
    <definedName name="IQ_TRADING_ASSETS_FOREIGN_FFIEC" hidden="1">"c12940"</definedName>
    <definedName name="IQ_TRADING_ASSETS_LEVEL_1_FFIEC" hidden="1">"c13218"</definedName>
    <definedName name="IQ_TRADING_ASSETS_LEVEL_2_FFIEC" hidden="1">"c13226"</definedName>
    <definedName name="IQ_TRADING_ASSETS_LEVEL_3_FFIEC" hidden="1">"c13234"</definedName>
    <definedName name="IQ_TRADING_ASSETS_QUARTERLY_AVG_FFIEC" hidden="1">"c13085"</definedName>
    <definedName name="IQ_TRADING_CURRENCY" hidden="1">"c2212"</definedName>
    <definedName name="IQ_TRADING_ITEM_CIQID" hidden="1">"c8949"</definedName>
    <definedName name="IQ_TRADING_LIABILITIES_FAIR_VALUE_TOT_FFIEC" hidden="1">"c13214"</definedName>
    <definedName name="IQ_TRADING_LIABILITIES_FDIC" hidden="1">"c6344"</definedName>
    <definedName name="IQ_TRADING_LIABILITIES_FFIEC" hidden="1">"c12858"</definedName>
    <definedName name="IQ_TRADING_LIABILITIES_LEVEL_1_FFIEC" hidden="1">"c13222"</definedName>
    <definedName name="IQ_TRADING_LIABILITIES_LEVEL_2_FFIEC" hidden="1">"c13230"</definedName>
    <definedName name="IQ_TRADING_LIABILITIES_LEVEL_3_FFIEC" hidden="1">"c13238"</definedName>
    <definedName name="IQ_TRADING_REV_FOREIGN_FFIEC" hidden="1">"c15377"</definedName>
    <definedName name="IQ_TRADING_REV_OPERATING_INC_FFIEC" hidden="1">"c13385"</definedName>
    <definedName name="IQ_TRADING_REVENUE_FFIEC" hidden="1">"c13004"</definedName>
    <definedName name="IQ_TRADING_SEC_AMOUNTS_NETTED_THRIFT" hidden="1">"c25486"</definedName>
    <definedName name="IQ_TRADING_SEC_LEVEL_1_THRIFT" hidden="1">"c25482"</definedName>
    <definedName name="IQ_TRADING_SEC_LEVEL_2_THRIFT" hidden="1">"c25483"</definedName>
    <definedName name="IQ_TRADING_SEC_LEVEL_3_THRIFT" hidden="1">"c25484"</definedName>
    <definedName name="IQ_TRADING_SEC_TOTAL_AFTER_NETTING_THRIFT" hidden="1">"c25487"</definedName>
    <definedName name="IQ_TRADING_SEC_TOTAL_BEFORE_NETTING_THRIFT" hidden="1">"c25485"</definedName>
    <definedName name="IQ_TRANS_ACCTS_TOT_DEPOSITS_FFIEC" hidden="1">"c13904"</definedName>
    <definedName name="IQ_TRANS_IMPACT_FIN_48_CURRENT_ASSETS" hidden="1">"c15727"</definedName>
    <definedName name="IQ_TRANS_IMPACT_FIN_48_CURRENT_LIABILITIES" hidden="1">"c15729"</definedName>
    <definedName name="IQ_TRANS_IMPACT_FIN_48_LT_ASSETS" hidden="1">"c15728"</definedName>
    <definedName name="IQ_TRANS_IMPACT_FIN_48_NON_CURRENT_LIABILITIES" hidden="1">"c15730"</definedName>
    <definedName name="IQ_TRANS_IMPACT_FIN_48_RETAINED_EARNINGS" hidden="1">"c15731"</definedName>
    <definedName name="IQ_TRANSACTION_ACCOUNTS_FDIC" hidden="1">"c6544"</definedName>
    <definedName name="IQ_TRANSACTION_ACCOUNTS_INC_DEMAND_DEPOSITS_THRIFT" hidden="1">"c24998"</definedName>
    <definedName name="IQ_TRANSACTION_ACCOUNTS_TOTAL_DEPOSITS_THRIFT" hidden="1">"c25777"</definedName>
    <definedName name="IQ_TRANSACTION_LIST" hidden="1">"c15126"</definedName>
    <definedName name="IQ_TRANSACTION_LIST_BANKRUPTCY" hidden="1">"c15131"</definedName>
    <definedName name="IQ_TRANSACTION_LIST_BUYBACK" hidden="1">"c15129"</definedName>
    <definedName name="IQ_TRANSACTION_LIST_INCL_SUBS" hidden="1">"c15132"</definedName>
    <definedName name="IQ_TRANSACTION_LIST_INCL_SUBS_BANKRUPTCY" hidden="1">"c15137"</definedName>
    <definedName name="IQ_TRANSACTION_LIST_INCL_SUBS_BUYBACK" hidden="1">"c15135"</definedName>
    <definedName name="IQ_TRANSACTION_LIST_INCL_SUBS_MA" hidden="1">"c15133"</definedName>
    <definedName name="IQ_TRANSACTION_LIST_INCL_SUBS_PO" hidden="1">"c15136"</definedName>
    <definedName name="IQ_TRANSACTION_LIST_INCL_SUBS_PP" hidden="1">"c15134"</definedName>
    <definedName name="IQ_TRANSACTION_LIST_MA" hidden="1">"c15127"</definedName>
    <definedName name="IQ_TRANSACTION_LIST_PO" hidden="1">"c15130"</definedName>
    <definedName name="IQ_TRANSACTION_LIST_PP" hidden="1">"c15128"</definedName>
    <definedName name="IQ_TRANSFER_AGENT_REGISTRAR_PAYING_AGENT_OTHER_CORPORATE_AGENCY_NUMBER_ISSUES_THRIFT" hidden="1">"c25444"</definedName>
    <definedName name="IQ_TRANSFERS_GVA_THRIFT" hidden="1">"c25093"</definedName>
    <definedName name="IQ_TRANSFERS_SVA_THRIFT" hidden="1">"c25101"</definedName>
    <definedName name="IQ_TREASURER_ID" hidden="1">"c15214"</definedName>
    <definedName name="IQ_TREASURER_NAME" hidden="1">"c15213"</definedName>
    <definedName name="IQ_TREASURY" hidden="1">"c1311"</definedName>
    <definedName name="IQ_TREASURY_INVEST_SECURITIES_FFIEC" hidden="1">"c13457"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CM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localSheetId="12" hidden="1">"c1438"</definedName>
    <definedName name="IQ_TREASURY_STOCK" localSheetId="7" hidden="1">"c1438"</definedName>
    <definedName name="IQ_TREASURY_STOCK" hidden="1">"c111"</definedName>
    <definedName name="IQ_TREASURY_STOCK_TRANSACTIONS_FDIC" hidden="1">"c6501"</definedName>
    <definedName name="IQ_TREASURY_STOCK_TRANSACTIONS_FFIEC" hidden="1">"c15352"</definedName>
    <definedName name="IQ_TROUBLED_DEBT_RESTRUCTURED_DUE_30_89_THRIFT" hidden="1">"c25256"</definedName>
    <definedName name="IQ_TROUBLED_DEBT_RESTRUCTURED_DUE_90_THRIFT" hidden="1">"c25277"</definedName>
    <definedName name="IQ_TROUBLED_DEBT_RESTRUCTURED_NON_ACCRUAL_THRIFT" hidden="1">"c25298"</definedName>
    <definedName name="IQ_TROUBLED_DEBT_RESTRUCTURED_THRIFT" hidden="1">"c25230"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AMORTIZED_YIELD_ADJUSTMENTS_THRIFT" hidden="1">"c24898"</definedName>
    <definedName name="IQ_UNASSIGNED_RESERVES_COAL" hidden="1">"c15914"</definedName>
    <definedName name="IQ_UNASSIGNED_RESERVES_TO_TOTAL_RESERVES_COAL" hidden="1">"c15956"</definedName>
    <definedName name="IQ_UNCLASSIFIED_PROPERTY_OPERATING_EXPENSE" hidden="1">"c16034"</definedName>
    <definedName name="IQ_UNCLASSIFIED_RENTAL_INCOME" hidden="1">"c16021"</definedName>
    <definedName name="IQ_UNCONSOL_BEDS" hidden="1">"c8783"</definedName>
    <definedName name="IQ_UNCONSOL_NOI" hidden="1">"c16067"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GROUND_RESERVES_COAL" hidden="1">"c15922"</definedName>
    <definedName name="IQ_UNDERGROUND_RESERVES_TO_TOTAL_RESERVES_COAL" hidden="1">"c15960"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SECURITIZED" hidden="1">"c17900"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CM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ARNED_INCOME_LL_REC_DOM_FFIEC" hidden="1">"c12916"</definedName>
    <definedName name="IQ_UNEARNED_INCOME_LL_REC_FFIEC" hidden="1">"c12897"</definedName>
    <definedName name="IQ_UNEARNED_PREMIUMS_PC_FFIEC" hidden="1">"c13101"</definedName>
    <definedName name="IQ_UNEMPLOY_RATE" hidden="1">"c21104"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NSURED_DEPOSITS_THRIFT" hidden="1">"c24995"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localSheetId="12" hidden="1">"c1619"</definedName>
    <definedName name="IQ_UNREALIZED_GAIN" localSheetId="7" hidden="1">"c1619"</definedName>
    <definedName name="IQ_UNREALIZED_GAIN" hidden="1">"c117"</definedName>
    <definedName name="IQ_UNREALIZED_GAINS_AFS_EQUITY_SEC_T2_THRIFT" hidden="1">"c25040"</definedName>
    <definedName name="IQ_UNRECOG_TAX_BENEFIT_BEG_PERIOD" hidden="1">"c15732"</definedName>
    <definedName name="IQ_UNRECOG_TAX_BENEFIT_END_PERIOD" hidden="1">"c15740"</definedName>
    <definedName name="IQ_UNRECOG_TAX_BENEFIT_OTHER_ADJ" hidden="1">"c15739"</definedName>
    <definedName name="IQ_UNSECURED_COMMERCIAL_LOANS_THRIFT" hidden="1">"c24855"</definedName>
    <definedName name="IQ_UNSECURED_COMMITMENTS_COMMERCIAL_RE_UNUSED_FFIEC" hidden="1">"c13246"</definedName>
    <definedName name="IQ_UNSECURED_DEBT" hidden="1">"c2548"</definedName>
    <definedName name="IQ_UNSECURED_DEBT_PCT" hidden="1">"c2549"</definedName>
    <definedName name="IQ_UNSECURED_FEDERAL_FUNDS_PURCHASED_THRIFT" hidden="1">"c25572"</definedName>
    <definedName name="IQ_UNSECURED_OTHER_BORROWINGS_WITH_REMAINING_MATURITY_ONE_YEAR_LESS_THRIFT" hidden="1">"c25575"</definedName>
    <definedName name="IQ_UNSECURED_OTHER_BORROWINGS_WITH_REMAINING_MATURITY_OVER_ONE_YEAR_THRIFT" hidden="1">"c25576"</definedName>
    <definedName name="IQ_UNUSED_LINES_CREDIT_COMM_LINES_THRIFT" hidden="1">"c25607"</definedName>
    <definedName name="IQ_UNUSED_LINES_CREDIT_REVOLVING_OPEN_END_LOANS_1_4_DWELLING_UNITS_THRIFT" hidden="1">"c25606"</definedName>
    <definedName name="IQ_UNUSED_LINES_CREDIT_THRIFT" hidden="1">"c25605"</definedName>
    <definedName name="IQ_UNUSED_LOAN_COMMITMENTS_FDIC" hidden="1">"c6368"</definedName>
    <definedName name="IQ_UNUSUAL_EXP" localSheetId="12" hidden="1">"c1456"</definedName>
    <definedName name="IQ_UNUSUAL_EXP" localSheetId="7" hidden="1">"c1456"</definedName>
    <definedName name="IQ_UNUSUAL_EXP" hidden="1">"c18"</definedName>
    <definedName name="IQ_UPGRADE_REBUILD_CABLE_INVEST" hidden="1">"c15804"</definedName>
    <definedName name="IQ_US_ADDRESS_LEASE_FIN_REC_FFIEC" hidden="1">"c13624"</definedName>
    <definedName name="IQ_US_AGENCY_OBLIG_FFIEC" hidden="1">"c12779"</definedName>
    <definedName name="IQ_US_AGENCY_OBLIG_HTM_AMORT_COST_FFIEC" hidden="1">"c20438"</definedName>
    <definedName name="IQ_US_AGENCY_OBLIG_HTM_FAIR_VAL_FFIEC" hidden="1">"c20473"</definedName>
    <definedName name="IQ_US_AGENCY_OBLIG_TRADING_DOM_FFIEC" hidden="1">"c12919"</definedName>
    <definedName name="IQ_US_AGENCY_OBLIG_TRADING_FFIEC" hidden="1">"c12814"</definedName>
    <definedName name="IQ_US_AGENCY_OBLIGATIONS_AFS_AMORT_COST_FFIEC" hidden="1">"c20490"</definedName>
    <definedName name="IQ_US_AGENCY_OBLIGATIONS_AFS_FAIR_VAL_FFIEC" hidden="1">"c20455"</definedName>
    <definedName name="IQ_US_AGENCY_OBLIGATIONS_AVAIL_SALE_FFIEC" hidden="1">"c12793"</definedName>
    <definedName name="IQ_US_AGENCY_SPONSORED_ENTERPRISE_SEC_THRIFT" hidden="1">"c24822"</definedName>
    <definedName name="IQ_US_BANKS_OTHER_INST_FOREIGN_DEP_FFIEC" hidden="1">"c15343"</definedName>
    <definedName name="IQ_US_BRANCHES_FOREIGN_BANK_LOANS_FDIC" hidden="1">"c6435"</definedName>
    <definedName name="IQ_US_BRANCHES_FOREIGN_BANKS_FDIC" hidden="1">"c6390"</definedName>
    <definedName name="IQ_US_GAAP" localSheetId="12" hidden="1">"c1331"</definedName>
    <definedName name="IQ_US_GAAP" localSheetId="7" hidden="1">"c1331"</definedName>
    <definedName name="IQ_US_GAAP" hidden="1">"c34"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GOVT_AGENCY_SPONSORED_ENTERPRISE_SEC_INV_SEC_THRIFT" hidden="1">"c25671"</definedName>
    <definedName name="IQ_US_GOVT_NON_TRANS_ACCTS_FFIEC" hidden="1">"c15323"</definedName>
    <definedName name="IQ_US_GOVT_STATE_POLI_SUBD_IN_US_FOREIGN_DEP_FFIEC" hidden="1">"c15346"</definedName>
    <definedName name="IQ_US_GOVT_TRANS_ACCTS_FFIEC" hidden="1">"c15315"</definedName>
    <definedName name="IQ_US_INST_DUE_30_89_FFIEC" hidden="1">"c13268"</definedName>
    <definedName name="IQ_US_INST_DUE_90_FFIEC" hidden="1">"c13294"</definedName>
    <definedName name="IQ_US_INST_NON_ACCRUAL_FFIEC" hidden="1">"c13320"</definedName>
    <definedName name="IQ_US_SPONSORED_AGENCY_OBLIG_AFS_AMORT_COST_FFIEC" hidden="1">"c20491"</definedName>
    <definedName name="IQ_US_SPONSORED_AGENCY_OBLIG_AFS_FAIR_VAL_FFIEC" hidden="1">"c20456"</definedName>
    <definedName name="IQ_US_SPONSORED_AGENCY_OBLIG_AVAIL_SALE_FFIEC" hidden="1">"c12794"</definedName>
    <definedName name="IQ_US_SPONSORED_AGENCY_OBLIG_FFIEC" hidden="1">"c12780"</definedName>
    <definedName name="IQ_US_SPONSORED_AGENCY_OBLIG_HTM_AMORT_COST_FFIEC" hidden="1">"c20439"</definedName>
    <definedName name="IQ_US_SPONSORED_AGENCY_OBLIG_HTM_FAIR_VAL_FFIEC" hidden="1">"c20474"</definedName>
    <definedName name="IQ_US_TREASURY_SEC_AFS_AMORT_COST_FFIEC" hidden="1">"c20489"</definedName>
    <definedName name="IQ_US_TREASURY_SEC_AFS_FAIR_VAL_FFIEC" hidden="1">"c20454"</definedName>
    <definedName name="IQ_US_TREASURY_SEC_AVAIL_SALE_FFIEC" hidden="1">"c12792"</definedName>
    <definedName name="IQ_US_TREASURY_SEC_TRADING_DOM_FFIEC" hidden="1">"c12918"</definedName>
    <definedName name="IQ_US_TREASURY_SEC_TRADING_FFIEC" hidden="1">"c12813"</definedName>
    <definedName name="IQ_US_TREASURY_SECURITIES_FDIC" hidden="1">"c6298"</definedName>
    <definedName name="IQ_US_TREASURY_SECURITIES_FFIEC" hidden="1">"c12778"</definedName>
    <definedName name="IQ_US_TREASURY_SECURITIES_HTM_AMORT_COST_FFIEC" hidden="1">"c20437"</definedName>
    <definedName name="IQ_US_TREASURY_SECURITIES_HTM_FAIR_VAL_FFIEC" hidden="1">"c20472"</definedName>
    <definedName name="IQ_US_TREASURY_US_GOVT_AGENCY_OBLIGATIONS_ALL_OTHER_ACCOUNTS_THRIFT" hidden="1">"c25425"</definedName>
    <definedName name="IQ_US_TREASURY_US_GOVT_AGENCY_OBLIGATIONS_EMPLOYEE_BENEFIT_RETIREMENT_RELATED_ACCOUNTS_THRIFT" hidden="1">"c25409"</definedName>
    <definedName name="IQ_US_TREASURY_US_GOVT_AGENCY_OBLIGATIONS_PERSONAL_TRUST_AGENCY_INV_MANAGEMENT_ACCOUNTS_THRIFT" hidden="1">"c25393"</definedName>
    <definedName name="IQ_UST_SEC_GOVT_AGENCY_CORP_QUARTERLY_AVG_FFIEC" hidden="1">"c15469"</definedName>
    <definedName name="IQ_UST_SECURITIES_GOVT_AGENCY_QUARTERLY_AVG_FFIEC" hidden="1">"c15468"</definedName>
    <definedName name="IQ_UTIL_PPE_NET" localSheetId="12" hidden="1">"c1620"</definedName>
    <definedName name="IQ_UTIL_PPE_NET" localSheetId="7" hidden="1">"c1620"</definedName>
    <definedName name="IQ_UTIL_PPE_NET" hidden="1">"c293"</definedName>
    <definedName name="IQ_UTIL_REV" hidden="1">"c2091"</definedName>
    <definedName name="IQ_UTILITY_EXPENSE" hidden="1">"c16031"</definedName>
    <definedName name="IQ_UV_PENSION_LIAB" hidden="1">"c1332"</definedName>
    <definedName name="IQ_VALUATION_ALLOWANCES_FDIC" hidden="1">"c6400"</definedName>
    <definedName name="IQ_VALUE_CUSTOMER_ASSETS" hidden="1">"c20433"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ARIABLE_RATE_DEBT" hidden="1">"c17895"</definedName>
    <definedName name="IQ_VARIABLE_RATE_DEBT_PCT" hidden="1">"c18009"</definedName>
    <definedName name="IQ_VARIABLE_RATE_PREFERREDS_INT_SENSITIVITY_FFIEC" hidden="1">"c13096"</definedName>
    <definedName name="IQ_VC_REV_OPERATING_INC_FFIEC" hidden="1">"c13388"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EHICLE_LOANS" hidden="1">"c15249"</definedName>
    <definedName name="IQ_VENTURE_CAPITAL_REVENUE_FFIEC" hidden="1">"c13010"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ICE_SUB_BASIC_SUB" hidden="1">"c16203"</definedName>
    <definedName name="IQ_VOICE_SUB_TOTAL_HOMES_PASSED" hidden="1">"c15770"</definedName>
    <definedName name="IQ_VOICE_SUB_VIDEO_SUB" hidden="1">"c15789"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localSheetId="12" hidden="1">"c1333"</definedName>
    <definedName name="IQ_VOLUME" localSheetId="7" hidden="1">"c1333"</definedName>
    <definedName name="IQ_VOLUME" hidden="1">"c199"</definedName>
    <definedName name="IQ_VOLUME_RT" hidden="1">"VOLUME"</definedName>
    <definedName name="IQ_VWAP" hidden="1">"c13514"</definedName>
    <definedName name="IQ_VWAP_RT" hidden="1">"c10110"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localSheetId="12" hidden="1">"c1334"</definedName>
    <definedName name="IQ_WEIGHTED_AVG_PRICE" localSheetId="7" hidden="1">"c1334"</definedName>
    <definedName name="IQ_WEIGHTED_AVG_PRICE" hidden="1">"c255"</definedName>
    <definedName name="IQ_WHOLESALE_INV_ALCOHOL" hidden="1">"c21105"</definedName>
    <definedName name="IQ_WHOLESALE_INV_APPAREL" hidden="1">"c21106"</definedName>
    <definedName name="IQ_WHOLESALE_INV_CHEMICALS" hidden="1">"c21107"</definedName>
    <definedName name="IQ_WHOLESALE_INV_COMPUTER" hidden="1">"c21108"</definedName>
    <definedName name="IQ_WHOLESALE_INV_DRUGS" hidden="1">"c21109"</definedName>
    <definedName name="IQ_WHOLESALE_INV_DUR" hidden="1">"c21110"</definedName>
    <definedName name="IQ_WHOLESALE_INV_DUR_MISC" hidden="1">"c21111"</definedName>
    <definedName name="IQ_WHOLESALE_INV_ELECTRIC" hidden="1">"c21112"</definedName>
    <definedName name="IQ_WHOLESALE_INV_EQUIP" hidden="1">"c21113"</definedName>
    <definedName name="IQ_WHOLESALE_INV_FARM_PRODUCT" hidden="1">"c21114"</definedName>
    <definedName name="IQ_WHOLESALE_INV_FURNITURE" hidden="1">"c21115"</definedName>
    <definedName name="IQ_WHOLESALE_INV_GROCERIES" hidden="1">"c21116"</definedName>
    <definedName name="IQ_WHOLESALE_INV_HARDWARE" hidden="1">"c21117"</definedName>
    <definedName name="IQ_WHOLESALE_INV_LUMBER" hidden="1">"c21118"</definedName>
    <definedName name="IQ_WHOLESALE_INV_MACHINERY" hidden="1">"c21119"</definedName>
    <definedName name="IQ_WHOLESALE_INV_METALS_MINERALS" hidden="1">"c21120"</definedName>
    <definedName name="IQ_WHOLESALE_INV_MOTOR_VEHICLE" hidden="1">"c21121"</definedName>
    <definedName name="IQ_WHOLESALE_INV_NONDUR" hidden="1">"c21122"</definedName>
    <definedName name="IQ_WHOLESALE_INV_NONDUR_MISC" hidden="1">"c21123"</definedName>
    <definedName name="IQ_WHOLESALE_INV_PAPER" hidden="1">"c21124"</definedName>
    <definedName name="IQ_WHOLESALE_INV_PETROLEUM" hidden="1">"c21125"</definedName>
    <definedName name="IQ_WHOLESALE_INV_SALES_RATIO_ALCOHOL" hidden="1">"c21126"</definedName>
    <definedName name="IQ_WHOLESALE_INV_SALES_RATIO_APPAREL" hidden="1">"c21127"</definedName>
    <definedName name="IQ_WHOLESALE_INV_SALES_RATIO_CHEMICALS" hidden="1">"c21128"</definedName>
    <definedName name="IQ_WHOLESALE_INV_SALES_RATIO_COMPUTER" hidden="1">"c21129"</definedName>
    <definedName name="IQ_WHOLESALE_INV_SALES_RATIO_DRUGS" hidden="1">"c21130"</definedName>
    <definedName name="IQ_WHOLESALE_INV_SALES_RATIO_DUR" hidden="1">"c21131"</definedName>
    <definedName name="IQ_WHOLESALE_INV_SALES_RATIO_DUR_MISC" hidden="1">"c21132"</definedName>
    <definedName name="IQ_WHOLESALE_INV_SALES_RATIO_ELECTRIC" hidden="1">"c21133"</definedName>
    <definedName name="IQ_WHOLESALE_INV_SALES_RATIO_EQUIP" hidden="1">"c21134"</definedName>
    <definedName name="IQ_WHOLESALE_INV_SALES_RATIO_FARM_PRODUCT" hidden="1">"c21135"</definedName>
    <definedName name="IQ_WHOLESALE_INV_SALES_RATIO_FURNITURE" hidden="1">"c21136"</definedName>
    <definedName name="IQ_WHOLESALE_INV_SALES_RATIO_GROCERIES" hidden="1">"c21137"</definedName>
    <definedName name="IQ_WHOLESALE_INV_SALES_RATIO_HARDWARE" hidden="1">"c21138"</definedName>
    <definedName name="IQ_WHOLESALE_INV_SALES_RATIO_LUMBER" hidden="1">"c21139"</definedName>
    <definedName name="IQ_WHOLESALE_INV_SALES_RATIO_MACHINERY" hidden="1">"c21140"</definedName>
    <definedName name="IQ_WHOLESALE_INV_SALES_RATIO_METALS_MINERALS" hidden="1">"c21141"</definedName>
    <definedName name="IQ_WHOLESALE_INV_SALES_RATIO_MOTOR_VEHICLE" hidden="1">"c21142"</definedName>
    <definedName name="IQ_WHOLESALE_INV_SALES_RATIO_NONDUR" hidden="1">"c21143"</definedName>
    <definedName name="IQ_WHOLESALE_INV_SALES_RATIO_NONDUR_MISC" hidden="1">"c21144"</definedName>
    <definedName name="IQ_WHOLESALE_INV_SALES_RATIO_PAPER" hidden="1">"c21145"</definedName>
    <definedName name="IQ_WHOLESALE_INV_SALES_RATIO_PETROLEUM" hidden="1">"c21146"</definedName>
    <definedName name="IQ_WHOLESALE_INV_SALES_RATIO_TOTAL" hidden="1">"c21147"</definedName>
    <definedName name="IQ_WHOLESALE_INV_TOTAL" hidden="1">"c21148"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LCOHOL" hidden="1">"c21149"</definedName>
    <definedName name="IQ_WHOLESALE_SALES_APPAREL" hidden="1">"c21150"</definedName>
    <definedName name="IQ_WHOLESALE_SALES_APR" hidden="1">"c7688"</definedName>
    <definedName name="IQ_WHOLESALE_SALES_APR_FC" hidden="1">"c8568"</definedName>
    <definedName name="IQ_WHOLESALE_SALES_CHEMICALS" hidden="1">"c21151"</definedName>
    <definedName name="IQ_WHOLESALE_SALES_COMPUTER" hidden="1">"c21152"</definedName>
    <definedName name="IQ_WHOLESALE_SALES_DRUGS" hidden="1">"c21153"</definedName>
    <definedName name="IQ_WHOLESALE_SALES_DUR" hidden="1">"c21154"</definedName>
    <definedName name="IQ_WHOLESALE_SALES_DUR_MISC" hidden="1">"c21155"</definedName>
    <definedName name="IQ_WHOLESALE_SALES_ELECTRIC" hidden="1">"c21156"</definedName>
    <definedName name="IQ_WHOLESALE_SALES_EQUIP" hidden="1">"c21157"</definedName>
    <definedName name="IQ_WHOLESALE_SALES_FARM_PRODUCT" hidden="1">"c21158"</definedName>
    <definedName name="IQ_WHOLESALE_SALES_FC" hidden="1">"c7908"</definedName>
    <definedName name="IQ_WHOLESALE_SALES_FURNITURE" hidden="1">"c21159"</definedName>
    <definedName name="IQ_WHOLESALE_SALES_GROCERIES" hidden="1">"c21160"</definedName>
    <definedName name="IQ_WHOLESALE_SALES_HARDWARE" hidden="1">"c21161"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LUMBER" hidden="1">"c21162"</definedName>
    <definedName name="IQ_WHOLESALE_SALES_MACHINERY" hidden="1">"c21163"</definedName>
    <definedName name="IQ_WHOLESALE_SALES_METALS_MINERALS" hidden="1">"c21164"</definedName>
    <definedName name="IQ_WHOLESALE_SALES_MOTOR_VEHICLE" hidden="1">"c21165"</definedName>
    <definedName name="IQ_WHOLESALE_SALES_NONDUR" hidden="1">"c21166"</definedName>
    <definedName name="IQ_WHOLESALE_SALES_NONDUR_MISC" hidden="1">"c21167"</definedName>
    <definedName name="IQ_WHOLESALE_SALES_PAPER" hidden="1">"c21168"</definedName>
    <definedName name="IQ_WHOLESALE_SALES_PETROLEUM" hidden="1">"c21169"</definedName>
    <definedName name="IQ_WHOLESALE_SALES_POP" hidden="1">"c7248"</definedName>
    <definedName name="IQ_WHOLESALE_SALES_POP_FC" hidden="1">"c8128"</definedName>
    <definedName name="IQ_WHOLESALE_SALES_TOTAL" hidden="1">"c21170"</definedName>
    <definedName name="IQ_WHOLESALE_SALES_YOY" hidden="1">"c7468"</definedName>
    <definedName name="IQ_WHOLESALE_SALES_YOY_FC" hidden="1">"c8348"</definedName>
    <definedName name="IQ_WIP_INV" hidden="1">"c1335"</definedName>
    <definedName name="IQ_WIRELESS_PENETRATION" hidden="1">"c15767"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WTD_AVG_IR_AFTER_FIVE" hidden="1">"c15700"</definedName>
    <definedName name="IQ_WTD_AVG_IR_CY" hidden="1">"c15695"</definedName>
    <definedName name="IQ_WTD_AVG_IR_CY1" hidden="1">"c15696"</definedName>
    <definedName name="IQ_WTD_AVG_IR_CY2" hidden="1">"c15697"</definedName>
    <definedName name="IQ_WTD_AVG_IR_CY3" hidden="1">"c15698"</definedName>
    <definedName name="IQ_WTD_AVG_IR_CY4" hidden="1">"c15699"</definedName>
    <definedName name="IQ_WTD_AVG_IR_LT_DEBT" hidden="1">"c15693"</definedName>
    <definedName name="IQ_WTD_AVG_IR_TOTAL_DEBT" hidden="1">"c15694"</definedName>
    <definedName name="IQ_XDIV_DATE" hidden="1">"c2104"</definedName>
    <definedName name="IQ_XDIV_DATE_LIST" hidden="1">"c17416"</definedName>
    <definedName name="IQ_YEAR_FOUNDED" hidden="1">"c6793"</definedName>
    <definedName name="IQ_YEARHIGH" localSheetId="12" hidden="1">"c1337"</definedName>
    <definedName name="IQ_YEARHIGH" localSheetId="7" hidden="1">"c1337"</definedName>
    <definedName name="IQ_YEARHIGH" hidden="1">"c197"</definedName>
    <definedName name="IQ_YEARHIGH_DATE" hidden="1">"c2250"</definedName>
    <definedName name="IQ_YEARLOW" localSheetId="12" hidden="1">"c1338"</definedName>
    <definedName name="IQ_YEARLOW" localSheetId="7" hidden="1">"c1338"</definedName>
    <definedName name="IQ_YEARLOW" hidden="1">"c198"</definedName>
    <definedName name="IQ_YEARLOW_DATE" hidden="1">"c2251"</definedName>
    <definedName name="IQ_YIELD_CURVE_LIST" hidden="1">"c19250"</definedName>
    <definedName name="IQ_YIELD_FED_FUNDS_SOLD_FFIEC" hidden="1">"c13487"</definedName>
    <definedName name="IQ_YIELD_TRADING_ASSETS_FFIEC" hidden="1">"c13488"</definedName>
    <definedName name="IQ_YTD" hidden="1">3000</definedName>
    <definedName name="IQ_YTDMONTH" hidden="1">130000</definedName>
    <definedName name="IQ_YTW" hidden="1">"c2163"</definedName>
    <definedName name="IQ_YTW_DATE" hidden="1">"c2164"</definedName>
    <definedName name="IQ_YTW_DATE_TYPE" hidden="1">"c2165"</definedName>
    <definedName name="IQ_Z_SCORE" localSheetId="12" hidden="1">"c1339"</definedName>
    <definedName name="IQ_Z_SCORE" localSheetId="7" hidden="1">"c1339"</definedName>
    <definedName name="IQ_Z_SCORE" hidden="1">"c243"</definedName>
    <definedName name="IQ_ZERO_COUPON_DEBT" hidden="1">"c17896"</definedName>
    <definedName name="IQ_ZERO_COUPON_DEBT_PCT" hidden="1">"c18010"</definedName>
    <definedName name="isbs" localSheetId="2">#REF!</definedName>
    <definedName name="ISBSEXTRA" localSheetId="2">#REF!</definedName>
    <definedName name="Issue_Id_Primary" localSheetId="2">#REF!</definedName>
    <definedName name="Issue_Id_Secondary" localSheetId="2">#REF!</definedName>
    <definedName name="Issue_Id_Tertiary" localSheetId="2">#REF!</definedName>
    <definedName name="IsValidDate" localSheetId="2">#N/A</definedName>
    <definedName name="IsValidDate">DCF!IsValidDate</definedName>
    <definedName name="IsValidNum" localSheetId="2">#N/A</definedName>
    <definedName name="IsValidNum">DCF!IsValidNum</definedName>
    <definedName name="IsValidRepType" localSheetId="2">#N/A</definedName>
    <definedName name="IsValidRepType">DCF!IsValidRepType</definedName>
    <definedName name="IsValidStr" localSheetId="2">#N/A</definedName>
    <definedName name="IsValidStr">DCF!IsValidStr</definedName>
    <definedName name="IsYesNo" localSheetId="2">#N/A</definedName>
    <definedName name="IsYesNo">DCF!IsYesNo</definedName>
    <definedName name="Italy" localSheetId="2">#REF!</definedName>
    <definedName name="Italy_w" localSheetId="2">#REF!</definedName>
    <definedName name="ITAXRPO" localSheetId="2">#REF!</definedName>
    <definedName name="ITAXRPP" localSheetId="2">#REF!</definedName>
    <definedName name="iteratename" localSheetId="2">#REF!</definedName>
    <definedName name="iteration_target_price" localSheetId="2">#REF!</definedName>
    <definedName name="JETSET" localSheetId="2">#REF!</definedName>
    <definedName name="KADS_Version" localSheetId="2">#REF!</definedName>
    <definedName name="Kd" localSheetId="2">#REF!</definedName>
    <definedName name="Ke" localSheetId="2">#REF!</definedName>
    <definedName name="KFSPr.xls" localSheetId="2">#REF!</definedName>
    <definedName name="l" localSheetId="2" hidden="1">{"IS",#N/A,FALSE,"IS";"RPTIS",#N/A,FALSE,"RPTIS";"STATS",#N/A,FALSE,"STATS";"CELL",#N/A,FALSE,"CELL";"BS",#N/A,FALSE,"BS"}</definedName>
    <definedName name="l" localSheetId="12" hidden="1">{"IS",#N/A,FALSE,"IS";"RPTIS",#N/A,FALSE,"RPTIS";"STATS",#N/A,FALSE,"STATS";"CELL",#N/A,FALSE,"CELL";"BS",#N/A,FALSE,"BS"}</definedName>
    <definedName name="l" localSheetId="7" hidden="1">{"IS",#N/A,FALSE,"IS";"RPTIS",#N/A,FALSE,"RPTIS";"STATS",#N/A,FALSE,"STATS";"CELL",#N/A,FALSE,"CELL";"BS",#N/A,FALSE,"BS"}</definedName>
    <definedName name="l" localSheetId="5" hidden="1">{"IS",#N/A,FALSE,"IS";"RPTIS",#N/A,FALSE,"RPTIS";"STATS",#N/A,FALSE,"STATS";"CELL",#N/A,FALSE,"CELL";"BS",#N/A,FALSE,"BS"}</definedName>
    <definedName name="l" hidden="1">{"IS",#N/A,FALSE,"IS";"RPTIS",#N/A,FALSE,"RPTIS";"STATS",#N/A,FALSE,"STATS";"CELL",#N/A,FALSE,"CELL";"BS",#N/A,FALSE,"BS"}</definedName>
    <definedName name="L_ALL_DHG.AX">#REF!</definedName>
    <definedName name="L_ALL_KEYWORDS_TYPE_ScalarContributed_EQTY_200014189" localSheetId="2">#REF!,#REF!,#REF!,#REF!,#REF!,#REF!,#REF!</definedName>
    <definedName name="L_ALL_KEYWORDS_TYPE_ScalarContributed_EQTY_200018121">#REF!,#REF!,#REF!,#REF!</definedName>
    <definedName name="L_ALL_KEYWORDS_TYPE_ScalarContributed_EQTY_200019464">#REF!,#REF!,#REF!,#REF!,#REF!,#REF!,#REF!</definedName>
    <definedName name="L_ALL_KEYWORDS_TYPE_ScalarContributed_EQTY_200019510">#REF!,#REF!,#REF!,#REF!,#REF!,#REF!,#REF!,#REF!</definedName>
    <definedName name="L_ALL_KEYWORDS_TYPE_ScalarContributed_EQTY_200021129">#REF!,#REF!,#REF!,#REF!,#REF!</definedName>
    <definedName name="L_ALL_KEYWORDS_TYPE_ScalarContributed_ISSR_208010870" localSheetId="2">#REF!,#REF!</definedName>
    <definedName name="L_ALL_KEYWORDS_TYPE_ScalarContributed_ISSR_208017931">#REF!,#REF!,#REF!</definedName>
    <definedName name="L_ALL_KEYWORDS_TYPE_ScalarContributed_ISSR_208017988">#REF!,#REF!,#REF!</definedName>
    <definedName name="L_ALL_KEYWORDS_TYPE_ScalarContributed_ISSR_208020452">#REF!,#REF!,#REF!</definedName>
    <definedName name="L_ALL_KEYWORDS_TYPE_Vector_EQTY_200014189" localSheetId="2">#REF!,#REF!,#REF!,#REF!,#REF!,#REF!,#REF!,#REF!,#REF!,#REF!,#REF!,#REF!,#REF!</definedName>
    <definedName name="L_ALL_KEYWORDS_TYPE_Vector_EQTY_200019464">#REF!,#REF!,#REF!,#REF!,#REF!,#REF!,#REF!,#REF!,#REF!,#REF!,#REF!,#REF!,#REF!</definedName>
    <definedName name="L_ALL_KEYWORDS_TYPE_Vector_EQTY_200019510">#REF!,#REF!,#REF!,#REF!,#REF!,#REF!,#REF!,#REF!,#REF!,#REF!,#REF!,#REF!,#REF!</definedName>
    <definedName name="L_ALL_KEYWORDS_TYPE_Vector_ISSR_208010870" localSheetId="2">#REF!,#REF!,#REF!,#REF!,#REF!,#REF!,#REF!,#REF!,#REF!,#REF!,#REF!,#REF!,#REF!,#REF!</definedName>
    <definedName name="L_ALL_KEYWORDS_TYPE_Vector_ISSR_208015408">#REF!,#REF!,#REF!,#REF!,#REF!,#REF!,#REF!,#REF!,#REF!,#REF!,#REF!,#REF!</definedName>
    <definedName name="L_ALL_KEYWORDS_TYPE_Vector_ISSR_208017931">#REF!,#REF!,#REF!,#REF!,#REF!,#REF!,#REF!,#REF!,#REF!,#REF!,#REF!,#REF!,#REF!,#REF!,#REF!,#REF!,#REF!,#REF!</definedName>
    <definedName name="L_ALL_KEYWORDS_TYPE_Vector_ISSR_208017988">#REF!,#REF!,#REF!,#REF!,#REF!,#REF!,#REF!,#REF!,#REF!,#REF!,#REF!,#REF!,#REF!,#REF!,#REF!,#REF!,#REF!,#REF!</definedName>
    <definedName name="L_ALL_KEYWORDS_TYPE_Vector_ISSR_208020452">#REF!,#REF!,#REF!,#REF!,#REF!,#REF!,#REF!,#REF!,#REF!,#REF!,#REF!,#REF!,#REF!</definedName>
    <definedName name="L_ALL_PYPL">#REF!</definedName>
    <definedName name="L_ALL_REA.AX" localSheetId="2">#REF!</definedName>
    <definedName name="L_ALL_SECTION_KEYWORDS_EQTY_200019510_13A">#REF!</definedName>
    <definedName name="L_ALL_SECTION_KEYWORDS_EQTY_200019510_13K">#REF!</definedName>
    <definedName name="L_ALL_SECTION_KEYWORDS_ISSR_208010870_136E" localSheetId="2">#REF!,#REF!</definedName>
    <definedName name="L_ALL_SECTION_KEYWORDS_ISSR_208010870_13A" localSheetId="2">#REF!,#REF!</definedName>
    <definedName name="L_ALL_SECTION_KEYWORDS_ISSR_208015408_13168">#REF!,#REF!</definedName>
    <definedName name="L_ALL_SECTION_KEYWORDS_ISSR_208015408_131O">#REF!,#REF!</definedName>
    <definedName name="L_ALL_SECTION_KEYWORDS_ISSR_208015408_136E">#REF!,#REF!</definedName>
    <definedName name="L_ALL_SECTION_KEYWORDS_ISSR_208015408_136J">#REF!,#REF!</definedName>
    <definedName name="L_ALL_SECTION_KEYWORDS_ISSR_208015408_13V">#REF!,#REF!</definedName>
    <definedName name="L_ALL_SECTION_KEYWORDS_ISSR_208017931_13V">#REF!,#REF!</definedName>
    <definedName name="L_ALL_SECTION_KEYWORDS_ISSR_208017988_1314">#REF!</definedName>
    <definedName name="L_ALL_SECTION_KEYWORDS_ISSR_208017988_1319">#REF!</definedName>
    <definedName name="L_ALL_SECTION_KEYWORDS_ISSR_208017988_131E">#REF!</definedName>
    <definedName name="L_ALL_SECTION_KEYWORDS_ISSR_208017988_13V">#REF!,#REF!</definedName>
    <definedName name="L_ALL_SECTION_KEYWORDS_ISSR_208020452_131O">#REF!,#REF!</definedName>
    <definedName name="L_ALL_SECTION_KEYWORDS_ISSR_208020452_13V">#REF!,#REF!</definedName>
    <definedName name="L_ALL_SECTIONS_EQTY_200014189" localSheetId="2">#REF!,#REF!,#REF!,#REF!,#REF!,#REF!,#REF!,#REF!,#REF!,#REF!,#REF!,#REF!,#REF!</definedName>
    <definedName name="L_ALL_WK">#REF!</definedName>
    <definedName name="L_ALL_WTC.AX">#REF!</definedName>
    <definedName name="L_ALL_ZUO">#REF!</definedName>
    <definedName name="L_CURRENCY_EQTY_200014189_PRI" localSheetId="2">#REF!</definedName>
    <definedName name="L_CURRENCY_EQTY_200014189_PUB" localSheetId="2">#REF!</definedName>
    <definedName name="L_CURRENCY_EQTY_200014189_REP" localSheetId="2">#REF!</definedName>
    <definedName name="L_CURRENCY_ISSR_208010870_REP" localSheetId="2">#REF!</definedName>
    <definedName name="label3" localSheetId="2">#REF!</definedName>
    <definedName name="label4" localSheetId="2">#REF!</definedName>
    <definedName name="label5" localSheetId="2">#REF!</definedName>
    <definedName name="label6" localSheetId="2">#REF!</definedName>
    <definedName name="label7" localSheetId="2">#REF!</definedName>
    <definedName name="labour" localSheetId="2">#REF!</definedName>
    <definedName name="Labour_and_Materials" localSheetId="2">#REF!</definedName>
    <definedName name="Labour_and_Materials_Rate" localSheetId="2">#REF!</definedName>
    <definedName name="LabourRatio" localSheetId="2">#REF!</definedName>
    <definedName name="Laird" localSheetId="2">#REF!</definedName>
    <definedName name="LASER" localSheetId="2">#REF!</definedName>
    <definedName name="Last" localSheetId="2">Pro #REF!</definedName>
    <definedName name="Last_Results" localSheetId="2">#REF!</definedName>
    <definedName name="Last_Results_Quarter" localSheetId="2">#REF!</definedName>
    <definedName name="Last_Results_Year" localSheetId="2">#REF!</definedName>
    <definedName name="LAST_UPDATED">WTC.AX!$C$1</definedName>
    <definedName name="LastQ" localSheetId="2">Pro #REF!</definedName>
    <definedName name="LastQChange" localSheetId="2">Pro #REF!</definedName>
    <definedName name="Latin_Amercia" localSheetId="2">#REF!</definedName>
    <definedName name="lblBusyCapE" localSheetId="2">#REF!</definedName>
    <definedName name="lblDeleteShareIdCapE" localSheetId="2">#REF!</definedName>
    <definedName name="lblDSNCapE" localSheetId="2">#REF!</definedName>
    <definedName name="lblFreeCapE" localSheetId="2">#REF!</definedName>
    <definedName name="lblGeneralUseCapE" localSheetId="2">#REF!</definedName>
    <definedName name="lblLoginCapE" localSheetId="2">#REF!</definedName>
    <definedName name="lblMthProcCapE" localSheetId="2">#REF!</definedName>
    <definedName name="lblPasswordCapE" localSheetId="2">#REF!</definedName>
    <definedName name="lblQuikCodeCapE" localSheetId="2">#REF!</definedName>
    <definedName name="lblSelectedCompanyCapE" localSheetId="2">#REF!</definedName>
    <definedName name="lblTotalCapE" localSheetId="2">#REF!</definedName>
    <definedName name="LHAPr.xls" localSheetId="2">#REF!</definedName>
    <definedName name="limcount" hidden="1">1</definedName>
    <definedName name="ListingType" localSheetId="2">#REF!</definedName>
    <definedName name="lnk_ccy_asreported" localSheetId="2">#REF!</definedName>
    <definedName name="lnk_CoName" localSheetId="2" hidden="1">#REF!</definedName>
    <definedName name="lnk_CoName" hidden="1">#REF!</definedName>
    <definedName name="lnk_countryID" localSheetId="2" hidden="1">#REF!</definedName>
    <definedName name="lnk_countryID" hidden="1">#REF!</definedName>
    <definedName name="lnk_cpyID" localSheetId="2" hidden="1">#REF!</definedName>
    <definedName name="lnk_cpyID" hidden="1">#REF!</definedName>
    <definedName name="lnk_display_Currency" localSheetId="2" hidden="1">#REF!</definedName>
    <definedName name="lnk_display_Currency" hidden="1">#REF!</definedName>
    <definedName name="lnk_drate_update" localSheetId="2" hidden="1">#REF!</definedName>
    <definedName name="lnk_drate_update" hidden="1">#REF!</definedName>
    <definedName name="lnk_IndustryType" localSheetId="2" hidden="1">#REF!</definedName>
    <definedName name="lnk_IndustryType" hidden="1">#REF!</definedName>
    <definedName name="lnk_LastFiscalYear" localSheetId="2" hidden="1">#REF!</definedName>
    <definedName name="lnk_LastFiscalYear" hidden="1">#REF!</definedName>
    <definedName name="lnk_lfy_rolled" localSheetId="2">#REF!</definedName>
    <definedName name="lnk_numForecastYears" localSheetId="2" hidden="1">#REF!</definedName>
    <definedName name="lnk_numForecastYears" hidden="1">#REF!</definedName>
    <definedName name="lnk_numHistoricalYears" localSheetId="2" hidden="1">#REF!</definedName>
    <definedName name="lnk_numHistoricalYears" hidden="1">#REF!</definedName>
    <definedName name="lnk_Print_Area" localSheetId="2" hidden="1">#REF!</definedName>
    <definedName name="lnk_Print_Area" hidden="1">#REF!</definedName>
    <definedName name="lnk_rData_Start_Driver" localSheetId="2" hidden="1">#REF!</definedName>
    <definedName name="lnk_rData_Start_Driver" hidden="1">#REF!</definedName>
    <definedName name="lnk_rData_Start_Result" localSheetId="2" hidden="1">#REF!</definedName>
    <definedName name="lnk_rData_Start_Result" hidden="1">#REF!</definedName>
    <definedName name="lnk_rDataStart" localSheetId="2" hidden="1">#REF!</definedName>
    <definedName name="lnk_rDataStart" hidden="1">#REF!</definedName>
    <definedName name="lnk_rSourceFore" localSheetId="2" hidden="1">#REF!</definedName>
    <definedName name="lnk_rSourceFore" hidden="1">#REF!</definedName>
    <definedName name="lnk_rSourceFore1st" localSheetId="2" hidden="1">#REF!</definedName>
    <definedName name="lnk_rSourceFore1st" hidden="1">#REF!</definedName>
    <definedName name="lnk_rSourceHist" localSheetId="2" hidden="1">#REF!</definedName>
    <definedName name="lnk_rSourceHist" hidden="1">#REF!</definedName>
    <definedName name="lnk_rYearRow" localSheetId="2" hidden="1">#REF!</definedName>
    <definedName name="lnk_rYearRow" hidden="1">#REF!</definedName>
    <definedName name="lnk_rYearRow_Driver" localSheetId="2" hidden="1">#REF!</definedName>
    <definedName name="lnk_rYearRow_Driver" hidden="1">#REF!</definedName>
    <definedName name="lnk_rYearRow_Result" localSheetId="2" hidden="1">#REF!</definedName>
    <definedName name="lnk_rYearRow_Result" hidden="1">#REF!</definedName>
    <definedName name="lnk_ScenarioName" localSheetId="2" hidden="1">#REF!</definedName>
    <definedName name="lnk_ScenarioName" hidden="1">#REF!</definedName>
    <definedName name="lnk_TICK" localSheetId="2" hidden="1">#REF!</definedName>
    <definedName name="lnk_TICK" hidden="1">#REF!</definedName>
    <definedName name="lnk_update" localSheetId="2" hidden="1">#REF!</definedName>
    <definedName name="lnk_update" hidden="1">#REF!</definedName>
    <definedName name="lnk_version" localSheetId="2" hidden="1">#REF!</definedName>
    <definedName name="lnk_version" hidden="1">#REF!</definedName>
    <definedName name="Loan_payable" localSheetId="2">#REF!</definedName>
    <definedName name="Local_Sector" localSheetId="2">#REF!</definedName>
    <definedName name="LoCode" localSheetId="2">#REF!</definedName>
    <definedName name="Long_Term_Growth" localSheetId="2">#REF!</definedName>
    <definedName name="LongTermRec" localSheetId="2">#REF!</definedName>
    <definedName name="LT_int_bearing_assets" localSheetId="2">#REF!</definedName>
    <definedName name="LT_Rec" localSheetId="2">#REF!</definedName>
    <definedName name="LTD.E00" localSheetId="2">#REF!</definedName>
    <definedName name="LTD.E97" localSheetId="2">#REF!</definedName>
    <definedName name="LTD.E98" localSheetId="2">#REF!</definedName>
    <definedName name="LTD.E99" localSheetId="2">#REF!</definedName>
    <definedName name="LTDEBT_CUR" localSheetId="2">#REF!</definedName>
    <definedName name="LTDEBT_CUR_L" localSheetId="2">#REF!</definedName>
    <definedName name="M_PlaceofPath" hidden="1">"g:\blabla"</definedName>
    <definedName name="MACROS" localSheetId="2">#REF!</definedName>
    <definedName name="Maintenance_capex" localSheetId="2">#REF!</definedName>
    <definedName name="Maintenance_capex">MODEL!$89:$89</definedName>
    <definedName name="Mannesmann" localSheetId="2">#REF!</definedName>
    <definedName name="Margin" localSheetId="2">#REF!</definedName>
    <definedName name="Market" localSheetId="2">#REF!</definedName>
    <definedName name="Market_Capital" localSheetId="2">#REF!</definedName>
    <definedName name="Market_Index" localSheetId="2">#REF!</definedName>
    <definedName name="Marketing___Admin._costs" localSheetId="2">#REF!</definedName>
    <definedName name="mc_00" localSheetId="2">#REF!</definedName>
    <definedName name="mc_01" localSheetId="2">#REF!</definedName>
    <definedName name="mc_02" localSheetId="2">#REF!</definedName>
    <definedName name="mc_99" localSheetId="2">#REF!</definedName>
    <definedName name="MCAP00" localSheetId="2">#REF!</definedName>
    <definedName name="MCAP97" localSheetId="2">#REF!</definedName>
    <definedName name="MCAP98" localSheetId="2">#REF!</definedName>
    <definedName name="MCAP99" localSheetId="2">#REF!</definedName>
    <definedName name="Mckechnie" localSheetId="2">#REF!</definedName>
    <definedName name="Meggitt" localSheetId="2">#REF!</definedName>
    <definedName name="Metra" localSheetId="2">#REF!</definedName>
    <definedName name="MF" localSheetId="2">#REF!</definedName>
    <definedName name="Millions_Or_Billions" localSheetId="2">#REF!</definedName>
    <definedName name="MININT" localSheetId="2">#REF!</definedName>
    <definedName name="Mininterest" localSheetId="2">#REF!</definedName>
    <definedName name="MINOR" localSheetId="2">#REF!</definedName>
    <definedName name="Minorities" localSheetId="2">#REF!</definedName>
    <definedName name="Minorities_profit" localSheetId="2">#REF!</definedName>
    <definedName name="Minorities_profit">MODEL!$38:$38</definedName>
    <definedName name="Minority" localSheetId="2">#REF!</definedName>
    <definedName name="Minority_Dividends" localSheetId="2">#REF!</definedName>
    <definedName name="Minority_interests" localSheetId="2">#REF!</definedName>
    <definedName name="Minority_interests">MODEL!$197:$197</definedName>
    <definedName name="mkmk" localSheetId="2" hidden="1">{"IS",#N/A,FALSE,"IS";"RPTIS",#N/A,FALSE,"RPTIS";"STATS",#N/A,FALSE,"STATS";"CELL",#N/A,FALSE,"CELL";"BS",#N/A,FALSE,"BS"}</definedName>
    <definedName name="mkmk" localSheetId="12" hidden="1">{"IS",#N/A,FALSE,"IS";"RPTIS",#N/A,FALSE,"RPTIS";"STATS",#N/A,FALSE,"STATS";"CELL",#N/A,FALSE,"CELL";"BS",#N/A,FALSE,"BS"}</definedName>
    <definedName name="mkmk" localSheetId="7" hidden="1">{"IS",#N/A,FALSE,"IS";"RPTIS",#N/A,FALSE,"RPTIS";"STATS",#N/A,FALSE,"STATS";"CELL",#N/A,FALSE,"CELL";"BS",#N/A,FALSE,"BS"}</definedName>
    <definedName name="mkmk" hidden="1">{"IS",#N/A,FALSE,"IS";"RPTIS",#N/A,FALSE,"RPTIS";"STATS",#N/A,FALSE,"STATS";"CELL",#N/A,FALSE,"CELL";"BS",#N/A,FALSE,"BS"}</definedName>
    <definedName name="msgBytesCapE" localSheetId="2">#REF!</definedName>
    <definedName name="msgCantDelPrimaryCapE" localSheetId="2">#REF!</definedName>
    <definedName name="msgCodeNotInCapE" localSheetId="2">#REF!</definedName>
    <definedName name="msgCodeRequiredCapE" localSheetId="2">#REF!</definedName>
    <definedName name="msgCompanyNotInListCapE" localSheetId="2">#REF!</definedName>
    <definedName name="msgConsolEstCapE" localSheetId="2">#REF!</definedName>
    <definedName name="msgCreateInDBCapE" localSheetId="2">#REF!</definedName>
    <definedName name="msgDBUnableDeleteCapE" localSheetId="2">#REF!</definedName>
    <definedName name="msgDSNRequiredCapE" localSheetId="2">#REF!</definedName>
    <definedName name="msgFieldsMissCapE" localSheetId="2">#REF!</definedName>
    <definedName name="msgInterimTitleCapE" localSheetId="2">#REF!</definedName>
    <definedName name="msgInvestTitleCapE" localSheetId="2">#REF!</definedName>
    <definedName name="msgLastUpdateCapE" localSheetId="2">#REF!</definedName>
    <definedName name="msgLessCurYearCapE" localSheetId="2">#REF!</definedName>
    <definedName name="msgLoginRequiredCapE" localSheetId="2">#REF!</definedName>
    <definedName name="msgLRYLessThanDbCapE" localSheetId="2">#REF!</definedName>
    <definedName name="msgLRYMoreThanOneCapE" localSheetId="2">#REF!</definedName>
    <definedName name="msgNoRecordsCapE" localSheetId="2">#REF!</definedName>
    <definedName name="msgNotAuthorizedCapE" localSheetId="2">#REF!</definedName>
    <definedName name="msgNotAuthToDeleteCapE" localSheetId="2">#REF!</definedName>
    <definedName name="msgNotPresentCapE" localSheetId="2">#REF!</definedName>
    <definedName name="msgNotSheetCapE" localSheetId="2">#REF!</definedName>
    <definedName name="msgNotWorkbookCap" localSheetId="2">#REF!</definedName>
    <definedName name="msgNotWorkbookCapE" localSheetId="2">#REF!</definedName>
    <definedName name="msgParentEstCapE" localSheetId="2">#REF!</definedName>
    <definedName name="msgPasswordRequiredCapE" localSheetId="2">#REF!</definedName>
    <definedName name="msgPresentCapE" localSheetId="2">#REF!</definedName>
    <definedName name="msgPrimaryIdNotFoundCapE" localSheetId="2">#REF!</definedName>
    <definedName name="msgRateChangeCapE" localSheetId="2">#REF!</definedName>
    <definedName name="msgReallyRollOverCalEPSCapE" localSheetId="2">#REF!</definedName>
    <definedName name="msgReallyUpdateCapE" localSheetId="2">#REF!</definedName>
    <definedName name="msgRICNotPrimaryCapE" localSheetId="2">#REF!</definedName>
    <definedName name="msgSelNotValidCapE" localSheetId="2">#REF!</definedName>
    <definedName name="msgShareIdColNotFoundCapE" localSheetId="2">#REF!</definedName>
    <definedName name="msgShareIdReqCapE" localSheetId="2">#REF!</definedName>
    <definedName name="msgShareTypeDeletedCapE" localSheetId="2">#REF!</definedName>
    <definedName name="msgShareTypeNotFoundCapE" localSheetId="2">#REF!</definedName>
    <definedName name="msgUnableUpdForecastCapE" localSheetId="2">#REF!</definedName>
    <definedName name="msgUnableUpdInvestCapE" localSheetId="2">#REF!</definedName>
    <definedName name="msgUnableUpdMSRCompCapE" localSheetId="2">#REF!</definedName>
    <definedName name="msgUnableUpdMSRDataCapE" localSheetId="2">#REF!</definedName>
    <definedName name="msgUpdateCompleteCapE" localSheetId="2">#REF!</definedName>
    <definedName name="msgUpdateTORESCapE" localSheetId="2">#REF!</definedName>
    <definedName name="msgWrongLabelCapE" localSheetId="2">#REF!</definedName>
    <definedName name="n" localSheetId="2" hidden="1">{"IS",#N/A,FALSE,"IS";"RPTIS",#N/A,FALSE,"RPTIS";"STATS",#N/A,FALSE,"STATS";"BS",#N/A,FALSE,"BS"}</definedName>
    <definedName name="n" localSheetId="12" hidden="1">{"IS",#N/A,FALSE,"IS";"RPTIS",#N/A,FALSE,"RPTIS";"STATS",#N/A,FALSE,"STATS";"BS",#N/A,FALSE,"BS"}</definedName>
    <definedName name="n" localSheetId="7" hidden="1">{"IS",#N/A,FALSE,"IS";"RPTIS",#N/A,FALSE,"RPTIS";"STATS",#N/A,FALSE,"STATS";"BS",#N/A,FALSE,"BS"}</definedName>
    <definedName name="n" localSheetId="5" hidden="1">{"IS",#N/A,FALSE,"IS";"RPTIS",#N/A,FALSE,"RPTIS";"STATS",#N/A,FALSE,"STATS";"BS",#N/A,FALSE,"BS"}</definedName>
    <definedName name="n" hidden="1">{"IS",#N/A,FALSE,"IS";"RPTIS",#N/A,FALSE,"RPTIS";"STATS",#N/A,FALSE,"STATS";"BS",#N/A,FALSE,"BS"}</definedName>
    <definedName name="nav_00" localSheetId="2">#REF!</definedName>
    <definedName name="nav_01" localSheetId="2">#REF!</definedName>
    <definedName name="nav_02" localSheetId="2">#REF!</definedName>
    <definedName name="nav_99" localSheetId="2">#REF!</definedName>
    <definedName name="nav_p00" localSheetId="2">#REF!</definedName>
    <definedName name="nav_p01" localSheetId="2">#REF!</definedName>
    <definedName name="nav_p02" localSheetId="2">#REF!</definedName>
    <definedName name="nav_p99" localSheetId="2">#REF!</definedName>
    <definedName name="NAVsh" localSheetId="2">#REF!</definedName>
    <definedName name="Nbr_of_employees__avg" localSheetId="2">#REF!</definedName>
    <definedName name="Nbr_of_employees__Y_E" localSheetId="2">#REF!</definedName>
    <definedName name="Nbr_of_employees_comp_units_Y_E" localSheetId="2">#REF!</definedName>
    <definedName name="NBV_ex_gw" localSheetId="2">#REF!</definedName>
    <definedName name="NDEBT00" localSheetId="2">#REF!</definedName>
    <definedName name="NDEBT97" localSheetId="2">#REF!</definedName>
    <definedName name="NDEBT98" localSheetId="2">#REF!</definedName>
    <definedName name="NDEBT99" localSheetId="2">#REF!</definedName>
    <definedName name="NEEDHAM" localSheetId="2">#REF!</definedName>
    <definedName name="net" localSheetId="2">#REF!</definedName>
    <definedName name="Net_adj_for_capitalized_expenses" localSheetId="2">#REF!</definedName>
    <definedName name="Net_debt" localSheetId="2">#REF!</definedName>
    <definedName name="Net_debt">MODEL!$127:$127</definedName>
    <definedName name="Net_Debt_MC" localSheetId="2">#REF!</definedName>
    <definedName name="Net_goodwill" localSheetId="2">#REF!</definedName>
    <definedName name="Net_goodwill">MODEL!$161:$161</definedName>
    <definedName name="Net_Income" localSheetId="2">#REF!</definedName>
    <definedName name="Net_income_fore" localSheetId="2">#REF!</definedName>
    <definedName name="Net_Interest" localSheetId="2">#REF!</definedName>
    <definedName name="Net_interest_expense" localSheetId="2">#REF!</definedName>
    <definedName name="Net_interest_expense">MODEL!$33:$33</definedName>
    <definedName name="Net_interest_paid" localSheetId="2">#REF!</definedName>
    <definedName name="Net_interest_paid">MODEL!$86:$86</definedName>
    <definedName name="Net_margin" localSheetId="2">#REF!</definedName>
    <definedName name="Net_non_recurring_items" localSheetId="2">#REF!</definedName>
    <definedName name="Net_other_intangibles" localSheetId="2">#REF!</definedName>
    <definedName name="Net_other_intangibles">MODEL!$164:$164</definedName>
    <definedName name="Net_ppe" localSheetId="2">#REF!</definedName>
    <definedName name="Net_ppe">MODEL!$157:$157</definedName>
    <definedName name="Net_profit" localSheetId="2">#REF!</definedName>
    <definedName name="Net_Profit_after_Minorities" localSheetId="2">#REF!</definedName>
    <definedName name="Net_Profit_Post_ab" localSheetId="2">#REF!</definedName>
    <definedName name="Net_Profit_Post_ab">MODEL!$42:$42</definedName>
    <definedName name="Net_sales_DCF" localSheetId="2">#REF!</definedName>
    <definedName name="Net_sales_fore" localSheetId="2">#REF!</definedName>
    <definedName name="Net_Working_Capital" localSheetId="2">#REF!</definedName>
    <definedName name="Net_working_capital_turns" localSheetId="2">#REF!</definedName>
    <definedName name="Net_Worth_Share__DM" localSheetId="2">#REF!</definedName>
    <definedName name="NetCashFlow" localSheetId="2">#REF!</definedName>
    <definedName name="new_da" localSheetId="2">#REF!</definedName>
    <definedName name="newbel" localSheetId="2" hidden="1">{"IS",#N/A,FALSE,"IS";"RPTIS",#N/A,FALSE,"RPTIS";"STATS",#N/A,FALSE,"STATS";"CELL",#N/A,FALSE,"CELL";"BS",#N/A,FALSE,"BS"}</definedName>
    <definedName name="newbel" localSheetId="12" hidden="1">{"IS",#N/A,FALSE,"IS";"RPTIS",#N/A,FALSE,"RPTIS";"STATS",#N/A,FALSE,"STATS";"CELL",#N/A,FALSE,"CELL";"BS",#N/A,FALSE,"BS"}</definedName>
    <definedName name="newbel" localSheetId="7" hidden="1">{"IS",#N/A,FALSE,"IS";"RPTIS",#N/A,FALSE,"RPTIS";"STATS",#N/A,FALSE,"STATS";"CELL",#N/A,FALSE,"CELL";"BS",#N/A,FALSE,"BS"}</definedName>
    <definedName name="newbel" localSheetId="5" hidden="1">{"IS",#N/A,FALSE,"IS";"RPTIS",#N/A,FALSE,"RPTIS";"STATS",#N/A,FALSE,"STATS";"CELL",#N/A,FALSE,"CELL";"BS",#N/A,FALSE,"BS"}</definedName>
    <definedName name="newbel" hidden="1">{"IS",#N/A,FALSE,"IS";"RPTIS",#N/A,FALSE,"RPTIS";"STATS",#N/A,FALSE,"STATS";"CELL",#N/A,FALSE,"CELL";"BS",#N/A,FALSE,"BS"}</definedName>
    <definedName name="Next_Event_Type" localSheetId="2">#REF!</definedName>
    <definedName name="NFLXEPS2" localSheetId="2">#REF!</definedName>
    <definedName name="NFLXRating" localSheetId="2">#REF!</definedName>
    <definedName name="NFLXTargetPrice" localSheetId="2">#REF!</definedName>
    <definedName name="NIBDEBT" localSheetId="2">#REF!</definedName>
    <definedName name="NINC" localSheetId="2">#REF!</definedName>
    <definedName name="NINCGS" localSheetId="2">#REF!</definedName>
    <definedName name="NINT" localSheetId="2">#REF!</definedName>
    <definedName name="no" localSheetId="2" hidden="1">{"PR1","pr1",TRUE,"Sch PR-1"}</definedName>
    <definedName name="no" localSheetId="12" hidden="1">{"PR1","pr1",TRUE,"Sch PR-1"}</definedName>
    <definedName name="no" localSheetId="7" hidden="1">{"PR1","pr1",TRUE,"Sch PR-1"}</definedName>
    <definedName name="no" hidden="1">{"PR1","pr1",TRUE,"Sch PR-1"}</definedName>
    <definedName name="NOKS_acquisitions" localSheetId="2">#REF!</definedName>
    <definedName name="NOKS_adjROCE" localSheetId="2">#REF!</definedName>
    <definedName name="NOKS_assdiv" localSheetId="2">#REF!</definedName>
    <definedName name="NOKS_assocdiv" localSheetId="2">#REF!</definedName>
    <definedName name="NOKS_Beta" localSheetId="2">#REF!</definedName>
    <definedName name="NOKS_capexpersales" localSheetId="2">#REF!</definedName>
    <definedName name="NOKS_CapitRD" localSheetId="2">#REF!</definedName>
    <definedName name="NOKS_CapitRDadds" localSheetId="2">#REF!</definedName>
    <definedName name="NOKS_costnewdebt" localSheetId="2">#REF!</definedName>
    <definedName name="NOKS_costs_RDpersales" localSheetId="2">#REF!</definedName>
    <definedName name="NOKS_costs_salespersales" localSheetId="2">#REF!</definedName>
    <definedName name="NOKS_CSO" localSheetId="2">#REF!</definedName>
    <definedName name="NOKS_defftaxassets" localSheetId="2">#REF!</definedName>
    <definedName name="NOKS_defftaxliabs" localSheetId="2">#REF!</definedName>
    <definedName name="NOKS_deprecgoodwill" localSheetId="2">#REF!</definedName>
    <definedName name="NOKS_deprecotherintg." localSheetId="2">#REF!</definedName>
    <definedName name="NOKS_deprecpersales" localSheetId="2">#REF!</definedName>
    <definedName name="NOKS_deprecRD" localSheetId="2">#REF!</definedName>
    <definedName name="NOKS_depreintgrigh" localSheetId="2">#REF!</definedName>
    <definedName name="NOKS_disposals" localSheetId="2">#REF!</definedName>
    <definedName name="NOKS_divprior" localSheetId="2">#REF!</definedName>
    <definedName name="NOKS_DSO" localSheetId="2">#REF!</definedName>
    <definedName name="NOKS_EPSfd" localSheetId="2">#REF!</definedName>
    <definedName name="NOKS_gearing" localSheetId="2">#REF!</definedName>
    <definedName name="NOKS_goodwill" localSheetId="2">#REF!</definedName>
    <definedName name="NOKS_IC" localSheetId="2">#REF!</definedName>
    <definedName name="NOKS_int_exp" localSheetId="2">#REF!</definedName>
    <definedName name="NOKS_invenpersales" localSheetId="2">#REF!</definedName>
    <definedName name="NOKS_Kd" localSheetId="2">#REF!</definedName>
    <definedName name="NOKS_Ke" localSheetId="2">#REF!</definedName>
    <definedName name="NOKS_leaselife" localSheetId="2">#REF!</definedName>
    <definedName name="NOKS_leasingdeprec" localSheetId="2">#REF!</definedName>
    <definedName name="NOKS_leasingpayt" localSheetId="2">#REF!</definedName>
    <definedName name="NOKS_leassorreqret" localSheetId="2">#REF!</definedName>
    <definedName name="NOKS_Mktrisk" localSheetId="2">#REF!</definedName>
    <definedName name="NOKS_netdebtHSBC" localSheetId="2">#REF!</definedName>
    <definedName name="NOKS_NetRevenueexintgrp" localSheetId="2">#REF!</definedName>
    <definedName name="NOKS_NOPLAT" localSheetId="2">#REF!</definedName>
    <definedName name="NOKS_otheropinc" localSheetId="2">#REF!</definedName>
    <definedName name="NOKS_personnelcostspersales" localSheetId="2">#REF!</definedName>
    <definedName name="NOKS_PVleases" localSheetId="2">#REF!</definedName>
    <definedName name="NOKS_RDPLadd" localSheetId="2">#REF!</definedName>
    <definedName name="NOKS_rentallife" localSheetId="2">#REF!</definedName>
    <definedName name="NOKS_rentalpayt" localSheetId="2">#REF!</definedName>
    <definedName name="NOKS_rentalreqret" localSheetId="2">#REF!</definedName>
    <definedName name="NOKS_Rf" localSheetId="2">#REF!</definedName>
    <definedName name="NOKS_RFR" localSheetId="2">#REF!</definedName>
    <definedName name="NOKS_SGApersales" localSheetId="2">#REF!</definedName>
    <definedName name="NOKS_shissued" localSheetId="2">#REF!</definedName>
    <definedName name="NOKS_shissuedA" localSheetId="2">#REF!</definedName>
    <definedName name="NOKS_shissuedK" localSheetId="2">#REF!</definedName>
    <definedName name="NOKS_Tangsales" localSheetId="2">#REF!</definedName>
    <definedName name="NOKS_taxprior" localSheetId="2">#REF!</definedName>
    <definedName name="NOKS_taxratenot" localSheetId="2">#REF!</definedName>
    <definedName name="NOKS_WACC" localSheetId="2">#REF!</definedName>
    <definedName name="NOKS_WCC" localSheetId="2">#REF!</definedName>
    <definedName name="NOKS_Wchange" localSheetId="2">#REF!</definedName>
    <definedName name="Non_Current_Assets" localSheetId="2">#REF!</definedName>
    <definedName name="Non_Current_Assets">MODEL!$172:$172</definedName>
    <definedName name="Non_current_borrowings" localSheetId="2">#REF!</definedName>
    <definedName name="Non_current_borrowings">MODEL!$185:$185</definedName>
    <definedName name="Non_current_inventories" localSheetId="2">#REF!</definedName>
    <definedName name="Non_current_inventories">MODEL!$154:$154</definedName>
    <definedName name="Non_current_provisions" localSheetId="2">#REF!</definedName>
    <definedName name="Non_current_provisions">MODEL!$186:$186</definedName>
    <definedName name="Non_current_receivables" localSheetId="2">#REF!</definedName>
    <definedName name="Non_current_receivables">MODEL!$153:$153</definedName>
    <definedName name="Non_operating_profit" localSheetId="2">#REF!</definedName>
    <definedName name="Non_recurring_costs" localSheetId="2">#REF!</definedName>
    <definedName name="Non_recurring_income" localSheetId="2">#REF!</definedName>
    <definedName name="NOPAT_DCF" localSheetId="2">#REF!</definedName>
    <definedName name="NOPAT_margin" localSheetId="2">#REF!</definedName>
    <definedName name="NOPBT" localSheetId="2">#REF!</definedName>
    <definedName name="NOPBT_fore" localSheetId="2">#REF!</definedName>
    <definedName name="Normal_est" localSheetId="2">#REF!</definedName>
    <definedName name="NormalYear" localSheetId="2">#REF!</definedName>
    <definedName name="North_America" localSheetId="2">#REF!</definedName>
    <definedName name="North_America_w" localSheetId="2">#REF!</definedName>
    <definedName name="Nosint" localSheetId="2">#REF!</definedName>
    <definedName name="NPAT_pre_ab" localSheetId="2">#REF!</definedName>
    <definedName name="NPAT_pre_ab">MODEL!$40:$40</definedName>
    <definedName name="NPSGWA" localSheetId="2">#REF!</definedName>
    <definedName name="NPT_1" localSheetId="2">#REF!</definedName>
    <definedName name="NPT_2" localSheetId="2">#REF!</definedName>
    <definedName name="NPT_P" localSheetId="2">#REF!</definedName>
    <definedName name="NTD.TC00" localSheetId="2">#REF!</definedName>
    <definedName name="NTD.TC97" localSheetId="2">#REF!</definedName>
    <definedName name="NTD.TC98" localSheetId="2">#REF!</definedName>
    <definedName name="NTD.TC99" localSheetId="2">#REF!</definedName>
    <definedName name="OFA" localSheetId="2">#REF!</definedName>
    <definedName name="Off_B_S_Income" localSheetId="2">#REF!</definedName>
    <definedName name="Off_B_S_Income_DCF" localSheetId="2">#REF!</definedName>
    <definedName name="Off_B_S_Income_fore" localSheetId="2">#REF!</definedName>
    <definedName name="OL_1" localSheetId="2">#REF!</definedName>
    <definedName name="OL_P" localSheetId="2">#REF!</definedName>
    <definedName name="old_da" localSheetId="2">#REF!</definedName>
    <definedName name="OldBrPt" localSheetId="2">#REF!</definedName>
    <definedName name="OldBrPt1" localSheetId="2">#REF!</definedName>
    <definedName name="OldBrPt2" localSheetId="2">#REF!</definedName>
    <definedName name="OldBrPt3" localSheetId="2">#REF!</definedName>
    <definedName name="OldBrPt4" localSheetId="2">#REF!</definedName>
    <definedName name="OldBrPt5" localSheetId="2">#REF!</definedName>
    <definedName name="OLDCASH" localSheetId="2">#REF!</definedName>
    <definedName name="OLTL" localSheetId="2">#REF!</definedName>
    <definedName name="one" localSheetId="2">#REF!</definedName>
    <definedName name="op_00" localSheetId="2">#REF!</definedName>
    <definedName name="op_01" localSheetId="2">#REF!</definedName>
    <definedName name="op_02" localSheetId="2">#REF!</definedName>
    <definedName name="op_99" localSheetId="2">#REF!</definedName>
    <definedName name="Operating_income_fore" localSheetId="2">#REF!</definedName>
    <definedName name="Operating_Lease_Expense" localSheetId="2">#REF!</definedName>
    <definedName name="Operating_Lease_Expense_fore" localSheetId="2">#REF!</definedName>
    <definedName name="Operating_profit" localSheetId="2">#REF!</definedName>
    <definedName name="OpExpRatio" localSheetId="2">#REF!</definedName>
    <definedName name="opm_00" localSheetId="2">#REF!</definedName>
    <definedName name="opm_01" localSheetId="2">#REF!</definedName>
    <definedName name="opm_02" localSheetId="2">#REF!</definedName>
    <definedName name="opm_99" localSheetId="2">#REF!</definedName>
    <definedName name="OPM00" localSheetId="2">#REF!</definedName>
    <definedName name="Options_in_the_money" localSheetId="2">#REF!</definedName>
    <definedName name="Options_in_the_money">MODEL!$253:$253</definedName>
    <definedName name="Oracle" localSheetId="2">#REF!</definedName>
    <definedName name="Order_backlog" localSheetId="2">#REF!</definedName>
    <definedName name="OTHB2" localSheetId="2">#REF!</definedName>
    <definedName name="Other" localSheetId="2">#REF!</definedName>
    <definedName name="Other_asset_turns" localSheetId="2">#REF!</definedName>
    <definedName name="Other_Cash_Items" localSheetId="2">#REF!</definedName>
    <definedName name="Other_creditors" localSheetId="2">#REF!</definedName>
    <definedName name="Other_creditors">MODEL!$179:$179</definedName>
    <definedName name="Other_current_assets" localSheetId="2">#REF!</definedName>
    <definedName name="Other_current_assets">MODEL!$149:$149</definedName>
    <definedName name="Other_current_liabilities" localSheetId="2">#REF!</definedName>
    <definedName name="Other_current_liabilities">MODEL!$181:$181</definedName>
    <definedName name="Other_Europe" localSheetId="2">#REF!</definedName>
    <definedName name="Other_Europe_Sales" localSheetId="2">#REF!</definedName>
    <definedName name="Other_Europe_w" localSheetId="2">#REF!</definedName>
    <definedName name="Other_Expenses" localSheetId="2">#REF!</definedName>
    <definedName name="Other_Expenses_fore" localSheetId="2">#REF!</definedName>
    <definedName name="Other_expenses_gains" localSheetId="2">#REF!</definedName>
    <definedName name="Other_expenses_gains_fore" localSheetId="2">#REF!</definedName>
    <definedName name="Other_Financial_Assets" localSheetId="2">#REF!</definedName>
    <definedName name="Other_inc_exp_fore" localSheetId="2">#REF!</definedName>
    <definedName name="Other_Income" localSheetId="2">#REF!</definedName>
    <definedName name="Other_inflows" localSheetId="2">#REF!</definedName>
    <definedName name="Other_inflows">MODEL!$106:$106</definedName>
    <definedName name="Other_intangibles" localSheetId="2">#REF!</definedName>
    <definedName name="Other_intangibles">MODEL!$162:$162</definedName>
    <definedName name="Other_investing_cashflows" localSheetId="2">#REF!</definedName>
    <definedName name="Other_investing_cashflows">MODEL!$101:$101</definedName>
    <definedName name="Other_investments" localSheetId="2">#REF!</definedName>
    <definedName name="Other_LT_assets" localSheetId="2">#REF!</definedName>
    <definedName name="Other_non_current_assets" localSheetId="2">#REF!</definedName>
    <definedName name="Other_non_current_assets">MODEL!$171:$171</definedName>
    <definedName name="Other_non_current_liabilities" localSheetId="2">#REF!</definedName>
    <definedName name="Other_non_current_liabilities">MODEL!$188:$188</definedName>
    <definedName name="Other_operating">MODEL!$84:$84</definedName>
    <definedName name="Other_Provisions" localSheetId="2">#REF!</definedName>
    <definedName name="Other_receivables" localSheetId="2">#REF!</definedName>
    <definedName name="Other_receivables">MODEL!$146:$146</definedName>
    <definedName name="Other_Taxes" localSheetId="2">#REF!</definedName>
    <definedName name="Others" localSheetId="2">#REF!</definedName>
    <definedName name="OthFinInc" localSheetId="2">#REF!</definedName>
    <definedName name="OTIT" localSheetId="2">#REF!</definedName>
    <definedName name="p_00" localSheetId="2">#REF!</definedName>
    <definedName name="p_01" localSheetId="2">#REF!</definedName>
    <definedName name="p_02" localSheetId="2">#REF!</definedName>
    <definedName name="p_99" localSheetId="2">#REF!</definedName>
    <definedName name="P1_PARA" localSheetId="2">#REF!</definedName>
    <definedName name="P1LABEL" localSheetId="2">#REF!</definedName>
    <definedName name="PAGE1" localSheetId="2">#REF!</definedName>
    <definedName name="Page3" localSheetId="2">#REF!</definedName>
    <definedName name="Paid_tax" localSheetId="2">#REF!</definedName>
    <definedName name="Par_Value_C_Free" localSheetId="2">#REF!</definedName>
    <definedName name="Parent_Company_Dividend" localSheetId="2">#REF!</definedName>
    <definedName name="PAY.COGS00" localSheetId="2">#REF!</definedName>
    <definedName name="PAY.COGS97" localSheetId="2">#REF!</definedName>
    <definedName name="PAY.COGS98" localSheetId="2">#REF!</definedName>
    <definedName name="PAY.COGS99" localSheetId="2">#REF!</definedName>
    <definedName name="PD_ESTSPOT" localSheetId="2">#REF!</definedName>
    <definedName name="PD_ESTSPOT_L" localSheetId="2">#REF!</definedName>
    <definedName name="PDIT" localSheetId="2">#REF!</definedName>
    <definedName name="PDIT">MODEL!$187:$187</definedName>
    <definedName name="pe_00" localSheetId="2">#REF!</definedName>
    <definedName name="pe_01" localSheetId="2">#REF!</definedName>
    <definedName name="pe_02" localSheetId="2">#REF!</definedName>
    <definedName name="pe_99" localSheetId="2">#REF!</definedName>
    <definedName name="pe_av00" localSheetId="2">#REF!</definedName>
    <definedName name="pe_av01" localSheetId="2">#REF!</definedName>
    <definedName name="pe_av02" localSheetId="2">#REF!</definedName>
    <definedName name="pe_av99" localSheetId="2">#REF!</definedName>
    <definedName name="pe_s00" localSheetId="2">#REF!</definedName>
    <definedName name="pe_s01" localSheetId="2">#REF!</definedName>
    <definedName name="pe_s02" localSheetId="2">#REF!</definedName>
    <definedName name="pe_s99" localSheetId="2">#REF!</definedName>
    <definedName name="peer_comp_ratios" localSheetId="2">#REF!</definedName>
    <definedName name="peerfin" localSheetId="2">#REF!</definedName>
    <definedName name="Pension_Provisions" localSheetId="2">#REF!</definedName>
    <definedName name="PEPS94" localSheetId="2">#REF!</definedName>
    <definedName name="PEPS95" localSheetId="2">#REF!</definedName>
    <definedName name="PEPS96" localSheetId="2">#REF!</definedName>
    <definedName name="PEPS97" localSheetId="2">#REF!</definedName>
    <definedName name="per_00" localSheetId="2">#REF!</definedName>
    <definedName name="per_01" localSheetId="2">#REF!</definedName>
    <definedName name="per_02" localSheetId="2">#REF!</definedName>
    <definedName name="per_99" localSheetId="2">#REF!</definedName>
    <definedName name="percent_change" localSheetId="2">#REF!</definedName>
    <definedName name="PERCOS" localSheetId="2">#REF!</definedName>
    <definedName name="Perp_g" localSheetId="2">#REF!</definedName>
    <definedName name="Perp_Noplat" localSheetId="2">#REF!</definedName>
    <definedName name="Perp_ROIC" localSheetId="2">#REF!</definedName>
    <definedName name="PERSONNEL_ANALYSIS" localSheetId="2">#REF!</definedName>
    <definedName name="Personnel_Costs" localSheetId="2">#REF!</definedName>
    <definedName name="PL" localSheetId="2">#REF!</definedName>
    <definedName name="PL_AM" localSheetId="2">#REF!</definedName>
    <definedName name="PL_CG" localSheetId="2">#REF!</definedName>
    <definedName name="PL_CG_CT" localSheetId="2">#REF!</definedName>
    <definedName name="PL_CG_DS" localSheetId="2">#REF!</definedName>
    <definedName name="PL_CP" localSheetId="2">#REF!</definedName>
    <definedName name="PL_DAB" localSheetId="2">#REF!</definedName>
    <definedName name="PL_DE" localSheetId="2">#REF!</definedName>
    <definedName name="PL_DE_M" localSheetId="2">#REF!</definedName>
    <definedName name="PL_EBIT" localSheetId="2">#REF!</definedName>
    <definedName name="PL_EBIT_DS" localSheetId="2">#REF!</definedName>
    <definedName name="PL_EBIT_HS" localSheetId="2">#REF!</definedName>
    <definedName name="PL_EBIT_M" localSheetId="2">#REF!</definedName>
    <definedName name="PL_EBITDA" localSheetId="2">#REF!</definedName>
    <definedName name="PL_EBITDA_HS" localSheetId="2">#REF!</definedName>
    <definedName name="PL_EI_DS" localSheetId="2">#REF!</definedName>
    <definedName name="PL_EI_DS_M" localSheetId="2">#REF!</definedName>
    <definedName name="PL_EM_M" localSheetId="2">#REF!</definedName>
    <definedName name="PL_EN_AV" localSheetId="2">#REF!</definedName>
    <definedName name="PL_H1NP" localSheetId="2">#REF!</definedName>
    <definedName name="PL_H1P" localSheetId="2">#REF!</definedName>
    <definedName name="PL_H1R" localSheetId="2">#REF!</definedName>
    <definedName name="PL_IC_AS" localSheetId="2">#REF!</definedName>
    <definedName name="PL_IC_OT" localSheetId="2">#REF!</definedName>
    <definedName name="PL_IN" localSheetId="2">#REF!</definedName>
    <definedName name="PL_IN_HS" localSheetId="2">#REF!</definedName>
    <definedName name="PL_IN_PY" localSheetId="2">#REF!</definedName>
    <definedName name="PL_IN_RC" localSheetId="2">#REF!</definedName>
    <definedName name="PL_NE" localSheetId="2">#REF!</definedName>
    <definedName name="PL_NE_OD" localSheetId="2">#REF!</definedName>
    <definedName name="PL_NE_SD" localSheetId="2">#REF!</definedName>
    <definedName name="PL_NP" localSheetId="2">#REF!</definedName>
    <definedName name="PL_NP_DI" localSheetId="2">#REF!</definedName>
    <definedName name="PL_NP_HS" localSheetId="2">#REF!</definedName>
    <definedName name="PL_NP_MI" localSheetId="2">#REF!</definedName>
    <definedName name="PL_NP_OD" localSheetId="2">#REF!</definedName>
    <definedName name="PL_PAT" localSheetId="2">#REF!</definedName>
    <definedName name="PL_PAT_HS" localSheetId="2">#REF!</definedName>
    <definedName name="PL_PBT" localSheetId="2">#REF!</definedName>
    <definedName name="PL_PBT_HS" localSheetId="2">#REF!</definedName>
    <definedName name="PL_Q1NP" localSheetId="2">#REF!</definedName>
    <definedName name="PL_Q1P" localSheetId="2">#REF!</definedName>
    <definedName name="PL_Q1R" localSheetId="2">#REF!</definedName>
    <definedName name="PL_Q2NP" localSheetId="2">#REF!</definedName>
    <definedName name="PL_Q2P" localSheetId="2">#REF!</definedName>
    <definedName name="PL_Q2R" localSheetId="2">#REF!</definedName>
    <definedName name="PL_Q3NP" localSheetId="2">#REF!</definedName>
    <definedName name="PL_Q3P" localSheetId="2">#REF!</definedName>
    <definedName name="PL_Q3R" localSheetId="2">#REF!</definedName>
    <definedName name="PL_Q4NP" localSheetId="2">#REF!</definedName>
    <definedName name="PL_Q4P" localSheetId="2">#REF!</definedName>
    <definedName name="PL_Q4R" localSheetId="2">#REF!</definedName>
    <definedName name="PL_RP" localSheetId="2">#REF!</definedName>
    <definedName name="PL_RV" localSheetId="2">#REF!</definedName>
    <definedName name="PL_RV_CT" localSheetId="2">#REF!</definedName>
    <definedName name="PL_RV_DS" localSheetId="2">#REF!</definedName>
    <definedName name="PL_TE" localSheetId="2">#REF!</definedName>
    <definedName name="PL_TE_AE" localSheetId="2">#REF!</definedName>
    <definedName name="PL_TE_EI" localSheetId="2">#REF!</definedName>
    <definedName name="PL_TE_EI_M" localSheetId="2">#REF!</definedName>
    <definedName name="PL_TE_OL" localSheetId="2">#REF!</definedName>
    <definedName name="PL_TE_OP" localSheetId="2">#REF!</definedName>
    <definedName name="PL_TE_OT" localSheetId="2">#REF!</definedName>
    <definedName name="PL_TE_PD" localSheetId="2">#REF!</definedName>
    <definedName name="PL_TE_PE" localSheetId="2">#REF!</definedName>
    <definedName name="PL_TE_PF" localSheetId="2">#REF!</definedName>
    <definedName name="PL_TE_RC" localSheetId="2">#REF!</definedName>
    <definedName name="PL_TE_RD" localSheetId="2">#REF!</definedName>
    <definedName name="PL_TE_RM" localSheetId="2">#REF!</definedName>
    <definedName name="PL_TE_SC" localSheetId="2">#REF!</definedName>
    <definedName name="PL_TE_VC" localSheetId="2">#REF!</definedName>
    <definedName name="PL_TN" localSheetId="2">#REF!</definedName>
    <definedName name="PL_TN_HS" localSheetId="2">#REF!</definedName>
    <definedName name="PL_TX" localSheetId="2">#REF!</definedName>
    <definedName name="PL_TX_HS" localSheetId="2">#REF!</definedName>
    <definedName name="PLA" localSheetId="2">#REF!</definedName>
    <definedName name="Plant____Eqipment" localSheetId="2">#REF!</definedName>
    <definedName name="PLB_CI_RT" localSheetId="2">#REF!</definedName>
    <definedName name="PLB_T1_RT" localSheetId="2">#REF!</definedName>
    <definedName name="PLFULL" localSheetId="2">#REF!</definedName>
    <definedName name="PLI_RT_SV" localSheetId="2">#REF!</definedName>
    <definedName name="PLI_RV_NPW" localSheetId="2">#REF!</definedName>
    <definedName name="PLQ" localSheetId="2">#REF!</definedName>
    <definedName name="po" localSheetId="2">#REF!</definedName>
    <definedName name="PortfolioHeaderCell" localSheetId="2">#REF!</definedName>
    <definedName name="PortfolioListStartCell" localSheetId="2">#REF!</definedName>
    <definedName name="Post_tax_stock_gains_losses" localSheetId="2">#REF!</definedName>
    <definedName name="Pre_Tax__Profit" localSheetId="2">#REF!</definedName>
    <definedName name="Pre_tax_profit" localSheetId="2">#REF!</definedName>
    <definedName name="Pre_tax_profit">MODEL!$34:$34</definedName>
    <definedName name="Predicted" localSheetId="2">#REF!</definedName>
    <definedName name="Present_Value_Oper_lease" localSheetId="2">#REF!</definedName>
    <definedName name="Pretax_income" localSheetId="2">#REF!</definedName>
    <definedName name="Pretax_income_fore" localSheetId="2">#REF!</definedName>
    <definedName name="Pretax_profit" localSheetId="2">#REF!</definedName>
    <definedName name="Prev_EPSDPS" localSheetId="2">#REF!</definedName>
    <definedName name="Price_AsAt" localSheetId="2">#REF!</definedName>
    <definedName name="Price_Prim" localSheetId="2">#REF!</definedName>
    <definedName name="Price_Sec" localSheetId="2">#REF!</definedName>
    <definedName name="Price_Tert" localSheetId="2">#REF!</definedName>
    <definedName name="Pricerelative_12Month" localSheetId="2">#REF!</definedName>
    <definedName name="PriceRelative_1Month" localSheetId="2">#REF!</definedName>
    <definedName name="PriceRelative_3Month" localSheetId="2">#REF!</definedName>
    <definedName name="_xlnm.Print_Area" localSheetId="2">#REF!</definedName>
    <definedName name="_xlnm.Print_Area" localSheetId="3">MODEL!$B$1:$W$132</definedName>
    <definedName name="Print_Area_MI" localSheetId="2">#REF!</definedName>
    <definedName name="_xlnm.Print_Titles" localSheetId="2">#REF!</definedName>
    <definedName name="_xlnm.Print_Titles" localSheetId="3">MODEL!$B:$B,MODEL!$1:$2</definedName>
    <definedName name="pro_00" localSheetId="2">#REF!</definedName>
    <definedName name="pro_01" localSheetId="2">#REF!</definedName>
    <definedName name="pro_02" localSheetId="2">#REF!</definedName>
    <definedName name="pro_99" localSheetId="2">#REF!</definedName>
    <definedName name="Proceeds_of_New_Issue" localSheetId="2">#REF!</definedName>
    <definedName name="prodbkdwn" localSheetId="2">#REF!</definedName>
    <definedName name="Profit_aft_net_finance" localSheetId="2">#REF!</definedName>
    <definedName name="progs_00" localSheetId="2">#REF!</definedName>
    <definedName name="progs_01" localSheetId="2">#REF!</definedName>
    <definedName name="progs_02" localSheetId="2">#REF!</definedName>
    <definedName name="progs_99" localSheetId="2">#REF!</definedName>
    <definedName name="Projections_Source" localSheetId="2">#REF!</definedName>
    <definedName name="PROVBL" localSheetId="2">#REF!</definedName>
    <definedName name="PROVIS" localSheetId="2">#REF!</definedName>
    <definedName name="PT_ESTSPOT" localSheetId="2">#REF!</definedName>
    <definedName name="PT_ESTSPOT_L" localSheetId="2">#REF!</definedName>
    <definedName name="ptp" localSheetId="2">#REF!</definedName>
    <definedName name="Publish_From" localSheetId="2">#REF!</definedName>
    <definedName name="Publish_Until" localSheetId="2">#REF!</definedName>
    <definedName name="Purchases" localSheetId="2">#REF!</definedName>
    <definedName name="PVCF" localSheetId="2">DCF!$D$27</definedName>
    <definedName name="q" localSheetId="2" hidden="1">{"comps2",#N/A,FALSE,"AERO";"footnotes",#N/A,FALSE,"AERO"}</definedName>
    <definedName name="q" localSheetId="12" hidden="1">{"comps2",#N/A,FALSE,"AERO";"footnotes",#N/A,FALSE,"AERO"}</definedName>
    <definedName name="q" localSheetId="7" hidden="1">{"comps2",#N/A,FALSE,"AERO";"footnotes",#N/A,FALSE,"AERO"}</definedName>
    <definedName name="q" hidden="1">{"comps2",#N/A,FALSE,"AERO";"footnotes",#N/A,FALSE,"AERO"}</definedName>
    <definedName name="Q1_87" localSheetId="2">#REF!</definedName>
    <definedName name="Q1_88" localSheetId="2">#REF!</definedName>
    <definedName name="Q1_89" localSheetId="2">#REF!</definedName>
    <definedName name="Q1_90" localSheetId="2">#REF!</definedName>
    <definedName name="Q1_91" localSheetId="2">#REF!</definedName>
    <definedName name="Q1_92" localSheetId="2">#REF!</definedName>
    <definedName name="Q1_93" localSheetId="2">#REF!</definedName>
    <definedName name="Q1_94" localSheetId="2">#REF!</definedName>
    <definedName name="q1_99" localSheetId="2">#REF!</definedName>
    <definedName name="Q104_STR" localSheetId="2">#REF!</definedName>
    <definedName name="q197_rev" localSheetId="2">#REF!</definedName>
    <definedName name="q198_ni" localSheetId="2">#REF!</definedName>
    <definedName name="q198_rev" localSheetId="2">#REF!</definedName>
    <definedName name="q198_shares" localSheetId="2">#REF!</definedName>
    <definedName name="q199_ni" localSheetId="2">#REF!</definedName>
    <definedName name="q199_rev" localSheetId="2">#REF!</definedName>
    <definedName name="q199_shares" localSheetId="2">#REF!</definedName>
    <definedName name="Q2_86" localSheetId="2">#REF!</definedName>
    <definedName name="Q2_87" localSheetId="2">#REF!</definedName>
    <definedName name="Q2_88" localSheetId="2">#REF!</definedName>
    <definedName name="Q2_89" localSheetId="2">#REF!</definedName>
    <definedName name="Q2_90" localSheetId="2">#REF!</definedName>
    <definedName name="Q2_91" localSheetId="2">#REF!</definedName>
    <definedName name="Q2_92" localSheetId="2">#REF!</definedName>
    <definedName name="Q2_93" localSheetId="2">#REF!</definedName>
    <definedName name="Q2_94" localSheetId="2">#REF!</definedName>
    <definedName name="q2_99" localSheetId="2">#REF!</definedName>
    <definedName name="q297_rev" localSheetId="2">#REF!</definedName>
    <definedName name="q298_ni" localSheetId="2">#REF!</definedName>
    <definedName name="q298_rev" localSheetId="2">#REF!</definedName>
    <definedName name="q298_shares" localSheetId="2">#REF!</definedName>
    <definedName name="q299_ni" localSheetId="2">#REF!</definedName>
    <definedName name="q299_rev" localSheetId="2">#REF!</definedName>
    <definedName name="q299_shares" localSheetId="2">#REF!</definedName>
    <definedName name="Q3_86" localSheetId="2">#REF!</definedName>
    <definedName name="Q3_87" localSheetId="2">#REF!</definedName>
    <definedName name="Q3_88" localSheetId="2">#REF!</definedName>
    <definedName name="Q3_89" localSheetId="2">#REF!</definedName>
    <definedName name="Q3_90" localSheetId="2">#REF!</definedName>
    <definedName name="Q3_91" localSheetId="2">#REF!</definedName>
    <definedName name="Q3_92" localSheetId="2">#REF!</definedName>
    <definedName name="Q3_93" localSheetId="2">#REF!</definedName>
    <definedName name="Q3_94" localSheetId="2">#REF!</definedName>
    <definedName name="q3_99" localSheetId="2">#REF!</definedName>
    <definedName name="q397_rev" localSheetId="2">#REF!</definedName>
    <definedName name="q398_ni" localSheetId="2">#REF!</definedName>
    <definedName name="q398_rev" localSheetId="2">#REF!</definedName>
    <definedName name="q398_shares" localSheetId="2">#REF!</definedName>
    <definedName name="q399_ni" localSheetId="2">#REF!</definedName>
    <definedName name="q399_rev" localSheetId="2">#REF!</definedName>
    <definedName name="q399_shares" localSheetId="2">#REF!</definedName>
    <definedName name="Q4_86" localSheetId="2">#REF!</definedName>
    <definedName name="Q4_87" localSheetId="2">#REF!</definedName>
    <definedName name="Q4_88" localSheetId="2">#REF!</definedName>
    <definedName name="Q4_89" localSheetId="2">#REF!</definedName>
    <definedName name="Q4_90" localSheetId="2">#REF!</definedName>
    <definedName name="Q4_91" localSheetId="2">#REF!</definedName>
    <definedName name="Q4_92" localSheetId="2">#REF!</definedName>
    <definedName name="Q4_93" localSheetId="2">#REF!</definedName>
    <definedName name="Q4_94" localSheetId="2">#REF!</definedName>
    <definedName name="q4_99" localSheetId="2">#REF!</definedName>
    <definedName name="q497_rev" localSheetId="2">#REF!</definedName>
    <definedName name="q498_ni" localSheetId="2">#REF!</definedName>
    <definedName name="q498_rev" localSheetId="2">#REF!</definedName>
    <definedName name="q498_shares" localSheetId="2">#REF!</definedName>
    <definedName name="q499_ni" localSheetId="2">#REF!</definedName>
    <definedName name="q499_rev" localSheetId="2">#REF!</definedName>
    <definedName name="q499_shares" localSheetId="2">#REF!</definedName>
    <definedName name="Qdiv4" localSheetId="2">#REF!</definedName>
    <definedName name="qpl" localSheetId="2">#REF!</definedName>
    <definedName name="qpl_pg1" localSheetId="2">#REF!</definedName>
    <definedName name="qpl_pg2" localSheetId="2">#REF!</definedName>
    <definedName name="QRATIO00" localSheetId="2">#REF!</definedName>
    <definedName name="QRATIO97" localSheetId="2">#REF!</definedName>
    <definedName name="QRATIO98" localSheetId="2">#REF!</definedName>
    <definedName name="QRATIO99" localSheetId="2">#REF!</definedName>
    <definedName name="QTR86_87" localSheetId="2">#REF!</definedName>
    <definedName name="QTR88_89" localSheetId="2">#REF!</definedName>
    <definedName name="QTR90_91" localSheetId="2">#REF!</definedName>
    <definedName name="QTRNAME" localSheetId="2">#REF!</definedName>
    <definedName name="Quarter" localSheetId="2">OFFSET(#REF!,0,0,COUNTA(#REF!),1)</definedName>
    <definedName name="QUARTERLY" localSheetId="2">#REF!</definedName>
    <definedName name="Quarters" localSheetId="2">#REF!</definedName>
    <definedName name="Quoted_investments" localSheetId="2">#REF!</definedName>
    <definedName name="qwq" localSheetId="2" hidden="1">{"AT","COMPANIES",TRUE}</definedName>
    <definedName name="qwq" localSheetId="12" hidden="1">{"AT","COMPANIES",TRUE}</definedName>
    <definedName name="qwq" localSheetId="7" hidden="1">{"AT","COMPANIES",TRUE}</definedName>
    <definedName name="qwq" hidden="1">{"AT","COMPANIES",TRUE}</definedName>
    <definedName name="qwqwqw" localSheetId="2" hidden="1">{"AT","COMPANIES",TRUE}</definedName>
    <definedName name="qwqwqw" localSheetId="12" hidden="1">{"AT","COMPANIES",TRUE}</definedName>
    <definedName name="qwqwqw" localSheetId="7" hidden="1">{"AT","COMPANIES",TRUE}</definedName>
    <definedName name="qwqwqw" hidden="1">{"AT","COMPANIES",TRUE}</definedName>
    <definedName name="R_D" localSheetId="2">#REF!</definedName>
    <definedName name="R_D_amort_years" localSheetId="2">#REF!</definedName>
    <definedName name="R_D_Amortization" localSheetId="2">#REF!</definedName>
    <definedName name="R_D_expense" localSheetId="2">#REF!</definedName>
    <definedName name="range" localSheetId="2">#REF!</definedName>
    <definedName name="RangeX" localSheetId="2">#REF!,#REF!,#REF!,#REF!,#REF!,#REF!,#REF!,#REF!,#REF!,#REF!,#REF!,#REF!,#REF!,#REF!</definedName>
    <definedName name="RAT86_87" localSheetId="2">#REF!</definedName>
    <definedName name="RAT88_89" localSheetId="2">#REF!</definedName>
    <definedName name="RAT90_91" localSheetId="2">#REF!</definedName>
    <definedName name="RATA" localSheetId="2">#REF!</definedName>
    <definedName name="Rate" localSheetId="2">#REF!</definedName>
    <definedName name="RATEEPS1" localSheetId="2">#REF!</definedName>
    <definedName name="RATEEPS2" localSheetId="2">#REF!</definedName>
    <definedName name="RATERating" localSheetId="2">#REF!</definedName>
    <definedName name="RATETargetPrice" localSheetId="2">#REF!</definedName>
    <definedName name="Ratio" localSheetId="2">#REF!</definedName>
    <definedName name="RATIOANN" localSheetId="2">#REF!</definedName>
    <definedName name="RATIOFULL" localSheetId="2">#REF!</definedName>
    <definedName name="Ratios" localSheetId="2">#REF!</definedName>
    <definedName name="RATNAME" localSheetId="2">#REF!</definedName>
    <definedName name="RBOCs" localSheetId="2">#REF!</definedName>
    <definedName name="RDB_Upload_Status_RDBDataUpload" localSheetId="2">#REF!</definedName>
    <definedName name="RDB_Upload_Status_RDBDataUpload_1" localSheetId="2">#REF!</definedName>
    <definedName name="RDB_Upload_Status_RDBDataUpload_10" localSheetId="2">#REF!</definedName>
    <definedName name="RDB_Upload_Status_RDBDataUpload_11" localSheetId="2">#REF!</definedName>
    <definedName name="RDB_Upload_Status_RDBDataUpload_12" localSheetId="2">#REF!</definedName>
    <definedName name="RDB_Upload_Status_RDBDataUpload_13" localSheetId="2">#REF!</definedName>
    <definedName name="RDB_Upload_Status_RDBDataUpload_14" localSheetId="2">#REF!</definedName>
    <definedName name="RDB_Upload_Status_RDBDataUpload_15" localSheetId="2">#REF!</definedName>
    <definedName name="RDB_Upload_Status_RDBDataUpload_16" localSheetId="2">#REF!</definedName>
    <definedName name="RDB_Upload_Status_RDBDataUpload_17" localSheetId="2">#REF!</definedName>
    <definedName name="RDB_Upload_Status_RDBDataUpload_18" localSheetId="2">#REF!</definedName>
    <definedName name="RDB_Upload_Status_RDBDataUpload_2" localSheetId="2">#REF!</definedName>
    <definedName name="RDB_Upload_Status_RDBDataUpload_3" localSheetId="2">#REF!</definedName>
    <definedName name="RDB_Upload_Status_RDBDataUpload_4" localSheetId="2">#REF!</definedName>
    <definedName name="RDB_Upload_Status_RDBDataUpload_5" localSheetId="2">#REF!</definedName>
    <definedName name="RDB_Upload_Status_RDBDataUpload_6" localSheetId="2">#REF!</definedName>
    <definedName name="RDB_Upload_Status_RDBDataUpload_7" localSheetId="2">#REF!</definedName>
    <definedName name="RDB_Upload_Status_RDBDataUpload_8" localSheetId="2">#REF!</definedName>
    <definedName name="RDB_Upload_Status_RDBDataUpload_9" localSheetId="2">#REF!</definedName>
    <definedName name="RDBDataVariableCell" localSheetId="2">#REF!</definedName>
    <definedName name="RDBReportSpecCell" localSheetId="2">#REF!</definedName>
    <definedName name="RDBReportVersionCell" localSheetId="2">#REF!</definedName>
    <definedName name="RDBVariableInfo" localSheetId="2">#REF!</definedName>
    <definedName name="RDBVariableInfo_1" localSheetId="2">#REF!</definedName>
    <definedName name="RDBVariableInfo_10" localSheetId="2">#REF!</definedName>
    <definedName name="RDBVariableInfo_11" localSheetId="2">#REF!</definedName>
    <definedName name="RDBVariableInfo_12" localSheetId="2">#REF!</definedName>
    <definedName name="RDBVariableInfo_13" localSheetId="2">#REF!</definedName>
    <definedName name="RDBVariableInfo_14" localSheetId="2">#REF!</definedName>
    <definedName name="RDBVariableInfo_15" localSheetId="2">#REF!</definedName>
    <definedName name="RDBVariableInfo_2" localSheetId="2">#REF!</definedName>
    <definedName name="RDBVariableInfo_3" localSheetId="2">#REF!</definedName>
    <definedName name="RDBVariableInfo_4" localSheetId="2">#REF!</definedName>
    <definedName name="RDBVariableInfo_5" localSheetId="2">#REF!</definedName>
    <definedName name="RDBVariableInfo_6" localSheetId="2">#REF!</definedName>
    <definedName name="RDBVariableInfo_7" localSheetId="2">#REF!</definedName>
    <definedName name="RDBVariableInfo_8" localSheetId="2">#REF!</definedName>
    <definedName name="RDBVariableInfo_9" localSheetId="2">#REF!</definedName>
    <definedName name="REC.SALE00" localSheetId="2">#REF!</definedName>
    <definedName name="REC.SALE97" localSheetId="2">#REF!</definedName>
    <definedName name="REC.SALE98" localSheetId="2">#REF!</definedName>
    <definedName name="REC.SALE99" localSheetId="2">#REF!</definedName>
    <definedName name="Receivable" localSheetId="2">#REF!</definedName>
    <definedName name="Receivables" localSheetId="2">#REF!</definedName>
    <definedName name="Recommendation" localSheetId="2">#REF!</definedName>
    <definedName name="REGIONAL_AC" localSheetId="2">#REF!</definedName>
    <definedName name="REPORTED_PRETAX_PROFIT" localSheetId="2">#REF!</definedName>
    <definedName name="Reserves" localSheetId="2">#REF!</definedName>
    <definedName name="Reserves">MODEL!$195:$195</definedName>
    <definedName name="Restricted_equity" localSheetId="2">#REF!</definedName>
    <definedName name="Restructuring" localSheetId="2">#REF!</definedName>
    <definedName name="Retained_profits" localSheetId="2">#REF!</definedName>
    <definedName name="Retained_profits">MODEL!$196:$196</definedName>
    <definedName name="Reuters_REDD" localSheetId="2">#REF!</definedName>
    <definedName name="Reuters_RIC" localSheetId="2">#REF!</definedName>
    <definedName name="REV_2Q" localSheetId="2">#REF!</definedName>
    <definedName name="Revenue" localSheetId="2">#REF!</definedName>
    <definedName name="right_border" localSheetId="2">#REF!</definedName>
    <definedName name="Risk_Premium" localSheetId="2">#REF!</definedName>
    <definedName name="RnD_expense_fore" localSheetId="2">#REF!</definedName>
    <definedName name="rng1991MDecLIR00033" localSheetId="2">#REF!</definedName>
    <definedName name="rng1991YDecLIR00034" localSheetId="2">#REF!</definedName>
    <definedName name="rng1991YDecLIR00035" localSheetId="2">#REF!,#REF!,#REF!</definedName>
    <definedName name="rng1992MDecLIR00032" localSheetId="2">#REF!</definedName>
    <definedName name="rng1992YDecLIR00031" localSheetId="2">#REF!</definedName>
    <definedName name="rng1992YDecLIR00036" localSheetId="2">#REF!,#REF!,#REF!</definedName>
    <definedName name="rng1993MDecLIR00029" localSheetId="2">#REF!</definedName>
    <definedName name="rng1993YDecLIR00030" localSheetId="2">#REF!</definedName>
    <definedName name="rng1993YDecLIR00037" localSheetId="2">#REF!,#REF!,#REF!</definedName>
    <definedName name="rng1994MDecLIR00028" localSheetId="2">#REF!</definedName>
    <definedName name="rng1994YDecLIR00027" localSheetId="2">#REF!</definedName>
    <definedName name="rng1994YDecLIR00038" localSheetId="2">#REF!,#REF!,#REF!,#REF!</definedName>
    <definedName name="rng1995MDecLIR00025" localSheetId="2">#REF!</definedName>
    <definedName name="rng1995YDecLIR00026" localSheetId="2">#REF!</definedName>
    <definedName name="rng1995YDecLIR00039" localSheetId="2">#REF!,#REF!,#REF!</definedName>
    <definedName name="rng1996MDecLIR00024" localSheetId="2">#REF!</definedName>
    <definedName name="rng1996YDecLIR00022" localSheetId="2">#REF!</definedName>
    <definedName name="rng1996YDecLIR00023" localSheetId="2">#REF!</definedName>
    <definedName name="rng1996YDecLIR00040" localSheetId="2">#REF!,#REF!,#REF!,#REF!</definedName>
    <definedName name="rng1997MDecLIR00019" localSheetId="2">#REF!</definedName>
    <definedName name="rng1997YDecLIR00020" localSheetId="2">#REF!</definedName>
    <definedName name="rng1997YDecLIR00021" localSheetId="2">#REF!</definedName>
    <definedName name="rng1997YDecLIR00041" localSheetId="2">#REF!,#REF!,#REF!</definedName>
    <definedName name="rng1998MDecLIR00018" localSheetId="2">#REF!</definedName>
    <definedName name="rng1998YDecLIR00016" localSheetId="2">#REF!</definedName>
    <definedName name="rng1998YDecLIR00017" localSheetId="2">#REF!</definedName>
    <definedName name="rng1998YDecLIR00042" localSheetId="2">#REF!,#REF!,#REF!,#REF!</definedName>
    <definedName name="rng1999MDecLIR00013" localSheetId="2">#REF!</definedName>
    <definedName name="rng1999YDecLIR00014" localSheetId="2">#REF!</definedName>
    <definedName name="rng1999YDecLIR00015" localSheetId="2">#REF!</definedName>
    <definedName name="rng1999YDecLIR00043" localSheetId="2">#REF!,#REF!,#REF!,#REF!</definedName>
    <definedName name="rng2000MDecLIR00012" localSheetId="2">#REF!</definedName>
    <definedName name="rng2000YDecLIR00011" localSheetId="2">#REF!,#REF!</definedName>
    <definedName name="rng2000YDecLIR00044" localSheetId="2">#REF!,#REF!,#REF!,#REF!</definedName>
    <definedName name="roce_00" localSheetId="2">#REF!</definedName>
    <definedName name="roce_02" localSheetId="2">#REF!</definedName>
    <definedName name="roce_99" localSheetId="2">#REF!</definedName>
    <definedName name="roe_00" localSheetId="2">#REF!</definedName>
    <definedName name="roe_01" localSheetId="2">#REF!</definedName>
    <definedName name="roe_02" localSheetId="2">#REF!</definedName>
    <definedName name="roe_99" localSheetId="2">#REF!</definedName>
    <definedName name="ROIC2" localSheetId="2">#REF!</definedName>
    <definedName name="Rotork" localSheetId="2">#REF!</definedName>
    <definedName name="RoW" localSheetId="2">#REF!</definedName>
    <definedName name="RoW_w" localSheetId="2">#REF!</definedName>
    <definedName name="rowno" localSheetId="2">#REF!</definedName>
    <definedName name="RR" localSheetId="2">#REF!</definedName>
    <definedName name="Rwvu.Full_Year." localSheetId="2" hidden="1">#REF!,#REF!,#REF!,#REF!</definedName>
    <definedName name="Rwvu.Full_Year." localSheetId="5" hidden="1">#REF!,#REF!,#REF!,#REF!</definedName>
    <definedName name="Rwvu.Full_Year." hidden="1">#REF!,#REF!,#REF!,#REF!</definedName>
    <definedName name="s" localSheetId="2" hidden="1">{"IS",#N/A,FALSE,"IS";"RPTIS",#N/A,FALSE,"RPTIS";"STATS",#N/A,FALSE,"STATS";"CELL",#N/A,FALSE,"CELL";"BS",#N/A,FALSE,"BS"}</definedName>
    <definedName name="s_ce00" localSheetId="2">#REF!</definedName>
    <definedName name="s_ce01" localSheetId="2">#REF!</definedName>
    <definedName name="s_ce02" localSheetId="2">#REF!</definedName>
    <definedName name="S_CE97" localSheetId="2">#REF!</definedName>
    <definedName name="s_ce99" localSheetId="2">#REF!</definedName>
    <definedName name="S_M" localSheetId="2">#REF!</definedName>
    <definedName name="sa" localSheetId="2">#REF!</definedName>
    <definedName name="sal" localSheetId="2">#REF!</definedName>
    <definedName name="Sales" localSheetId="2">#REF!</definedName>
    <definedName name="Sales_classified" localSheetId="2">#REF!</definedName>
    <definedName name="Sales_classified">MODEL!$5:$5</definedName>
    <definedName name="Sales_learning">MODEL!$7:$7</definedName>
    <definedName name="sales_marketing" localSheetId="2">#REF!</definedName>
    <definedName name="SALES5YR00" localSheetId="2">#REF!</definedName>
    <definedName name="SALES5YR01" localSheetId="2">#REF!</definedName>
    <definedName name="SALES5YR02" localSheetId="2">#REF!</definedName>
    <definedName name="SALES5YR97" localSheetId="2">#REF!</definedName>
    <definedName name="SALES5YR98" localSheetId="2">#REF!</definedName>
    <definedName name="SALES5YR99" localSheetId="2">#REF!</definedName>
    <definedName name="Sandvik" localSheetId="2">#REF!</definedName>
    <definedName name="Scania" localSheetId="2">#REF!</definedName>
    <definedName name="Schneider" localSheetId="2">#REF!</definedName>
    <definedName name="Schroder_exceptionals" localSheetId="2">#REF!</definedName>
    <definedName name="Scrip_Adjusted_Net_DPS_C_Free" localSheetId="2">#REF!</definedName>
    <definedName name="Scrip_Adjusted_Net_DPS_Ordinary_Shares" localSheetId="2">#REF!</definedName>
    <definedName name="Scrip_Factor_C_Free" localSheetId="2">#REF!</definedName>
    <definedName name="Scrip_Factor_Ordinary_Shares" localSheetId="2">#REF!</definedName>
    <definedName name="sd" localSheetId="2">Sheet1</definedName>
    <definedName name="sds" localSheetId="2" hidden="1">{"Print Summary",#N/A,FALSE,"Bal_Graphs";"Print Summary",#N/A,FALSE,"DCF";"Print Summary",#N/A,FALSE,"Graphs";"Print Summary",#N/A,FALSE,"Summary"}</definedName>
    <definedName name="sds" hidden="1">{"Print Summary",#N/A,FALSE,"Bal_Graphs";"Print Summary",#N/A,FALSE,"DCF";"Print Summary",#N/A,FALSE,"Graphs";"Print Summary",#N/A,FALSE,"Summary"}</definedName>
    <definedName name="sdsds" localSheetId="2" hidden="1">{"PR1","pr1",TRUE,"Sch PR-1"}</definedName>
    <definedName name="sdsds" localSheetId="12" hidden="1">{"PR1","pr1",TRUE,"Sch PR-1"}</definedName>
    <definedName name="sdsds" localSheetId="7" hidden="1">{"PR1","pr1",TRUE,"Sch PR-1"}</definedName>
    <definedName name="sdsds" hidden="1">{"PR1","pr1",TRUE,"Sch PR-1"}</definedName>
    <definedName name="Sector" localSheetId="2">#REF!</definedName>
    <definedName name="Segment_Profit_Data" localSheetId="2">#REF!</definedName>
    <definedName name="Segment1_income" localSheetId="2">#REF!</definedName>
    <definedName name="Segment1_income_DCF" localSheetId="2">#REF!</definedName>
    <definedName name="Segment1_income_fore" localSheetId="2">#REF!</definedName>
    <definedName name="Segment2_income" localSheetId="2">#REF!</definedName>
    <definedName name="Segment2_income_DCF" localSheetId="2">#REF!</definedName>
    <definedName name="Segment2_income_fore" localSheetId="2">#REF!</definedName>
    <definedName name="Selling_and_Marketing_Rate" localSheetId="2">#REF!</definedName>
    <definedName name="sencount" hidden="1">1</definedName>
    <definedName name="Sensitivities.UpdateSensitivities" localSheetId="2">#N/A</definedName>
    <definedName name="Sensitivities.UpdateSensitivities">DCF!Sensitivities.UpdateSensitivities</definedName>
    <definedName name="SGA" localSheetId="2">#REF!</definedName>
    <definedName name="SGA_fore" localSheetId="2">#REF!</definedName>
    <definedName name="Share_based_payments" localSheetId="2">#REF!</definedName>
    <definedName name="Share_capital" localSheetId="2">#REF!</definedName>
    <definedName name="Share_capital">MODEL!$194:$194</definedName>
    <definedName name="SharePrice" localSheetId="2">#REF!</definedName>
    <definedName name="SharePriceEuro" localSheetId="2">#REF!</definedName>
    <definedName name="Shares_DCF" localSheetId="2">#REF!</definedName>
    <definedName name="Shares_fore" localSheetId="2">#REF!</definedName>
    <definedName name="Shares_growth" localSheetId="2">#REF!</definedName>
    <definedName name="Shares_issued" localSheetId="2">#REF!</definedName>
    <definedName name="Shares_issued">MODEL!$103:$103</definedName>
    <definedName name="SHARES00" localSheetId="2">#REF!</definedName>
    <definedName name="SHARES97" localSheetId="2">#REF!</definedName>
    <definedName name="SHARES98" localSheetId="2">#REF!</definedName>
    <definedName name="SHARES99" localSheetId="2">#REF!</definedName>
    <definedName name="Short_Term_Debt" localSheetId="2">#REF!</definedName>
    <definedName name="ShortTermRec" localSheetId="2">#REF!</definedName>
    <definedName name="SHPRICE_EST" localSheetId="2">#REF!</definedName>
    <definedName name="SHPRICE_EST_L" localSheetId="2">#REF!</definedName>
    <definedName name="SHRFULL" localSheetId="2">#REF!</definedName>
    <definedName name="SKF" localSheetId="2">#REF!</definedName>
    <definedName name="Smiths" localSheetId="2">#REF!</definedName>
    <definedName name="solver_adj" localSheetId="2" hidden="1">#REF!</definedName>
    <definedName name="solver_adj" hidden="1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hs1" hidden="1">#REF!</definedName>
    <definedName name="solver_lhs10" localSheetId="2" hidden="1">#REF!</definedName>
    <definedName name="solver_lhs10" hidden="1">#REF!</definedName>
    <definedName name="solver_lhs11" localSheetId="2" hidden="1">#REF!</definedName>
    <definedName name="solver_lhs11" hidden="1">#REF!</definedName>
    <definedName name="solver_lhs2" localSheetId="2" hidden="1">#REF!</definedName>
    <definedName name="solver_lhs2" hidden="1">#REF!</definedName>
    <definedName name="solver_lhs3" localSheetId="2" hidden="1">#REF!</definedName>
    <definedName name="solver_lhs3" hidden="1">#REF!</definedName>
    <definedName name="solver_lhs4" localSheetId="2" hidden="1">#REF!</definedName>
    <definedName name="solver_lhs4" hidden="1">#REF!</definedName>
    <definedName name="solver_lhs5" localSheetId="2" hidden="1">#REF!</definedName>
    <definedName name="solver_lhs5" hidden="1">#REF!</definedName>
    <definedName name="solver_lhs6" localSheetId="2" hidden="1">#REF!</definedName>
    <definedName name="solver_lhs6" hidden="1">#REF!</definedName>
    <definedName name="solver_lhs7" localSheetId="2" hidden="1">#REF!</definedName>
    <definedName name="solver_lhs7" hidden="1">#REF!</definedName>
    <definedName name="solver_lhs8" localSheetId="2" hidden="1">#REF!</definedName>
    <definedName name="solver_lhs8" hidden="1">#REF!</definedName>
    <definedName name="solver_lhs9" localSheetId="2" hidden="1">#REF!</definedName>
    <definedName name="solver_lhs9" hidden="1">#REF!</definedName>
    <definedName name="solver_lin" localSheetId="2" hidden="1">0</definedName>
    <definedName name="solver_lin" localSheetId="5" hidden="1">0</definedName>
    <definedName name="solver_lin" hidden="1">2</definedName>
    <definedName name="solver_neg" hidden="1">2</definedName>
    <definedName name="solver_num" localSheetId="2" hidden="1">0</definedName>
    <definedName name="solver_num" localSheetId="5" hidden="1">0</definedName>
    <definedName name="solver_num" hidden="1">1</definedName>
    <definedName name="solver_nwt" hidden="1">1</definedName>
    <definedName name="solver_opt" localSheetId="2" hidden="1">#REF!</definedName>
    <definedName name="solver_opt" localSheetId="5" hidden="1">#REF!</definedName>
    <definedName name="solver_opt" hidden="1">#REF!</definedName>
    <definedName name="solver_pre" hidden="1">0.000001</definedName>
    <definedName name="solver_rel1" hidden="1">2</definedName>
    <definedName name="solver_rel10" hidden="1">1</definedName>
    <definedName name="solver_rel11" hidden="1">3</definedName>
    <definedName name="solver_rel2" hidden="1">2</definedName>
    <definedName name="solver_rel3" hidden="1">2</definedName>
    <definedName name="solver_rel4" hidden="1">2</definedName>
    <definedName name="solver_rel5" hidden="1">1</definedName>
    <definedName name="solver_rel6" hidden="1">3</definedName>
    <definedName name="solver_rel7" hidden="1">2</definedName>
    <definedName name="solver_rel8" hidden="1">1</definedName>
    <definedName name="solver_rel9" hidden="1">3</definedName>
    <definedName name="solver_rhs1" hidden="1">#REF!</definedName>
    <definedName name="solver_rhs10" localSheetId="2" hidden="1">#REF!</definedName>
    <definedName name="solver_rhs10" hidden="1">#REF!</definedName>
    <definedName name="solver_rhs11" localSheetId="2" hidden="1">#REF!</definedName>
    <definedName name="solver_rhs11" hidden="1">#REF!</definedName>
    <definedName name="solver_rhs2" localSheetId="2" hidden="1">#REF!</definedName>
    <definedName name="solver_rhs2" hidden="1">#REF!</definedName>
    <definedName name="solver_rhs3" localSheetId="2" hidden="1">#REF!</definedName>
    <definedName name="solver_rhs3" hidden="1">#REF!</definedName>
    <definedName name="solver_rhs4" localSheetId="2" hidden="1">#REF!</definedName>
    <definedName name="solver_rhs4" hidden="1">#REF!</definedName>
    <definedName name="solver_rhs5" localSheetId="2" hidden="1">#REF!</definedName>
    <definedName name="solver_rhs5" hidden="1">#REF!</definedName>
    <definedName name="solver_rhs6" localSheetId="2" hidden="1">#REF!</definedName>
    <definedName name="solver_rhs6" hidden="1">#REF!</definedName>
    <definedName name="solver_rhs7" localSheetId="2" hidden="1">#REF!</definedName>
    <definedName name="solver_rhs7" hidden="1">#REF!</definedName>
    <definedName name="solver_rhs8" localSheetId="2" hidden="1">#REF!</definedName>
    <definedName name="solver_rhs8" hidden="1">#REF!</definedName>
    <definedName name="solver_rhs9" localSheetId="2" hidden="1">#REF!</definedName>
    <definedName name="solver_rhs9" hidden="1">#REF!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localSheetId="2" hidden="1">0.1076</definedName>
    <definedName name="solver_val" localSheetId="5" hidden="1">5.05</definedName>
    <definedName name="solver_val" hidden="1">1053</definedName>
    <definedName name="South_America" localSheetId="2">#REF!</definedName>
    <definedName name="South_America_w" localSheetId="2">#REF!</definedName>
    <definedName name="SPAPr.xls" localSheetId="2">#REF!</definedName>
    <definedName name="Spirax" localSheetId="2">#REF!</definedName>
    <definedName name="SPOT_DATE" localSheetId="2">#REF!</definedName>
    <definedName name="SPOT_DATE_L" localSheetId="2">#REF!</definedName>
    <definedName name="sqm00" localSheetId="2">#REF!</definedName>
    <definedName name="sssssss" localSheetId="2" hidden="1">{"PR1","pr1",TRUE,"Sch PR-1"}</definedName>
    <definedName name="sssssss" localSheetId="12" hidden="1">{"PR1","pr1",TRUE,"Sch PR-1"}</definedName>
    <definedName name="sssssss" localSheetId="7" hidden="1">{"PR1","pr1",TRUE,"Sch PR-1"}</definedName>
    <definedName name="sssssss" hidden="1">{"PR1","pr1",TRUE,"Sch PR-1"}</definedName>
    <definedName name="ST_Rec" localSheetId="2">#REF!</definedName>
    <definedName name="staCompareForecastCapE" localSheetId="2">#REF!</definedName>
    <definedName name="staCompareInterimCapE" localSheetId="2">#REF!</definedName>
    <definedName name="staCompareInvestCapE" localSheetId="2">#REF!</definedName>
    <definedName name="staCopySTRIPESCapE" localSheetId="2">#REF!</definedName>
    <definedName name="staCreateWorkbookCapE" localSheetId="2">#REF!</definedName>
    <definedName name="staDetermineAnalystCapE" localSheetId="2">#REF!</definedName>
    <definedName name="staDetermineIndustryCapE" localSheetId="2">#REF!</definedName>
    <definedName name="STAFF" localSheetId="2">#REF!</definedName>
    <definedName name="staFormatWorkbookCapE" localSheetId="2">#REF!</definedName>
    <definedName name="staQueryDBCapE" localSheetId="2">#REF!</definedName>
    <definedName name="staRetrieveCodeCapE" localSheetId="2">#REF!</definedName>
    <definedName name="staRetrieveCompanyCap" localSheetId="2">#REF!</definedName>
    <definedName name="staRetrieveCompanyCapE" localSheetId="2">#REF!</definedName>
    <definedName name="staRetrieveConsolCapE" localSheetId="2">#REF!</definedName>
    <definedName name="staRetrieveInvestCapE" localSheetId="2">#REF!</definedName>
    <definedName name="staRetrieveParentCapE" localSheetId="2">#REF!</definedName>
    <definedName name="staUpdateConsolCapE" localSheetId="2">#REF!</definedName>
    <definedName name="staUpdateDBCapE" localSheetId="2">#REF!</definedName>
    <definedName name="staUpdateForecastCapE" localSheetId="2">#REF!</definedName>
    <definedName name="staUpdateInterimCapE" localSheetId="2">#REF!</definedName>
    <definedName name="staUpdateInvestCapE" localSheetId="2">#REF!</definedName>
    <definedName name="staUpdateParentCapE" localSheetId="2">#REF!</definedName>
    <definedName name="staValidateDBCapE" localSheetId="2">#REF!</definedName>
    <definedName name="staValidateWorkbookCapE" localSheetId="2">#REF!</definedName>
    <definedName name="stores_00" localSheetId="2">#REF!</definedName>
    <definedName name="stores_90" localSheetId="2">#REF!</definedName>
    <definedName name="stores_91" localSheetId="2">#REF!</definedName>
    <definedName name="stores_92" localSheetId="2">#REF!</definedName>
    <definedName name="stores_93" localSheetId="2">#REF!</definedName>
    <definedName name="stores_94" localSheetId="2">#REF!</definedName>
    <definedName name="stores_95" localSheetId="2">#REF!</definedName>
    <definedName name="stores_96" localSheetId="2">#REF!</definedName>
    <definedName name="stores_97" localSheetId="2">#REF!</definedName>
    <definedName name="stores_98" localSheetId="2">#REF!</definedName>
    <definedName name="stores_99" localSheetId="2">#REF!</definedName>
    <definedName name="StoryCell" localSheetId="2">#REF!</definedName>
    <definedName name="StoryCells" localSheetId="2">#REF!</definedName>
    <definedName name="subdebt" localSheetId="2">#REF!</definedName>
    <definedName name="summary" localSheetId="2">#REF!</definedName>
    <definedName name="Supplemental_1" localSheetId="2">#REF!</definedName>
    <definedName name="Supplemental_2" localSheetId="2">#REF!</definedName>
    <definedName name="Supplemental_3" localSheetId="2">#REF!</definedName>
    <definedName name="Supplemental_4" localSheetId="2">#REF!</definedName>
    <definedName name="Svedala" localSheetId="2">#REF!</definedName>
    <definedName name="Sweden" localSheetId="2">#REF!</definedName>
    <definedName name="Sweden_w" localSheetId="2">#REF!</definedName>
    <definedName name="SymbolCheck" localSheetId="2">#REF!</definedName>
    <definedName name="tablea" localSheetId="2">#REF!</definedName>
    <definedName name="tablec" localSheetId="2">#REF!</definedName>
    <definedName name="Tangible_Assets" localSheetId="2">#REF!</definedName>
    <definedName name="Target_debt_to_capital" localSheetId="2">#REF!</definedName>
    <definedName name="Target_Price" localSheetId="2">#REF!</definedName>
    <definedName name="Tax_expense" localSheetId="2">#REF!</definedName>
    <definedName name="Tax_expense">MODEL!$35:$35</definedName>
    <definedName name="Tax_paid" localSheetId="2">#REF!</definedName>
    <definedName name="Tax_paid">MODEL!$87:$87</definedName>
    <definedName name="tax_rate">38%</definedName>
    <definedName name="Tax_Rate_for_Dividends_C_Free" localSheetId="2">#REF!</definedName>
    <definedName name="Tax_Rate_for_Dividends_Ordinary_Shares" localSheetId="2">#REF!</definedName>
    <definedName name="Taxes_paid" localSheetId="2">#REF!</definedName>
    <definedName name="Taxrate" localSheetId="2">#REF!</definedName>
    <definedName name="TAXRATE00" localSheetId="2">#REF!</definedName>
    <definedName name="TAXRATE97" localSheetId="2">#REF!</definedName>
    <definedName name="TAXRATE98" localSheetId="2">#REF!</definedName>
    <definedName name="TAXRATE99" localSheetId="2">#REF!</definedName>
    <definedName name="TD.E00" localSheetId="2">#REF!</definedName>
    <definedName name="TD.E97" localSheetId="2">#REF!</definedName>
    <definedName name="TD.E98" localSheetId="2">#REF!</definedName>
    <definedName name="TD.E99" localSheetId="2">#REF!</definedName>
    <definedName name="Television_licences_mastheads" localSheetId="2">#REF!</definedName>
    <definedName name="Television_licences_mastheads">MODEL!$165:$165</definedName>
    <definedName name="temp" localSheetId="2" hidden="1">{"Full annual",#N/A,FALSE,"Master"}</definedName>
    <definedName name="temp" localSheetId="12" hidden="1">{"Full annual",#N/A,FALSE,"Master"}</definedName>
    <definedName name="temp" localSheetId="7" hidden="1">{"Full annual",#N/A,FALSE,"Master"}</definedName>
    <definedName name="temp" hidden="1">{"Full annual",#N/A,FALSE,"Master"}</definedName>
    <definedName name="temp2" localSheetId="2" hidden="1">{"Full annual",#N/A,FALSE,"Master";"P and L halfyearly",#N/A,FALSE,"Master";"Underlying halfyearly",#N/A,FALSE,"Master"}</definedName>
    <definedName name="temp2" localSheetId="12" hidden="1">{"Full annual",#N/A,FALSE,"Master";"P and L halfyearly",#N/A,FALSE,"Master";"Underlying halfyearly",#N/A,FALSE,"Master"}</definedName>
    <definedName name="temp2" localSheetId="7" hidden="1">{"Full annual",#N/A,FALSE,"Master";"P and L halfyearly",#N/A,FALSE,"Master";"Underlying halfyearly",#N/A,FALSE,"Master"}</definedName>
    <definedName name="temp2" hidden="1">{"Full annual",#N/A,FALSE,"Master";"P and L halfyearly",#N/A,FALSE,"Master";"Underlying halfyearly",#N/A,FALSE,"Master"}</definedName>
    <definedName name="temp3" localSheetId="2" hidden="1">{"P and L halfyearly",#N/A,FALSE,"Master"}</definedName>
    <definedName name="temp3" localSheetId="12" hidden="1">{"P and L halfyearly",#N/A,FALSE,"Master"}</definedName>
    <definedName name="temp3" localSheetId="7" hidden="1">{"P and L halfyearly",#N/A,FALSE,"Master"}</definedName>
    <definedName name="temp3" hidden="1">{"P and L halfyearly",#N/A,FALSE,"Master"}</definedName>
    <definedName name="temp4" localSheetId="2" hidden="1">{"Underlying halfyearly",#N/A,FALSE,"Master"}</definedName>
    <definedName name="temp4" localSheetId="12" hidden="1">{"Underlying halfyearly",#N/A,FALSE,"Master"}</definedName>
    <definedName name="temp4" localSheetId="7" hidden="1">{"Underlying halfyearly",#N/A,FALSE,"Master"}</definedName>
    <definedName name="temp4" hidden="1">{"Underlying halfyearly",#N/A,FALSE,"Master"}</definedName>
    <definedName name="TEVMULT00" localSheetId="2">#REF!</definedName>
    <definedName name="TEVMULT97" localSheetId="2">#REF!</definedName>
    <definedName name="TEVMULT98" localSheetId="2">#REF!</definedName>
    <definedName name="TEVMULT99" localSheetId="2">#REF!</definedName>
    <definedName name="Text_1" localSheetId="2">#REF!</definedName>
    <definedName name="THS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THS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THSDLR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THSDLR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tias_00" localSheetId="2">#REF!</definedName>
    <definedName name="tias_01" localSheetId="2">#REF!</definedName>
    <definedName name="tias_02" localSheetId="2">#REF!</definedName>
    <definedName name="tias_99" localSheetId="2">#REF!</definedName>
    <definedName name="tias_av00" localSheetId="2">#REF!</definedName>
    <definedName name="tias_av01" localSheetId="2">#REF!</definedName>
    <definedName name="tias_av02" localSheetId="2">#REF!</definedName>
    <definedName name="tias_av99" localSheetId="2">#REF!</definedName>
    <definedName name="tias_s00" localSheetId="2">#REF!</definedName>
    <definedName name="tias_s01" localSheetId="2">#REF!</definedName>
    <definedName name="tias_s02" localSheetId="2">#REF!</definedName>
    <definedName name="TIas_S96" localSheetId="2">#REF!</definedName>
    <definedName name="tias_s99" localSheetId="2">#REF!</definedName>
    <definedName name="Tigr_Exhibit00fc01f6_dd6f_4b8b_b1fa_ebe4c893c88c" localSheetId="2" hidden="1">#REF!</definedName>
    <definedName name="Tigr_Exhibit00fc01f6_dd6f_4b8b_b1fa_ebe4c893c88c" hidden="1">#REF!</definedName>
    <definedName name="Tigr_Exhibit04a3efe3_ac64_4916_a1ef_3f550fe0ccd7" hidden="1">#REF!</definedName>
    <definedName name="Tigr_Exhibit064c8930_c173_4342_adb7_c3cd66c48ed0" localSheetId="2" hidden="1">#REF!</definedName>
    <definedName name="Tigr_Exhibit064c8930_c173_4342_adb7_c3cd66c48ed0" hidden="1">#REF!</definedName>
    <definedName name="Tigr_Exhibit07004af0_9d2d_41f1_a044_c6d0586815d6" localSheetId="2" hidden="1">#REF!</definedName>
    <definedName name="Tigr_Exhibit07004af0_9d2d_41f1_a044_c6d0586815d6" hidden="1">#REF!</definedName>
    <definedName name="Tigr_Exhibit07d01afe_901a_47ba_b972_5f6ad009c6ee" hidden="1">#REF!</definedName>
    <definedName name="Tigr_Exhibit083f81f5_5330_4e93_a4ef_eedfcc37338b" localSheetId="5" hidden="1">SOTP!$B$2:$E$31</definedName>
    <definedName name="Tigr_Exhibit086589f5_4fea_4dc7_8492_523a699dffa2" hidden="1">SOTP!#REF!</definedName>
    <definedName name="Tigr_Exhibit097f330e_2fe0_4627_87da_50ba326867e7" hidden="1">SOTP!$B$3:$E$11</definedName>
    <definedName name="Tigr_Exhibit0996f9f3_a6e9_46c7_b203_d2153e603a91" localSheetId="2" hidden="1">#REF!</definedName>
    <definedName name="Tigr_Exhibit0996f9f3_a6e9_46c7_b203_d2153e603a91" hidden="1">#REF!</definedName>
    <definedName name="Tigr_Exhibit0b377785_29fb_481a_8426_274c577a3aa8" hidden="1">#REF!</definedName>
    <definedName name="Tigr_Exhibit0dcc3c1b_93d2_4da4_85e4_2d6df8f9a4fe" hidden="1">'Earnings changes'!$C$2:$I$15</definedName>
    <definedName name="Tigr_Exhibit1233ddbb_0178_4f14_b962_ffbfe085a82b" localSheetId="2" hidden="1">DCF!#REF!</definedName>
    <definedName name="Tigr_Exhibit1233ddbb_0178_4f14_b962_ffbfe085a82b" hidden="1">#REF!</definedName>
    <definedName name="Tigr_Exhibit12f6778c_85fb_4a92_b775_15a2ae38b416" localSheetId="2" hidden="1">DCF!#REF!</definedName>
    <definedName name="Tigr_Exhibit12f6778c_85fb_4a92_b775_15a2ae38b416" hidden="1">#REF!</definedName>
    <definedName name="Tigr_Exhibit1593b087_a270_4535_ab3e_4da171aecf42" localSheetId="2" hidden="1">DCF!$A$49:$C$60</definedName>
    <definedName name="Tigr_Exhibit1593b087_a270_4535_ab3e_4da171aecf42" hidden="1">#REF!</definedName>
    <definedName name="Tigr_Exhibit16b0e94e_7733_40a6_9e07_1c6315e67348" hidden="1">SOTP!$B$3:$E$15</definedName>
    <definedName name="Tigr_Exhibit1841ef2f_4c99_4a57_94a3_58c9447c6770" hidden="1">#REF!</definedName>
    <definedName name="Tigr_Exhibit1a6ab05a_cc59_481d_b06d_1ddd1c7b8f18" localSheetId="2" hidden="1">#REF!</definedName>
    <definedName name="Tigr_Exhibit1a6ab05a_cc59_481d_b06d_1ddd1c7b8f18" hidden="1">#REF!</definedName>
    <definedName name="Tigr_Exhibit22288c81_bd47_48e7_8c32_30edec00b12c" localSheetId="2" hidden="1">DCF!$A$49:$C$55</definedName>
    <definedName name="Tigr_Exhibit22288c81_bd47_48e7_8c32_30edec00b12c" hidden="1">#REF!</definedName>
    <definedName name="Tigr_Exhibit227e5286_5106_4362_9849_7f820ec6c291" localSheetId="2" hidden="1">DCF!#REF!</definedName>
    <definedName name="Tigr_Exhibit227e5286_5106_4362_9849_7f820ec6c291" hidden="1">#REF!</definedName>
    <definedName name="Tigr_Exhibit23313fa7_2d96_4c9c_986e_415d18829d27" localSheetId="2" hidden="1">#REF!</definedName>
    <definedName name="Tigr_Exhibit23313fa7_2d96_4c9c_986e_415d18829d27" hidden="1">#REF!</definedName>
    <definedName name="Tigr_Exhibit25154419_a8ec_480e_9c09_a3e72f29c788" hidden="1">#REF!</definedName>
    <definedName name="Tigr_Exhibit267a05bd_1415_44b4_8d8b_3de8b9c03572" hidden="1">#REF!</definedName>
    <definedName name="Tigr_Exhibit2743dbf9_e1cd_4adf_b1a3_d4e14da3c5f1" hidden="1">#REF!</definedName>
    <definedName name="Tigr_Exhibit28b77046_b174_4ff1_b5cf_d1e86dbb682d" localSheetId="2" hidden="1">#REF!</definedName>
    <definedName name="Tigr_Exhibit28b77046_b174_4ff1_b5cf_d1e86dbb682d" hidden="1">#REF!</definedName>
    <definedName name="Tigr_Exhibit2b4eec20_5112_4090_9416_cfe9bc9ccbd6" localSheetId="2" hidden="1">#REF!</definedName>
    <definedName name="Tigr_Exhibit2b4eec20_5112_4090_9416_cfe9bc9ccbd6" hidden="1">#REF!</definedName>
    <definedName name="Tigr_Exhibit2b68c517_3ef4_4c8e_bb01_f4293ceae332" localSheetId="2" hidden="1">DCF!$A$49:$G$67</definedName>
    <definedName name="Tigr_Exhibit2b68c517_3ef4_4c8e_bb01_f4293ceae332" hidden="1">#REF!</definedName>
    <definedName name="Tigr_Exhibit2cfdf5cf_dea0_40ac_a5f3_7573cc9ce523" hidden="1">#REF!</definedName>
    <definedName name="Tigr_Exhibit2d338680_dbcf_452c_8d6e_6c305a228fe2" hidden="1">#REF!</definedName>
    <definedName name="Tigr_Exhibit2f2d04b3_6963_4f23_8755_0442b763b00e" hidden="1">#REF!</definedName>
    <definedName name="Tigr_Exhibit2f99f3c0_5e95_491d_aeb4_42232c9db6b6" localSheetId="2" hidden="1">#REF!</definedName>
    <definedName name="Tigr_Exhibit2f99f3c0_5e95_491d_aeb4_42232c9db6b6" hidden="1">#REF!</definedName>
    <definedName name="Tigr_Exhibit2fe63e05_ca99_4d36_9512_6f0cc73419eb" hidden="1">#REF!</definedName>
    <definedName name="Tigr_Exhibit348f432f_c4b9_4ea8_b0ec_e29f705d67c9" hidden="1">#REF!</definedName>
    <definedName name="Tigr_Exhibit35929fe9_d8ff_495e_b8ab_7dc17572c413" localSheetId="2" hidden="1">DCF!$A$97:$G$112</definedName>
    <definedName name="Tigr_Exhibit35929fe9_d8ff_495e_b8ab_7dc17572c413" hidden="1">#REF!</definedName>
    <definedName name="Tigr_Exhibit38a074db_523b_4387_83ee_5b2df5f112b8" hidden="1">#REF!</definedName>
    <definedName name="Tigr_Exhibit38a0b1e2_8b7e_4fce_bfe8_463e49ab58d5" hidden="1">#REF!</definedName>
    <definedName name="Tigr_Exhibit38d6cb48_d35f_4d8a_a62b_0834a6800fe5" hidden="1">#REF!</definedName>
    <definedName name="Tigr_Exhibit39ce3f96_ec72_48c6_930a_4a8095d5d5cf" hidden="1">#REF!</definedName>
    <definedName name="Tigr_Exhibit3cb1e20b_d9e9_4465_b7f1_7ce07446385d" hidden="1">#REF!</definedName>
    <definedName name="Tigr_Exhibit3d3f33dd_1955_44f8_a466_ff7d530600fb" localSheetId="2" hidden="1">#REF!</definedName>
    <definedName name="Tigr_Exhibit3d3f33dd_1955_44f8_a466_ff7d530600fb" hidden="1">#REF!</definedName>
    <definedName name="Tigr_Exhibit3d7af766_2b3e_4bd7_85a5_a4ab42d27fb6" localSheetId="2" hidden="1">#REF!</definedName>
    <definedName name="Tigr_Exhibit3d7af766_2b3e_4bd7_85a5_a4ab42d27fb6" hidden="1">#REF!</definedName>
    <definedName name="Tigr_Exhibit3e199742_8f6f_433c_9a87_4bd3edb2d32b" localSheetId="2" hidden="1">#REF!</definedName>
    <definedName name="Tigr_Exhibit3e199742_8f6f_433c_9a87_4bd3edb2d32b" hidden="1">#REF!</definedName>
    <definedName name="Tigr_Exhibit3e60e29d_96e2_4690_9a89_2e07ca3b3755" hidden="1">#REF!</definedName>
    <definedName name="Tigr_Exhibit40cf7839_f0bf_4ff8_b308_b10f1b7d854e" hidden="1">#REF!</definedName>
    <definedName name="Tigr_Exhibit4316b71e_07f4_4df7_b8dc_c2ffebe5670a" hidden="1">#REF!</definedName>
    <definedName name="Tigr_Exhibit4446f095_653d_4391_8bf6_52d60f65b3a3" hidden="1">#REF!</definedName>
    <definedName name="Tigr_Exhibit44f3820d_47e1_4212_9214_e887a3adaac9" localSheetId="2" hidden="1">DCF!$A$49:$G$56</definedName>
    <definedName name="Tigr_Exhibit44f3820d_47e1_4212_9214_e887a3adaac9" hidden="1">#REF!</definedName>
    <definedName name="Tigr_Exhibit45527601_c439_41cb_818e_dc41c8a47ddd" hidden="1">#REF!</definedName>
    <definedName name="Tigr_Exhibit46324a83_8e09_427a_8d4b_8aa02078bf1f" localSheetId="2" hidden="1">#REF!</definedName>
    <definedName name="Tigr_Exhibit46324a83_8e09_427a_8d4b_8aa02078bf1f" hidden="1">#REF!</definedName>
    <definedName name="Tigr_Exhibit46850850_9eb7_4694_965a_84b8fa173c38" localSheetId="2" hidden="1">DCF!$I$53:$O$77</definedName>
    <definedName name="Tigr_Exhibit46850850_9eb7_4694_965a_84b8fa173c38" hidden="1">#REF!</definedName>
    <definedName name="Tigr_Exhibit46b42880_de27_4016_a690_99d86805b967" localSheetId="2" hidden="1">#REF!</definedName>
    <definedName name="Tigr_Exhibit46b42880_de27_4016_a690_99d86805b967" hidden="1">#REF!</definedName>
    <definedName name="Tigr_Exhibit4700df85_28c4_4369_afa6_608136e8d7f0" localSheetId="2" hidden="1">DCF!$A$39:$G$56</definedName>
    <definedName name="Tigr_Exhibit4700df85_28c4_4369_afa6_608136e8d7f0" hidden="1">#REF!</definedName>
    <definedName name="Tigr_Exhibit4788f2d0_6d5c_46f7_8da1_9543045312b8" hidden="1">#REF!</definedName>
    <definedName name="Tigr_Exhibit57367902_1294_4f77_93da_efc36bb92947" localSheetId="5" hidden="1">SOTP!$B$3:$E$31</definedName>
    <definedName name="Tigr_Exhibit5a646ee0_f366_4f7f_8edb_ea1567b29d97" localSheetId="2" hidden="1">#REF!</definedName>
    <definedName name="Tigr_Exhibit5a646ee0_f366_4f7f_8edb_ea1567b29d97" hidden="1">#REF!</definedName>
    <definedName name="Tigr_Exhibit607bd8de_408c_4b12_b3b0_2d884134e2c5" hidden="1">#REF!</definedName>
    <definedName name="Tigr_Exhibit66019d8e_a762_469c_b121_7a96f0c9285d" hidden="1">#REF!</definedName>
    <definedName name="Tigr_Exhibit666cf527_bd89_48bd_88a2_61bca9a6767f" hidden="1">#REF!</definedName>
    <definedName name="Tigr_Exhibit67ac7994_e6ea_45bd_bbc2_dac44aefd618" hidden="1">#REF!</definedName>
    <definedName name="Tigr_Exhibit6845e41e_4383_492b_848a_e922820d010b" hidden="1">#REF!</definedName>
    <definedName name="Tigr_Exhibit6a796780_ad5a_46f7_b2ec_c49fae7bb727" hidden="1">#REF!</definedName>
    <definedName name="Tigr_Exhibit6da6695d_e721_4f01_8a20_3261e2269a26" hidden="1">SOTP!#REF!</definedName>
    <definedName name="Tigr_Exhibit7008bade_0432_4dc4_821f_64853ad48461" localSheetId="2" hidden="1">#REF!</definedName>
    <definedName name="Tigr_Exhibit7008bade_0432_4dc4_821f_64853ad48461" hidden="1">#REF!</definedName>
    <definedName name="Tigr_Exhibit709ab178_b051_4932_9785_5e9810ca96fc" hidden="1">#REF!</definedName>
    <definedName name="Tigr_Exhibit71ae2b03_c580_4f93_8c62_8f0aa607e2fd" localSheetId="2" hidden="1">#REF!</definedName>
    <definedName name="Tigr_Exhibit71ae2b03_c580_4f93_8c62_8f0aa607e2fd" hidden="1">#REF!</definedName>
    <definedName name="Tigr_Exhibit72b8e090_f76e_4efb_bd50_6558787a9e29" hidden="1">#REF!</definedName>
    <definedName name="Tigr_Exhibit7328e2a8_4c49_4700_8e82_a174bcaa29b2" hidden="1">#REF!</definedName>
    <definedName name="Tigr_Exhibit75197cf5_0bd9_4a2a_953a_78e6f93ff4b8" hidden="1">#REF!</definedName>
    <definedName name="Tigr_Exhibit78e75ed1_c229_454b_a152_5a70d94a9256" hidden="1">#REF!</definedName>
    <definedName name="Tigr_Exhibit7ac87595_8530_4bce_a0ee_8b4b6cc57329" hidden="1">'Earnings changes'!$B$1:$I$16</definedName>
    <definedName name="Tigr_Exhibit7afa5ec8_1d04_4b12_b02f_f2c8424c328a" localSheetId="2" hidden="1">#REF!</definedName>
    <definedName name="Tigr_Exhibit7afa5ec8_1d04_4b12_b02f_f2c8424c328a" hidden="1">#REF!</definedName>
    <definedName name="Tigr_Exhibit7b57ce60_1577_4239_a005_de2b763189d2" hidden="1">#REF!</definedName>
    <definedName name="Tigr_Exhibit7c23fe06_4f79_455e_b7b7_7eec4ea0417e" hidden="1">#REF!</definedName>
    <definedName name="Tigr_Exhibit7c793a49_9351_4068_8450_91eb7b1b9aa9" hidden="1">SOTP!$B$3:$E$16</definedName>
    <definedName name="Tigr_Exhibit7d0eb482_8063_4366_b446_b06a91113a02" hidden="1">#REF!</definedName>
    <definedName name="Tigr_Exhibit7ec6c09e_d544_4513_b876_499f84616f7e" hidden="1">SOTP!$B$3:$E$11</definedName>
    <definedName name="Tigr_Exhibit7efbd4df_61a3_4d85_98a6_f0299bece810" hidden="1">#REF!</definedName>
    <definedName name="Tigr_Exhibit7f2d16dd_4073_4aa0_ab01_3fe5d593cd0f" localSheetId="2" hidden="1">#REF!</definedName>
    <definedName name="Tigr_Exhibit7f2d16dd_4073_4aa0_ab01_3fe5d593cd0f" hidden="1">#REF!</definedName>
    <definedName name="Tigr_Exhibit8011c1d4_6073_47cb_be88_7b34535b9f69" hidden="1">#REF!</definedName>
    <definedName name="Tigr_Exhibit80131d86_06c4_4221_ac39_1453f0e04416" hidden="1">'Earnings changes'!$B$1:$W$16</definedName>
    <definedName name="Tigr_Exhibit80dc5f9c_8319_45ac_b5b3_1c17fb98efef" localSheetId="2" hidden="1">#REF!</definedName>
    <definedName name="Tigr_Exhibit80dc5f9c_8319_45ac_b5b3_1c17fb98efef" hidden="1">#REF!</definedName>
    <definedName name="Tigr_Exhibit811db113_5d24_4f82_befa_bdf3617f9f3a" localSheetId="2" hidden="1">#REF!</definedName>
    <definedName name="Tigr_Exhibit811db113_5d24_4f82_befa_bdf3617f9f3a" hidden="1">#REF!</definedName>
    <definedName name="Tigr_Exhibit814bf810_99f4_4474_a5f4_59b86074213e" localSheetId="2" hidden="1">DCF!$E$49:$G$67</definedName>
    <definedName name="Tigr_Exhibit814bf810_99f4_4474_a5f4_59b86074213e" hidden="1">#REF!</definedName>
    <definedName name="Tigr_Exhibit82f03bed_f29d_4a02_9ecf_abfb57ffec7a" hidden="1">#REF!</definedName>
    <definedName name="Tigr_Exhibit83488d40_63d2_43d5_879e_27955a1d2d87" localSheetId="2" hidden="1">DCF!#REF!</definedName>
    <definedName name="Tigr_Exhibit83488d40_63d2_43d5_879e_27955a1d2d87" hidden="1">#REF!</definedName>
    <definedName name="Tigr_Exhibit84da6cf7_1479_42c9_a956_8fc6c4f0b668" localSheetId="2" hidden="1">#REF!</definedName>
    <definedName name="Tigr_Exhibit84da6cf7_1479_42c9_a956_8fc6c4f0b668" hidden="1">#REF!</definedName>
    <definedName name="Tigr_Exhibit86011401_e2fe_473b_b0b1_6dec7243b23d" hidden="1">'Earnings changes'!$C$2:$W$15</definedName>
    <definedName name="Tigr_Exhibit86978400_ec8c_48d1_8806_b37c589af0ea" hidden="1">#REF!</definedName>
    <definedName name="Tigr_Exhibit883c80ae_d07e_465e_8f4e_b33c62a72eec" localSheetId="2" hidden="1">#REF!</definedName>
    <definedName name="Tigr_Exhibit883c80ae_d07e_465e_8f4e_b33c62a72eec" hidden="1">#REF!</definedName>
    <definedName name="Tigr_Exhibit8841863c_750d_4a1c_be80_35c6df7b976f" hidden="1">#REF!</definedName>
    <definedName name="Tigr_Exhibit8899801e_03b7_4308_a92c_6d4c2085ad7d" localSheetId="2" hidden="1">DCF!$E$41:$K$47</definedName>
    <definedName name="Tigr_Exhibit8899801e_03b7_4308_a92c_6d4c2085ad7d" hidden="1">#REF!</definedName>
    <definedName name="Tigr_Exhibit8e1b5988_1331_4526_91e3_954f7424b1d7" localSheetId="2" hidden="1">#REF!</definedName>
    <definedName name="Tigr_Exhibit8e1b5988_1331_4526_91e3_954f7424b1d7" hidden="1">#REF!</definedName>
    <definedName name="Tigr_Exhibit90073876_c255_4aa4_a79f_2c0a1f82586a" hidden="1">#REF!</definedName>
    <definedName name="Tigr_Exhibit9500c609_76e0_4252_b8e0_2d1fdfc6d3f8" localSheetId="2" hidden="1">#REF!</definedName>
    <definedName name="Tigr_Exhibit9500c609_76e0_4252_b8e0_2d1fdfc6d3f8" hidden="1">#REF!</definedName>
    <definedName name="Tigr_Exhibit95b745e5_92a9_4043_b769_327881f9e258" hidden="1">#REF!</definedName>
    <definedName name="Tigr_Exhibit9712f653_2576_479f_acfb_8ba779ef4594" localSheetId="2" hidden="1">DCF!$A$49:$C$59</definedName>
    <definedName name="Tigr_Exhibit9712f653_2576_479f_acfb_8ba779ef4594" hidden="1">#REF!</definedName>
    <definedName name="Tigr_Exhibit973a4be7_447b_4a09_8482_9cda0f7a51e1" localSheetId="5" hidden="1">SOTP!$B$2:$F$30</definedName>
    <definedName name="Tigr_Exhibit97ec2a43_c489_4d36_93e4_ae806193e922" hidden="1">#REF!</definedName>
    <definedName name="Tigr_Exhibit992b2e47_07e4_4ca4_a036_3f392e996e45" localSheetId="2" hidden="1">#REF!</definedName>
    <definedName name="Tigr_Exhibit992b2e47_07e4_4ca4_a036_3f392e996e45" hidden="1">#REF!</definedName>
    <definedName name="Tigr_Exhibit9bbc03a4_d3f3_4ee5_ba92_c46e96c2b632" hidden="1">#REF!</definedName>
    <definedName name="Tigr_Exhibit9e381a48_554b_41d2_aaf5_09ca60e2d254" localSheetId="2" hidden="1">DCF!$I$53:$O$78</definedName>
    <definedName name="Tigr_Exhibit9e381a48_554b_41d2_aaf5_09ca60e2d254" hidden="1">#REF!</definedName>
    <definedName name="Tigr_Exhibit9fc8e61e_d9c3_468a_9fd0_aa9684af3354" hidden="1">#REF!</definedName>
    <definedName name="Tigr_Exhibita012dfcd_48a6_4ec4_a3fc_728ffbabfb55" hidden="1">#REF!</definedName>
    <definedName name="Tigr_Exhibita111a88c_1165_4968_9561_e4716edc6966" hidden="1">SOTP!$B$3:$E$15</definedName>
    <definedName name="Tigr_Exhibita4879f05_1ebb_410e_81e9_d8e92b1b55e9" localSheetId="2" hidden="1">#REF!</definedName>
    <definedName name="Tigr_Exhibita4879f05_1ebb_410e_81e9_d8e92b1b55e9" hidden="1">#REF!</definedName>
    <definedName name="Tigr_Exhibita5277b4d_fb8d_47df_a7fc_108e03ecb335" localSheetId="2" hidden="1">#REF!</definedName>
    <definedName name="Tigr_Exhibita5277b4d_fb8d_47df_a7fc_108e03ecb335" hidden="1">#REF!</definedName>
    <definedName name="Tigr_Exhibita7083809_b568_4295_b464_53a61ccc8882" hidden="1">#REF!</definedName>
    <definedName name="Tigr_Exhibita76fe869_bfab_4f77_b06f_961371b046fd" hidden="1">SOTP!$B$3:$E$31</definedName>
    <definedName name="Tigr_Exhibita846b739_9618_486b_bc27_823b326a591a" hidden="1">SOTP!$B$3:$E$31</definedName>
    <definedName name="Tigr_Exhibita9ca8ead_dfaa_41cf_9977_a8e503c5af81" localSheetId="2" hidden="1">#REF!</definedName>
    <definedName name="Tigr_Exhibita9ca8ead_dfaa_41cf_9977_a8e503c5af81" hidden="1">#REF!</definedName>
    <definedName name="Tigr_Exhibitaa1c8d77_9c31_4230_bd3f_fe84e44275d8" localSheetId="2" hidden="1">#REF!</definedName>
    <definedName name="Tigr_Exhibitaa1c8d77_9c31_4230_bd3f_fe84e44275d8" hidden="1">#REF!</definedName>
    <definedName name="Tigr_Exhibitac6ffd5b_dc3f_479b_bc40_923880408045" localSheetId="5" hidden="1">SOTP!$B$2:$E$31</definedName>
    <definedName name="Tigr_Exhibitad491c46_9df9_4398_b2f4_a5721d67299b" localSheetId="2" hidden="1">#REF!</definedName>
    <definedName name="Tigr_Exhibitad491c46_9df9_4398_b2f4_a5721d67299b" hidden="1">#REF!</definedName>
    <definedName name="Tigr_Exhibitaf78c84e_48d5_4fac_8e6e_37bc88a4ea84" hidden="1">#REF!</definedName>
    <definedName name="Tigr_Exhibitb01be6a0_f455_40dc_a9c5_8640fc432bdd" localSheetId="2" hidden="1">#REF!</definedName>
    <definedName name="Tigr_Exhibitb01be6a0_f455_40dc_a9c5_8640fc432bdd" hidden="1">#REF!</definedName>
    <definedName name="Tigr_Exhibitb464719a_0277_48db_92a9_c241db90e9df" hidden="1">#REF!</definedName>
    <definedName name="Tigr_Exhibitb4c7f885_12b3_4aaf_b18b_c0ce264db632" hidden="1">'Earnings changes'!$B$1:$F$12</definedName>
    <definedName name="Tigr_Exhibitb5e97952_2f14_4470_99e5_e41f3561da13" hidden="1">#REF!</definedName>
    <definedName name="Tigr_Exhibitb60f4c92_e6ef_41ea_ac73_1652ff0c159b" localSheetId="5" hidden="1" xml:space="preserve">  SOTP!#REF!</definedName>
    <definedName name="Tigr_Exhibitb60f4c92_e6ef_41ea_ac73_1652ff0c159b" hidden="1">#REF!</definedName>
    <definedName name="Tigr_Exhibitb9b06890_d744_40d2_affc_e44b8dbca00a" hidden="1">#REF!</definedName>
    <definedName name="Tigr_Exhibitbaf4b0ae_243a_4897_853b_c9369e5a5233" hidden="1">#REF!</definedName>
    <definedName name="Tigr_Exhibitbdab03c8_fa8b_403f_8b7b_08b97c46d413" hidden="1">#REF!</definedName>
    <definedName name="Tigr_Exhibitbdfa3a28_bed2_4f79_93ca_fcd90061156b" hidden="1">#REF!</definedName>
    <definedName name="Tigr_Exhibitbebe4c3e_58b1_494f_91d3_1ca098cc3da7" hidden="1">#REF!</definedName>
    <definedName name="Tigr_Exhibitc055d7e4_8ddd_4f09_ad87_797ae39a0064" hidden="1">#REF!</definedName>
    <definedName name="Tigr_Exhibitc248df97_36e0_407c_9e7c_8da0536a306d" localSheetId="2" hidden="1">#REF!</definedName>
    <definedName name="Tigr_Exhibitc248df97_36e0_407c_9e7c_8da0536a306d" hidden="1">#REF!</definedName>
    <definedName name="Tigr_Exhibitc3bb0aef_1489_49b6_9c43_ada788eb3fa0" hidden="1">#REF!</definedName>
    <definedName name="Tigr_Exhibitc5c901d7_4876_4b0e_8977_76dc21408d98" localSheetId="2" hidden="1">#REF!</definedName>
    <definedName name="Tigr_Exhibitc5c901d7_4876_4b0e_8977_76dc21408d98" hidden="1">#REF!</definedName>
    <definedName name="Tigr_Exhibitc754335d_782d_4f05_8bcf_8f6f839fa5ef" hidden="1">#REF!</definedName>
    <definedName name="Tigr_Exhibitc8b9448c_7341_4329_93a9_cf735ba7e6dc" localSheetId="2" hidden="1">#REF!</definedName>
    <definedName name="Tigr_Exhibitc8b9448c_7341_4329_93a9_cf735ba7e6dc" hidden="1">#REF!</definedName>
    <definedName name="Tigr_Exhibitc92da33b_baf6_4b08_8d0a_e524b4974d15" hidden="1">#REF!</definedName>
    <definedName name="Tigr_Exhibitcdb42b8f_976b_489d_8bf9_47e2201e5f80" localSheetId="2" hidden="1">#REF!</definedName>
    <definedName name="Tigr_Exhibitcdb42b8f_976b_489d_8bf9_47e2201e5f80" hidden="1">#REF!</definedName>
    <definedName name="Tigr_Exhibitcff59dce_a15d_405b_9bca_5b43738d1aa1" hidden="1">#REF!</definedName>
    <definedName name="Tigr_Exhibitd0c06a4d_3fe0_46ef_8402_c3ffc39ef0aa" hidden="1">#REF!</definedName>
    <definedName name="Tigr_Exhibitd2137988_6395_4672_9a1f_a672da5bca1f" hidden="1">#REF!</definedName>
    <definedName name="Tigr_Exhibitd26abb30_25cc_466b_90b2_d83a0be27efd" hidden="1">#REF!</definedName>
    <definedName name="Tigr_Exhibitd3695c6f_028c_4279_9744_7c4b62d80ed3" localSheetId="2" hidden="1">#REF!</definedName>
    <definedName name="Tigr_Exhibitd3695c6f_028c_4279_9744_7c4b62d80ed3" hidden="1">#REF!</definedName>
    <definedName name="Tigr_Exhibitd5741cc4_de37_4097_817a_e7a31443723d" hidden="1">#REF!</definedName>
    <definedName name="Tigr_Exhibitd6fc1e24_87ab_4ca1_9ab5_3b5fcf3bfb68" localSheetId="2" hidden="1">#REF!</definedName>
    <definedName name="Tigr_Exhibitd6fc1e24_87ab_4ca1_9ab5_3b5fcf3bfb68" hidden="1">#REF!</definedName>
    <definedName name="Tigr_Exhibitd7164e13_0d4b_440b_a5a8_a1a51d45a1dc" localSheetId="2" hidden="1">DCF!$A$49:$C$58</definedName>
    <definedName name="Tigr_Exhibitd7164e13_0d4b_440b_a5a8_a1a51d45a1dc" hidden="1">#REF!</definedName>
    <definedName name="Tigr_Exhibitd747a2f4_c118_4175_bc12_e0d7df6e17a7" hidden="1">#REF!</definedName>
    <definedName name="Tigr_Exhibitd8eee010_321f_453c_b8cb_0d34695d14bf" hidden="1">#REF!</definedName>
    <definedName name="Tigr_Exhibitdb59ecf1_9935_425f_b375_e4b491c6b1d2" localSheetId="2" hidden="1">#REF!</definedName>
    <definedName name="Tigr_Exhibitdb59ecf1_9935_425f_b375_e4b491c6b1d2" hidden="1">#REF!</definedName>
    <definedName name="Tigr_Exhibitdbd36e4f_d76e_40ba_a5af_096383087f60" hidden="1">#REF!</definedName>
    <definedName name="Tigr_Exhibitde29a68a_6825_4e71_b69b_9d727e94c07a" localSheetId="5" hidden="1">SOTP!$B$2:$E$31</definedName>
    <definedName name="Tigr_Exhibite129df3e_7d78_4f10_a9ba_7f65e66cc324" hidden="1">#REF!</definedName>
    <definedName name="Tigr_Exhibite13c4a98_cf58_4a4e_a481_0011dc2c470b" localSheetId="5" hidden="1">SOTP!$B$2:$E$31</definedName>
    <definedName name="Tigr_Exhibite4a3423d_003e_4a40_adbe_4982f631af2a" hidden="1">#REF!</definedName>
    <definedName name="Tigr_Exhibite61c1597_fa29_47d4_89d2_6cbe083abcf6" localSheetId="2" hidden="1">#REF!</definedName>
    <definedName name="Tigr_Exhibite61c1597_fa29_47d4_89d2_6cbe083abcf6" hidden="1">#REF!</definedName>
    <definedName name="Tigr_Exhibite74ea819_f00e_476a_b218_3b7a7e937e57" hidden="1">#REF!</definedName>
    <definedName name="Tigr_Exhibitee3668e4_6eb5_41b2_aadc_53abe5daa0bc" hidden="1">#REF!</definedName>
    <definedName name="Tigr_Exhibitee3d6b7d_d941_4137_8902_fc7f5f9720d1" localSheetId="2" hidden="1">#REF!</definedName>
    <definedName name="Tigr_Exhibitee3d6b7d_d941_4137_8902_fc7f5f9720d1" hidden="1">#REF!</definedName>
    <definedName name="Tigr_Exhibitf6db11d2_ebce_4874_a53a_c579f7490ec8" hidden="1">#REF!</definedName>
    <definedName name="Tigr_Exhibitf7ae73fc_a5d0_4650_b1aa_36e3ad11552e" hidden="1">#REF!</definedName>
    <definedName name="Tigr_Exhibitfb3eecdd_004f_4697_8fc0_65933061dfc4" hidden="1">#REF!</definedName>
    <definedName name="Tigr_Exhibitfba8611c_1ba0_4e26_92f0_479b93176075" localSheetId="2" hidden="1">#REF!</definedName>
    <definedName name="Tigr_Exhibitfba8611c_1ba0_4e26_92f0_479b93176075" hidden="1">#REF!</definedName>
    <definedName name="Tigr_Exhibitfcbe5916_9d78_4306_8c17_5edfdf5f6abd" hidden="1">#REF!</definedName>
    <definedName name="Tigr_Exhibitfefa4c3a_9340_4911_aad1_dfb9a8f4c675" localSheetId="2" hidden="1">DCF!$F$87:$N$92</definedName>
    <definedName name="Tigr_Exhibitfefa4c3a_9340_4911_aad1_dfb9a8f4c675" hidden="1">#REF!</definedName>
    <definedName name="TM1Server" localSheetId="2">#REF!</definedName>
    <definedName name="Tomkins" localSheetId="2">#REF!</definedName>
    <definedName name="TOPO" hidden="1">#REF!</definedName>
    <definedName name="Total" localSheetId="2">OFFSET(#REF!,0,0,COUNTA(#REF!),1)</definedName>
    <definedName name="Total_Amortization" localSheetId="2">#REF!</definedName>
    <definedName name="Total_Amortization_fore" localSheetId="2">#REF!</definedName>
    <definedName name="total_assets" localSheetId="2">#REF!</definedName>
    <definedName name="total_assets">MODEL!$174:$174</definedName>
    <definedName name="Total_COS" localSheetId="2">#REF!</definedName>
    <definedName name="Total_COS_fore" localSheetId="2">#REF!</definedName>
    <definedName name="Total_current_assets" localSheetId="2">#REF!</definedName>
    <definedName name="Total_current_assets">MODEL!$150:$150</definedName>
    <definedName name="Total_current_liabilities" localSheetId="2">#REF!</definedName>
    <definedName name="Total_current_liabilities">MODEL!$182:$182</definedName>
    <definedName name="Total_debt" localSheetId="2">#REF!</definedName>
    <definedName name="Total_debt_DCF" localSheetId="2">#REF!</definedName>
    <definedName name="Total_debt_fore" localSheetId="2">#REF!</definedName>
    <definedName name="Total_equity" localSheetId="2">#REF!</definedName>
    <definedName name="Total_equity">MODEL!$198:$198</definedName>
    <definedName name="total_liabilities" localSheetId="2">#REF!</definedName>
    <definedName name="total_liabilities">MODEL!$191:$191</definedName>
    <definedName name="Total_Non_Current_Assets">MODEL!$172:$172</definedName>
    <definedName name="Total_operating_costs" localSheetId="2">#REF!</definedName>
    <definedName name="Total_operating_costs">MODEL!$18:$18</definedName>
    <definedName name="Total_operating_EBIT">MODEL!$30:$30</definedName>
    <definedName name="Total_operating_EBITDA" localSheetId="2">#REF!</definedName>
    <definedName name="Total_operating_EBITDA">MODEL!$24:$24</definedName>
    <definedName name="Total_sales" localSheetId="2">#REF!</definedName>
    <definedName name="Total_sales">MODEL!$8:$8</definedName>
    <definedName name="totdebt" localSheetId="2">#REF!</definedName>
    <definedName name="TPLATE_FUNCS.ValidPeriodFlag" localSheetId="2">#N/A</definedName>
    <definedName name="TPLATE_FUNCS.ValidPeriodFlag">DCF!TPLATE_FUNCS.ValidPeriodFlag</definedName>
    <definedName name="TPRICE" localSheetId="2">#REF!</definedName>
    <definedName name="TPROF" localSheetId="2">#REF!</definedName>
    <definedName name="Trade_creditors" localSheetId="2">#REF!</definedName>
    <definedName name="Trade_creditors">MODEL!$178:$178</definedName>
    <definedName name="Trade_debtors" localSheetId="2">#REF!</definedName>
    <definedName name="Trade_debtors">MODEL!$145:$145</definedName>
    <definedName name="Traffic" localSheetId="2">#REF!</definedName>
    <definedName name="trc_CFPSGROWTH5YR" localSheetId="2">#REF!</definedName>
    <definedName name="trc_CFPSGRWPRV5YR" localSheetId="2">#REF!</definedName>
    <definedName name="trc_CurFY" localSheetId="2">#REF!</definedName>
    <definedName name="trc_DIVGROWTH5YR" localSheetId="2">#REF!</definedName>
    <definedName name="trc_DIVGRWPRV5YR" localSheetId="2">#REF!</definedName>
    <definedName name="trc_DocID" localSheetId="2">#REF!</definedName>
    <definedName name="trc_EBITDAGROWTH5YR" localSheetId="2">#REF!</definedName>
    <definedName name="trc_EBITDAGRWPRV5YR" localSheetId="2">#REF!</definedName>
    <definedName name="trc_EBITNXT5" localSheetId="2">#REF!</definedName>
    <definedName name="trc_EBITPRV5" localSheetId="2">#REF!</definedName>
    <definedName name="trc_EPSGRWPRV5YR" localSheetId="2">#REF!</definedName>
    <definedName name="trc_Flavor" localSheetId="2">#REF!</definedName>
    <definedName name="trc_NETGROWTH5YR" localSheetId="2">#REF!</definedName>
    <definedName name="trc_NETGRWPRV5YR" localSheetId="2">#REF!</definedName>
    <definedName name="trc_QDType" localSheetId="2">#REF!</definedName>
    <definedName name="trc_RATING" localSheetId="2">#REF!</definedName>
    <definedName name="trc_ReleaseDate" localSheetId="2">#REF!</definedName>
    <definedName name="trc_REVGROWTH5YR" localSheetId="2">#REF!</definedName>
    <definedName name="trc_REVGRWPRV5YR" localSheetId="2">#REF!</definedName>
    <definedName name="trc_RISK" localSheetId="2">#REF!</definedName>
    <definedName name="trc_SHARESOUT" localSheetId="2">#REF!</definedName>
    <definedName name="trc_SHROUTGROWTH5YR" localSheetId="2">#REF!</definedName>
    <definedName name="trc_SHROUTGRWPRV5YR" localSheetId="2">#REF!</definedName>
    <definedName name="trc_submitter" localSheetId="2">#REF!</definedName>
    <definedName name="trc_submittername" localSheetId="2">#REF!</definedName>
    <definedName name="trc_TARGET" localSheetId="2">#REF!</definedName>
    <definedName name="trc_TemplateID" localSheetId="2">#REF!</definedName>
    <definedName name="trc_TEV" localSheetId="2">#REF!</definedName>
    <definedName name="trc_Ticker" localSheetId="2">#REF!</definedName>
    <definedName name="trc_Version" localSheetId="2">#REF!</definedName>
    <definedName name="trc_Y1COMMONEQ" localSheetId="2">#REF!</definedName>
    <definedName name="trc_Y1DILSHR" localSheetId="2">#REF!</definedName>
    <definedName name="trc_Y1DPS" localSheetId="2">#REF!</definedName>
    <definedName name="trc_Y1EBIT" localSheetId="2">#REF!</definedName>
    <definedName name="trc_Y1EBITDA" localSheetId="2">#REF!</definedName>
    <definedName name="trc_Y1FREE_CFPS" localSheetId="2">#REF!</definedName>
    <definedName name="trc_Y1LTDEBT" localSheetId="2">#REF!</definedName>
    <definedName name="trc_Y1NETINC" localSheetId="2">#REF!</definedName>
    <definedName name="trc_Y1Q1" localSheetId="2">#REF!</definedName>
    <definedName name="trc_Y1Q2" localSheetId="2">#REF!</definedName>
    <definedName name="trc_Y1Q3" localSheetId="2">#REF!</definedName>
    <definedName name="trc_Y1Q4" localSheetId="2">#REF!</definedName>
    <definedName name="trc_Y1REVENUE" localSheetId="2">#REF!</definedName>
    <definedName name="trc_Y1ROE" localSheetId="2">#REF!</definedName>
    <definedName name="trc_Y1TAXRATE" localSheetId="2">#REF!</definedName>
    <definedName name="trc_Y1Total" localSheetId="2">#REF!</definedName>
    <definedName name="trc_Y2" localSheetId="2">#REF!</definedName>
    <definedName name="trc_Y2COMMONEQ" localSheetId="2">#REF!</definedName>
    <definedName name="trc_Y2DILSHR" localSheetId="2">#REF!</definedName>
    <definedName name="trc_Y2DPS" localSheetId="2">#REF!</definedName>
    <definedName name="trc_Y2EBIT" localSheetId="2">#REF!</definedName>
    <definedName name="trc_Y2EBITDA" localSheetId="2">#REF!</definedName>
    <definedName name="trc_Y2FREE_CFPS" localSheetId="2">#REF!</definedName>
    <definedName name="trc_Y2LTDEBT" localSheetId="2">#REF!</definedName>
    <definedName name="trc_Y2NETINC" localSheetId="2">#REF!</definedName>
    <definedName name="trc_Y2Q1" localSheetId="2">#REF!</definedName>
    <definedName name="trc_Y2Q2" localSheetId="2">#REF!</definedName>
    <definedName name="trc_Y2Q3" localSheetId="2">#REF!</definedName>
    <definedName name="trc_Y2Q4" localSheetId="2">#REF!</definedName>
    <definedName name="trc_Y2REVENUE" localSheetId="2">#REF!</definedName>
    <definedName name="trc_Y2ROE" localSheetId="2">#REF!</definedName>
    <definedName name="trc_Y2TAXRATE" localSheetId="2">#REF!</definedName>
    <definedName name="trc_Y2Total" localSheetId="2">#REF!</definedName>
    <definedName name="trc_Y3" localSheetId="2">#REF!</definedName>
    <definedName name="trc_Y3COMMONEQ" localSheetId="2">#REF!</definedName>
    <definedName name="trc_Y3DILSHR" localSheetId="2">#REF!</definedName>
    <definedName name="trc_Y3DPS" localSheetId="2">#REF!</definedName>
    <definedName name="trc_Y3EBIT" localSheetId="2">#REF!</definedName>
    <definedName name="trc_Y3EBITDA" localSheetId="2">#REF!</definedName>
    <definedName name="trc_Y3FREE_CFPS" localSheetId="2">#REF!</definedName>
    <definedName name="trc_Y3LTDEBT" localSheetId="2">#REF!</definedName>
    <definedName name="trc_Y3NETINC" localSheetId="2">#REF!</definedName>
    <definedName name="trc_Y3Q1" localSheetId="2">#REF!</definedName>
    <definedName name="trc_Y3Q2" localSheetId="2">#REF!</definedName>
    <definedName name="trc_Y3Q3" localSheetId="2">#REF!</definedName>
    <definedName name="trc_Y3Q4" localSheetId="2">#REF!</definedName>
    <definedName name="trc_Y3REVENUE" localSheetId="2">#REF!</definedName>
    <definedName name="trc_Y3ROE" localSheetId="2">#REF!</definedName>
    <definedName name="trc_Y3TAXRATE" localSheetId="2">#REF!</definedName>
    <definedName name="trc_Y3Total" localSheetId="2">#REF!</definedName>
    <definedName name="trc_Y4" localSheetId="2">#REF!</definedName>
    <definedName name="trc_Y4COMMONEQ" localSheetId="2">#REF!</definedName>
    <definedName name="trc_Y4DILSHR" localSheetId="2">#REF!</definedName>
    <definedName name="trc_Y4DPS" localSheetId="2">#REF!</definedName>
    <definedName name="trc_Y4EBIT" localSheetId="2">#REF!</definedName>
    <definedName name="trc_Y4EBITDA" localSheetId="2">#REF!</definedName>
    <definedName name="trc_Y4FREE_CFPS" localSheetId="2">#REF!</definedName>
    <definedName name="trc_Y4LTDEBT" localSheetId="2">#REF!</definedName>
    <definedName name="trc_Y4NETINC" localSheetId="2">#REF!</definedName>
    <definedName name="trc_Y4Q1" localSheetId="2">#REF!</definedName>
    <definedName name="trc_Y4Q2" localSheetId="2">#REF!</definedName>
    <definedName name="trc_Y4Q3" localSheetId="2">#REF!</definedName>
    <definedName name="trc_Y4Q4" localSheetId="2">#REF!</definedName>
    <definedName name="trc_Y4REVENUE" localSheetId="2">#REF!</definedName>
    <definedName name="trc_Y4ROE" localSheetId="2">#REF!</definedName>
    <definedName name="trc_Y4TAXRATE" localSheetId="2">#REF!</definedName>
    <definedName name="trc_Y4Total" localSheetId="2">#REF!</definedName>
    <definedName name="trt" localSheetId="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trt" localSheetId="1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trt" localSheetId="7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trt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TTWOEPS1" localSheetId="2">#REF!</definedName>
    <definedName name="TTWOEPS2" localSheetId="2">#REF!</definedName>
    <definedName name="TTWORating" localSheetId="2">#REF!</definedName>
    <definedName name="TTWOTargetPrice" localSheetId="2">#REF!</definedName>
    <definedName name="TURN" localSheetId="2">#REF!</definedName>
    <definedName name="UBVPS" localSheetId="2">#REF!</definedName>
    <definedName name="UCEPS" localSheetId="2">#REF!</definedName>
    <definedName name="UEPS" localSheetId="2">#REF!</definedName>
    <definedName name="UK" localSheetId="2">#REF!</definedName>
    <definedName name="UK_w" localSheetId="2">#REF!</definedName>
    <definedName name="Ultra" localSheetId="2">#REF!</definedName>
    <definedName name="UMGHILO" localSheetId="2">#REF!</definedName>
    <definedName name="UMGLAST" localSheetId="2">#REF!</definedName>
    <definedName name="UMGNAME" localSheetId="2">#REF!</definedName>
    <definedName name="Unadjusted_Net_DPS_C_Free" localSheetId="2">#REF!</definedName>
    <definedName name="Unadjusted_Net_DPS_Ordinary_Shares" localSheetId="2">#REF!</definedName>
    <definedName name="UNDPSO" localSheetId="2">#REF!</definedName>
    <definedName name="UNDPSP" localSheetId="2">#REF!</definedName>
    <definedName name="Uniface" localSheetId="2">#REF!</definedName>
    <definedName name="Unify" localSheetId="2">#REF!</definedName>
    <definedName name="unisum" localSheetId="2">#REF!</definedName>
    <definedName name="Unrestricted_equity" localSheetId="2">#REF!</definedName>
    <definedName name="Untaxed_reserves" localSheetId="2">#REF!</definedName>
    <definedName name="upper_left2" localSheetId="2">#REF!</definedName>
    <definedName name="USDAUD_EST" localSheetId="2">#REF!</definedName>
    <definedName name="USDAUD_EST_L" localSheetId="2">#REF!</definedName>
    <definedName name="USDCAD_EST" localSheetId="2">#REF!</definedName>
    <definedName name="USDCAD_EST_L" localSheetId="2">#REF!</definedName>
    <definedName name="USDZAR_EST" localSheetId="2">#REF!</definedName>
    <definedName name="USDZAR_EST_L" localSheetId="2">#REF!</definedName>
    <definedName name="v" localSheetId="2" hidden="1">{"IS",#N/A,FALSE,"IS";"RPTIS",#N/A,FALSE,"RPTIS";"STATS",#N/A,FALSE,"STATS";"CELL",#N/A,FALSE,"CELL";"BS",#N/A,FALSE,"BS"}</definedName>
    <definedName name="v" localSheetId="12" hidden="1">{"IS",#N/A,FALSE,"IS";"RPTIS",#N/A,FALSE,"RPTIS";"STATS",#N/A,FALSE,"STATS";"CELL",#N/A,FALSE,"CELL";"BS",#N/A,FALSE,"BS"}</definedName>
    <definedName name="v" localSheetId="7" hidden="1">{"IS",#N/A,FALSE,"IS";"RPTIS",#N/A,FALSE,"RPTIS";"STATS",#N/A,FALSE,"STATS";"CELL",#N/A,FALSE,"CELL";"BS",#N/A,FALSE,"BS"}</definedName>
    <definedName name="v" hidden="1">{"IS",#N/A,FALSE,"IS";"RPTIS",#N/A,FALSE,"RPTIS";"STATS",#N/A,FALSE,"STATS";"CELL",#N/A,FALSE,"CELL";"BS",#N/A,FALSE,"BS"}</definedName>
    <definedName name="V_ALL_DHG.AX">#REF!</definedName>
    <definedName name="V_ALL_KEYWORDS_TYPE_ScalarContributed_EQTY_200014189" localSheetId="2">#REF!,#REF!,#REF!,#REF!,#REF!,#REF!,#REF!</definedName>
    <definedName name="V_ALL_KEYWORDS_TYPE_ScalarContributed_EQTY_200018121">#REF!,#REF!,#REF!,#REF!</definedName>
    <definedName name="V_ALL_KEYWORDS_TYPE_ScalarContributed_EQTY_200019464">#REF!,#REF!,#REF!,#REF!,#REF!,#REF!,#REF!</definedName>
    <definedName name="V_ALL_KEYWORDS_TYPE_ScalarContributed_EQTY_200019510">#REF!,#REF!,#REF!,#REF!,#REF!,#REF!,#REF!,#REF!</definedName>
    <definedName name="V_ALL_KEYWORDS_TYPE_ScalarContributed_EQTY_200021129">#REF!,#REF!,#REF!,#REF!,#REF!</definedName>
    <definedName name="V_ALL_KEYWORDS_TYPE_ScalarContributed_ISSR_208010870" localSheetId="2">#REF!,#REF!</definedName>
    <definedName name="V_ALL_KEYWORDS_TYPE_ScalarContributed_ISSR_208017931">#REF!,#REF!,#REF!</definedName>
    <definedName name="V_ALL_KEYWORDS_TYPE_ScalarContributed_ISSR_208017988">#REF!,#REF!,#REF!</definedName>
    <definedName name="V_ALL_KEYWORDS_TYPE_ScalarContributed_ISSR_208020452">#REF!,#REF!,#REF!</definedName>
    <definedName name="V_ALL_KEYWORDS_TYPE_Vector_EQTY_200014189" localSheetId="2">#REF!,#REF!,#REF!,#REF!,#REF!,#REF!,#REF!,#REF!,#REF!,#REF!,#REF!,#REF!,#REF!</definedName>
    <definedName name="V_ALL_KEYWORDS_TYPE_Vector_EQTY_200019464">#REF!,#REF!,#REF!,#REF!,#REF!,#REF!,#REF!,#REF!,#REF!,#REF!,#REF!,#REF!,#REF!</definedName>
    <definedName name="V_ALL_KEYWORDS_TYPE_Vector_EQTY_200019510">#REF!,#REF!,#REF!,#REF!,#REF!,#REF!,#REF!,#REF!,#REF!,#REF!,#REF!,#REF!,#REF!</definedName>
    <definedName name="V_ALL_KEYWORDS_TYPE_Vector_ISSR_208010870" localSheetId="2">#REF!,#REF!,#REF!,#REF!,#REF!,#REF!,#REF!,#REF!,#REF!,#REF!,#REF!,#REF!,#REF!,#REF!</definedName>
    <definedName name="V_ALL_KEYWORDS_TYPE_Vector_ISSR_208015408">#REF!,#REF!,#REF!,#REF!,#REF!,#REF!,#REF!,#REF!,#REF!,#REF!,#REF!,#REF!</definedName>
    <definedName name="V_ALL_KEYWORDS_TYPE_Vector_ISSR_208017931">#REF!,#REF!,#REF!,#REF!,#REF!,#REF!,#REF!,#REF!,#REF!,#REF!,#REF!,#REF!,#REF!,#REF!,#REF!,#REF!,#REF!,#REF!</definedName>
    <definedName name="V_ALL_KEYWORDS_TYPE_Vector_ISSR_208020452">#REF!,#REF!,#REF!,#REF!,#REF!,#REF!,#REF!,#REF!,#REF!,#REF!,#REF!,#REF!,#REF!</definedName>
    <definedName name="V_ALL_PYPL">#REF!</definedName>
    <definedName name="V_ALL_REA.AX" localSheetId="2">#REF!</definedName>
    <definedName name="V_ALL_SECTION_KEYWORDS_EQTY_200019510_13A">#REF!</definedName>
    <definedName name="V_ALL_SECTION_KEYWORDS_EQTY_200019510_13K">#REF!</definedName>
    <definedName name="V_ALL_SECTION_KEYWORDS_ISSR_208010870_136E" localSheetId="2">#REF!,#REF!</definedName>
    <definedName name="V_ALL_SECTION_KEYWORDS_ISSR_208010870_13A" localSheetId="2">#REF!,#REF!</definedName>
    <definedName name="V_ALL_SECTION_KEYWORDS_ISSR_208015408_13168">#REF!,#REF!</definedName>
    <definedName name="V_ALL_SECTION_KEYWORDS_ISSR_208015408_131O">#REF!,#REF!</definedName>
    <definedName name="V_ALL_SECTION_KEYWORDS_ISSR_208015408_136E">#REF!,#REF!</definedName>
    <definedName name="V_ALL_SECTION_KEYWORDS_ISSR_208015408_136J">#REF!,#REF!</definedName>
    <definedName name="V_ALL_SECTION_KEYWORDS_ISSR_208015408_13V">#REF!,#REF!</definedName>
    <definedName name="V_ALL_SECTION_KEYWORDS_ISSR_208017931_13V">#REF!,#REF!</definedName>
    <definedName name="V_ALL_SECTION_KEYWORDS_ISSR_208017988_1314">#REF!</definedName>
    <definedName name="V_ALL_SECTION_KEYWORDS_ISSR_208017988_1319">#REF!</definedName>
    <definedName name="V_ALL_SECTION_KEYWORDS_ISSR_208017988_131E">#REF!</definedName>
    <definedName name="V_ALL_SECTION_KEYWORDS_ISSR_208017988_13V">#REF!,#REF!</definedName>
    <definedName name="V_ALL_SECTION_KEYWORDS_ISSR_208020452_131O">#REF!,#REF!</definedName>
    <definedName name="V_ALL_SECTION_KEYWORDS_ISSR_208020452_13V">#REF!,#REF!</definedName>
    <definedName name="V_ALL_SECTIONS_EQTY_200014189" localSheetId="2">#REF!,#REF!,#REF!,#REF!,#REF!,#REF!,#REF!,#REF!,#REF!,#REF!,#REF!,#REF!,#REF!</definedName>
    <definedName name="V_ALL_WK">#REF!</definedName>
    <definedName name="V_ALL_WTC.AX">#REF!</definedName>
    <definedName name="V_ALL_ZUO">#REF!</definedName>
    <definedName name="va" localSheetId="2">#REF!</definedName>
    <definedName name="val_sum" localSheetId="2">#REF!</definedName>
    <definedName name="ValidRecom" localSheetId="2">#N/A</definedName>
    <definedName name="ValidRecom">DCF!ValidRecom</definedName>
    <definedName name="ValidSTerm" localSheetId="2">#N/A</definedName>
    <definedName name="ValidSTerm">DCF!ValidSTerm</definedName>
    <definedName name="Variation_in_other_provisions" localSheetId="2">#REF!</definedName>
    <definedName name="Variation_in_Pension_Provisions" localSheetId="2">#REF!</definedName>
    <definedName name="Variation_Special_reserve" localSheetId="2">#REF!</definedName>
    <definedName name="Version_Number" localSheetId="2">#REF!</definedName>
    <definedName name="Volvo" localSheetId="2">#REF!</definedName>
    <definedName name="w" localSheetId="2" hidden="1">{"IS",#N/A,FALSE,"IS";"RPTIS",#N/A,FALSE,"RPTIS";"STATS",#N/A,FALSE,"STATS";"CELL",#N/A,FALSE,"CELL";"BS",#N/A,FALSE,"BS"}</definedName>
    <definedName name="w" localSheetId="12" hidden="1">{"IS",#N/A,FALSE,"IS";"RPTIS",#N/A,FALSE,"RPTIS";"STATS",#N/A,FALSE,"STATS";"CELL",#N/A,FALSE,"CELL";"BS",#N/A,FALSE,"BS"}</definedName>
    <definedName name="w" localSheetId="7" hidden="1">{"IS",#N/A,FALSE,"IS";"RPTIS",#N/A,FALSE,"RPTIS";"STATS",#N/A,FALSE,"STATS";"CELL",#N/A,FALSE,"CELL";"BS",#N/A,FALSE,"BS"}</definedName>
    <definedName name="w" localSheetId="5" hidden="1">{"IS",#N/A,FALSE,"IS";"RPTIS",#N/A,FALSE,"RPTIS";"STATS",#N/A,FALSE,"STATS";"CELL",#N/A,FALSE,"CELL";"BS",#N/A,FALSE,"BS"}</definedName>
    <definedName name="w" hidden="1">{"IS",#N/A,FALSE,"IS";"RPTIS",#N/A,FALSE,"RPTIS";"STATS",#N/A,FALSE,"STATS";"CELL",#N/A,FALSE,"CELL";"BS",#N/A,FALSE,"BS"}</definedName>
    <definedName name="WACC" localSheetId="2">#REF!</definedName>
    <definedName name="WACC_option" localSheetId="2">#REF!</definedName>
    <definedName name="WACC_P" localSheetId="2">#REF!</definedName>
    <definedName name="WACC_P_1" localSheetId="2">#REF!</definedName>
    <definedName name="Wages_incl_soc.costs" localSheetId="2">#REF!</definedName>
    <definedName name="wc_00" localSheetId="2">#REF!</definedName>
    <definedName name="wc_01" localSheetId="2">#REF!</definedName>
    <definedName name="wc_02" localSheetId="2">#REF!</definedName>
    <definedName name="wc_99" localSheetId="2">#REF!</definedName>
    <definedName name="WC_CURRENT" localSheetId="2">#REF!</definedName>
    <definedName name="WC_CURRENT_L" localSheetId="2">#REF!</definedName>
    <definedName name="wc_s00" localSheetId="2">#REF!</definedName>
    <definedName name="wc_s01" localSheetId="2">#REF!</definedName>
    <definedName name="wc_s02" localSheetId="2">#REF!</definedName>
    <definedName name="wc_s99" localSheetId="2">#REF!</definedName>
    <definedName name="wcom" localSheetId="2" hidden="1">{"IS",#N/A,FALSE,"IS";"RPTIS",#N/A,FALSE,"RPTIS";"STATS",#N/A,FALSE,"STATS";"BS",#N/A,FALSE,"BS"}</definedName>
    <definedName name="wcom" localSheetId="12" hidden="1">{"IS",#N/A,FALSE,"IS";"RPTIS",#N/A,FALSE,"RPTIS";"STATS",#N/A,FALSE,"STATS";"BS",#N/A,FALSE,"BS"}</definedName>
    <definedName name="wcom" localSheetId="7" hidden="1">{"IS",#N/A,FALSE,"IS";"RPTIS",#N/A,FALSE,"RPTIS";"STATS",#N/A,FALSE,"STATS";"BS",#N/A,FALSE,"BS"}</definedName>
    <definedName name="wcom" localSheetId="5" hidden="1">{"IS",#N/A,FALSE,"IS";"RPTIS",#N/A,FALSE,"RPTIS";"STATS",#N/A,FALSE,"STATS";"BS",#N/A,FALSE,"BS"}</definedName>
    <definedName name="wcom" hidden="1">{"IS",#N/A,FALSE,"IS";"RPTIS",#N/A,FALSE,"RPTIS";"STATS",#N/A,FALSE,"STATS";"BS",#N/A,FALSE,"BS"}</definedName>
    <definedName name="Weeknumber" localSheetId="2">#REF!</definedName>
    <definedName name="win.gary" localSheetId="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localSheetId="1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localSheetId="7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n.gary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IZARD_AVERAGETRADINGVOLUME" localSheetId="2">#REF!</definedName>
    <definedName name="WIZARD_BOOKVALUEPERSHARE" localSheetId="2">#REF!</definedName>
    <definedName name="WIZARD_CURRENTRATING" localSheetId="2">#REF!</definedName>
    <definedName name="WIZARD_DATEOFSUBMISSION" localSheetId="2">#REF!</definedName>
    <definedName name="WIZARD_EARNINGS" localSheetId="2">#REF!</definedName>
    <definedName name="WIZARD_MARKETCAP" localSheetId="2">#REF!</definedName>
    <definedName name="WIZARD_REVENUES" localSheetId="2">#REF!</definedName>
    <definedName name="WIZARD_ROAE" localSheetId="2">#REF!</definedName>
    <definedName name="WIZARD_SECULARGROWTHRATE" localSheetId="2">#REF!</definedName>
    <definedName name="WIZARD_SHARESOUTSTANDING" localSheetId="2">#REF!</definedName>
    <definedName name="WIZARD_TICKER" localSheetId="2">#REF!</definedName>
    <definedName name="WIZARD_Y1CAPREVR" localSheetId="2">#REF!</definedName>
    <definedName name="WIZARD_Y1E" localSheetId="2">#REF!</definedName>
    <definedName name="WIZARD_Y1PEE" localSheetId="2">#REF!</definedName>
    <definedName name="WIZARD_Y1Q1E" localSheetId="2">#REF!</definedName>
    <definedName name="WIZARD_Y1Q1R" localSheetId="2">#REF!</definedName>
    <definedName name="WIZARD_Y1Q2E" localSheetId="2">#REF!</definedName>
    <definedName name="WIZARD_Y1Q2R" localSheetId="2">#REF!</definedName>
    <definedName name="WIZARD_Y1Q3E" localSheetId="2">#REF!</definedName>
    <definedName name="WIZARD_Y1Q3R" localSheetId="2">#REF!</definedName>
    <definedName name="WIZARD_Y1Q4E" localSheetId="2">#REF!</definedName>
    <definedName name="WIZARD_Y1Q4R" localSheetId="2">#REF!</definedName>
    <definedName name="WIZARD_Y1R" localSheetId="2">#REF!</definedName>
    <definedName name="WIZARD_Y1YEARE" localSheetId="2">#REF!</definedName>
    <definedName name="WIZARD_Y1YEARR" localSheetId="2">#REF!</definedName>
    <definedName name="WIZARD_Y2CAPREVR" localSheetId="2">#REF!</definedName>
    <definedName name="WIZARD_Y2E" localSheetId="2">#REF!</definedName>
    <definedName name="WIZARD_Y2PEE" localSheetId="2">#REF!</definedName>
    <definedName name="WIZARD_Y2Q1E" localSheetId="2">#REF!</definedName>
    <definedName name="WIZARD_Y2Q1R" localSheetId="2">#REF!</definedName>
    <definedName name="WIZARD_Y2Q2E" localSheetId="2">#REF!</definedName>
    <definedName name="WIZARD_Y2Q2R" localSheetId="2">#REF!</definedName>
    <definedName name="WIZARD_Y2Q3E" localSheetId="2">#REF!</definedName>
    <definedName name="WIZARD_Y2Q3R" localSheetId="2">#REF!</definedName>
    <definedName name="WIZARD_Y2Q4E" localSheetId="2">#REF!</definedName>
    <definedName name="WIZARD_Y2Q4R" localSheetId="2">#REF!</definedName>
    <definedName name="WIZARD_Y2R" localSheetId="2">#REF!</definedName>
    <definedName name="WIZARD_Y2YEARE" localSheetId="2">#REF!</definedName>
    <definedName name="WIZARD_Y2YEARR" localSheetId="2">#REF!</definedName>
    <definedName name="WIZARD_Y3CAPREVR" localSheetId="2">#REF!</definedName>
    <definedName name="WIZARD_Y3CYE" localSheetId="2">#REF!</definedName>
    <definedName name="WIZARD_Y3E" localSheetId="2">#REF!</definedName>
    <definedName name="WIZARD_Y3PEE" localSheetId="2">#REF!</definedName>
    <definedName name="WIZARD_Y3Q1E" localSheetId="2">#REF!</definedName>
    <definedName name="WIZARD_Y3Q1R" localSheetId="2">#REF!</definedName>
    <definedName name="WIZARD_Y3Q2E" localSheetId="2">#REF!</definedName>
    <definedName name="WIZARD_Y3Q2R" localSheetId="2">#REF!</definedName>
    <definedName name="WIZARD_Y3Q3E" localSheetId="2">#REF!</definedName>
    <definedName name="WIZARD_Y3Q3R" localSheetId="2">#REF!</definedName>
    <definedName name="WIZARD_Y3Q4E" localSheetId="2">#REF!</definedName>
    <definedName name="WIZARD_Y3Q4R" localSheetId="2">#REF!</definedName>
    <definedName name="WIZARD_Y3R" localSheetId="2">#REF!</definedName>
    <definedName name="WIZARD_Y3YEARE" localSheetId="2">#REF!</definedName>
    <definedName name="WIZARD_Y3YEARR" localSheetId="2">#REF!</definedName>
    <definedName name="Work_Area" localSheetId="2">#REF!</definedName>
    <definedName name="WriteTemplate_Click" localSheetId="2" xlm="1">DCF!WriteTemplate_Click</definedName>
    <definedName name="WriteTemplate_Click" xlm="1">DCF!WriteTemplate_Click</definedName>
    <definedName name="wrn.____EVERYTHING____." localSheetId="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KEY_OPER",#N/A,TRUE,"BARDON";"P_AND_L",#N/A,TRUE,"BARDON";"Val_Cash",#N/A,TRUE,"BARDON";"ANALYSIS",#N/A,TRUE,"BARDON";"FRONT",#N/A,TRUE,"BCI";"PRO_LOSS",#N/A,TRUE,"BCI";"CASH_VAL",#N/A,TRUE,"BCI";"CASH_VAL",#N/A,TRUE,"BPB";"ANAYLSIS",#N/A,TRUE,"BPB";"PROF_LOSS",#N/A,TRUE,"BPB";"BUILDING",#N/A,TRUE,"BPB";"GEOGRAPHY",#N/A,TRUE,"BPB";"FRONT",#N/A,TRUE,"CARADON";"PROF_LOSS",#N/A,TRUE,"CARADON";"CASHFLOW",#N/A,TRUE,"CARADON";"OPER_SUMMURY",#N/A,TRUE,"CARADON";"ANALYSIS",#N/A,TRUE,"CARADON";"FRONT",#N/A,TRUE,"CRH";"P_AND_L",#N/A,TRUE,"CRH";"CASH_AND_VAL",#N/A,TRUE,"CRH";"FRONT",#N/A,TRUE,"GRAHAM";"P_AND_L",#N/A,TRUE,"GRAHAM";"CASH_AND_VAL",#N/A,TRUE,"GRAHAM";"HISTORIC_PERFORMANCE",#N/A,TRUE,"GRAHAM";"FRONT",#N/A,TRUE,"HEPWORTH";"P_AND_L",#N/A,TRUE,"HEPWORTH";"CASH_AND_VAL",#N/A,TRUE,"HEPWORTH";"MODELS",#N/A,TRUE,"HEPWORTH";"FRONT",#N/A,TRUE,"HEYWOOD W";"P_AND_L",#N/A,TRUE,"HEYWOOD W";"CASH_AND_VAL",#N/A,TRUE,"HEYWOOD W";"UK_BRICKS",#N/A,TRUE,"IBSTOCK";"FRONT",#N/A,TRUE,"MARLEY";"P_AND_L",#N/A,TRUE,"MARLEY";"CASH_AND_VAL",#N/A,TRUE,"MARLEY";"FRONT",#N/A,TRUE,"MEYER";"P AND L",#N/A,TRUE,"MEYER";"CASH AND VAL",#N/A,TRUE,"MEYER";"FRONT",#N/A,TRUE,"NORCROS";"FRONT",#N/A,TRUE,"NORCROS";"CASH_AND_VAL",#N/A,TRUE,"NORCROS";"FRONT",#N/A,TRUE,"PILKINGTON";"P_AND_L",#N/A,TRUE,"PILKINGTON";#N/A,#N/A,TRUE,"PILKINGTON";"FRONT",#N/A,TRUE,"REDLAND";"P_AND_L",#N/A,TRUE,"REDLAND";"CASH_AND_VAL",#N/A,TRUE,"REDLAND";"OPERATIONAL_FORCASTS",#N/A,TRUE,"REDLAND";"MODELS",#N/A,TRUE,"REDLAND";"P_AND_L",#N/A,TRUE,"RMC";"CASH_AND_VAL",#N/A,TRUE,"RMC";"HALF_YEAR",#N/A,TRUE,"RMC";"P_AND_L",#N/A,TRUE,"RUGBY";"CASH_AND_VAL",#N/A,TRUE,"RUGBY";"P_AND_L",#N/A,TRUE,"A. RUSSELL";"CASH_AND_VAL",#N/A,TRUE,"A. RUSSELL";"FRONT",#N/A,TRUE,"SPRING RAM";"P_AND_L",#N/A,TRUE,"SPRING RAM";"CASH_AND_VAL",#N/A,TRUE,"SPRING RAM";"FRONT",#N/A,TRUE,"TARMAC";"P_AND_L",#N/A,TRUE,"TARMAC";"CASH_AND_VAL",#N/A,TRUE,"TARMAC";"MODELS",#N/A,TRUE,"TARMAC";"FRONT",#N/A,TRUE,"TRAVIS PERK";"P_AND_L",#N/A,TRUE,"TRAVIS PERK";"CASH_AND_VAL",#N/A,TRUE,"TRAVIS PERK";"P AND L",#N/A,TRUE,"WOLSELEY";"CASH AND VAL",#N/A,TRUE,"WOLSELEY";"FRONT",#N/A,TRUE,"IBSTOCK - NEW";"P_AND_L",#N/A,TRUE,"IBSTOCK - NEW";"UK_BRICKS",#N/A,TRUE,"IBSTOCK - NEW";"CASH_AND_VAL",#N/A,TRUE,"IBSTOCK - NEW"}</definedName>
    <definedName name="wrn.____EVERYTHING____." localSheetId="1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KEY_OPER",#N/A,TRUE,"BARDON";"P_AND_L",#N/A,TRUE,"BARDON";"Val_Cash",#N/A,TRUE,"BARDON";"ANALYSIS",#N/A,TRUE,"BARDON";"FRONT",#N/A,TRUE,"BCI";"PRO_LOSS",#N/A,TRUE,"BCI";"CASH_VAL",#N/A,TRUE,"BCI";"CASH_VAL",#N/A,TRUE,"BPB";"ANAYLSIS",#N/A,TRUE,"BPB";"PROF_LOSS",#N/A,TRUE,"BPB";"BUILDING",#N/A,TRUE,"BPB";"GEOGRAPHY",#N/A,TRUE,"BPB";"FRONT",#N/A,TRUE,"CARADON";"PROF_LOSS",#N/A,TRUE,"CARADON";"CASHFLOW",#N/A,TRUE,"CARADON";"OPER_SUMMURY",#N/A,TRUE,"CARADON";"ANALYSIS",#N/A,TRUE,"CARADON";"FRONT",#N/A,TRUE,"CRH";"P_AND_L",#N/A,TRUE,"CRH";"CASH_AND_VAL",#N/A,TRUE,"CRH";"FRONT",#N/A,TRUE,"GRAHAM";"P_AND_L",#N/A,TRUE,"GRAHAM";"CASH_AND_VAL",#N/A,TRUE,"GRAHAM";"HISTORIC_PERFORMANCE",#N/A,TRUE,"GRAHAM";"FRONT",#N/A,TRUE,"HEPWORTH";"P_AND_L",#N/A,TRUE,"HEPWORTH";"CASH_AND_VAL",#N/A,TRUE,"HEPWORTH";"MODELS",#N/A,TRUE,"HEPWORTH";"FRONT",#N/A,TRUE,"HEYWOOD W";"P_AND_L",#N/A,TRUE,"HEYWOOD W";"CASH_AND_VAL",#N/A,TRUE,"HEYWOOD W";"UK_BRICKS",#N/A,TRUE,"IBSTOCK";"FRONT",#N/A,TRUE,"MARLEY";"P_AND_L",#N/A,TRUE,"MARLEY";"CASH_AND_VAL",#N/A,TRUE,"MARLEY";"FRONT",#N/A,TRUE,"MEYER";"P AND L",#N/A,TRUE,"MEYER";"CASH AND VAL",#N/A,TRUE,"MEYER";"FRONT",#N/A,TRUE,"NORCROS";"FRONT",#N/A,TRUE,"NORCROS";"CASH_AND_VAL",#N/A,TRUE,"NORCROS";"FRONT",#N/A,TRUE,"PILKINGTON";"P_AND_L",#N/A,TRUE,"PILKINGTON";#N/A,#N/A,TRUE,"PILKINGTON";"FRONT",#N/A,TRUE,"REDLAND";"P_AND_L",#N/A,TRUE,"REDLAND";"CASH_AND_VAL",#N/A,TRUE,"REDLAND";"OPERATIONAL_FORCASTS",#N/A,TRUE,"REDLAND";"MODELS",#N/A,TRUE,"REDLAND";"P_AND_L",#N/A,TRUE,"RMC";"CASH_AND_VAL",#N/A,TRUE,"RMC";"HALF_YEAR",#N/A,TRUE,"RMC";"P_AND_L",#N/A,TRUE,"RUGBY";"CASH_AND_VAL",#N/A,TRUE,"RUGBY";"P_AND_L",#N/A,TRUE,"A. RUSSELL";"CASH_AND_VAL",#N/A,TRUE,"A. RUSSELL";"FRONT",#N/A,TRUE,"SPRING RAM";"P_AND_L",#N/A,TRUE,"SPRING RAM";"CASH_AND_VAL",#N/A,TRUE,"SPRING RAM";"FRONT",#N/A,TRUE,"TARMAC";"P_AND_L",#N/A,TRUE,"TARMAC";"CASH_AND_VAL",#N/A,TRUE,"TARMAC";"MODELS",#N/A,TRUE,"TARMAC";"FRONT",#N/A,TRUE,"TRAVIS PERK";"P_AND_L",#N/A,TRUE,"TRAVIS PERK";"CASH_AND_VAL",#N/A,TRUE,"TRAVIS PERK";"P AND L",#N/A,TRUE,"WOLSELEY";"CASH AND VAL",#N/A,TRUE,"WOLSELEY";"FRONT",#N/A,TRUE,"IBSTOCK - NEW";"P_AND_L",#N/A,TRUE,"IBSTOCK - NEW";"UK_BRICKS",#N/A,TRUE,"IBSTOCK - NEW";"CASH_AND_VAL",#N/A,TRUE,"IBSTOCK - NEW"}</definedName>
    <definedName name="wrn.____EVERYTHING____." localSheetId="7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KEY_OPER",#N/A,TRUE,"BARDON";"P_AND_L",#N/A,TRUE,"BARDON";"Val_Cash",#N/A,TRUE,"BARDON";"ANALYSIS",#N/A,TRUE,"BARDON";"FRONT",#N/A,TRUE,"BCI";"PRO_LOSS",#N/A,TRUE,"BCI";"CASH_VAL",#N/A,TRUE,"BCI";"CASH_VAL",#N/A,TRUE,"BPB";"ANAYLSIS",#N/A,TRUE,"BPB";"PROF_LOSS",#N/A,TRUE,"BPB";"BUILDING",#N/A,TRUE,"BPB";"GEOGRAPHY",#N/A,TRUE,"BPB";"FRONT",#N/A,TRUE,"CARADON";"PROF_LOSS",#N/A,TRUE,"CARADON";"CASHFLOW",#N/A,TRUE,"CARADON";"OPER_SUMMURY",#N/A,TRUE,"CARADON";"ANALYSIS",#N/A,TRUE,"CARADON";"FRONT",#N/A,TRUE,"CRH";"P_AND_L",#N/A,TRUE,"CRH";"CASH_AND_VAL",#N/A,TRUE,"CRH";"FRONT",#N/A,TRUE,"GRAHAM";"P_AND_L",#N/A,TRUE,"GRAHAM";"CASH_AND_VAL",#N/A,TRUE,"GRAHAM";"HISTORIC_PERFORMANCE",#N/A,TRUE,"GRAHAM";"FRONT",#N/A,TRUE,"HEPWORTH";"P_AND_L",#N/A,TRUE,"HEPWORTH";"CASH_AND_VAL",#N/A,TRUE,"HEPWORTH";"MODELS",#N/A,TRUE,"HEPWORTH";"FRONT",#N/A,TRUE,"HEYWOOD W";"P_AND_L",#N/A,TRUE,"HEYWOOD W";"CASH_AND_VAL",#N/A,TRUE,"HEYWOOD W";"UK_BRICKS",#N/A,TRUE,"IBSTOCK";"FRONT",#N/A,TRUE,"MARLEY";"P_AND_L",#N/A,TRUE,"MARLEY";"CASH_AND_VAL",#N/A,TRUE,"MARLEY";"FRONT",#N/A,TRUE,"MEYER";"P AND L",#N/A,TRUE,"MEYER";"CASH AND VAL",#N/A,TRUE,"MEYER";"FRONT",#N/A,TRUE,"NORCROS";"FRONT",#N/A,TRUE,"NORCROS";"CASH_AND_VAL",#N/A,TRUE,"NORCROS";"FRONT",#N/A,TRUE,"PILKINGTON";"P_AND_L",#N/A,TRUE,"PILKINGTON";#N/A,#N/A,TRUE,"PILKINGTON";"FRONT",#N/A,TRUE,"REDLAND";"P_AND_L",#N/A,TRUE,"REDLAND";"CASH_AND_VAL",#N/A,TRUE,"REDLAND";"OPERATIONAL_FORCASTS",#N/A,TRUE,"REDLAND";"MODELS",#N/A,TRUE,"REDLAND";"P_AND_L",#N/A,TRUE,"RMC";"CASH_AND_VAL",#N/A,TRUE,"RMC";"HALF_YEAR",#N/A,TRUE,"RMC";"P_AND_L",#N/A,TRUE,"RUGBY";"CASH_AND_VAL",#N/A,TRUE,"RUGBY";"P_AND_L",#N/A,TRUE,"A. RUSSELL";"CASH_AND_VAL",#N/A,TRUE,"A. RUSSELL";"FRONT",#N/A,TRUE,"SPRING RAM";"P_AND_L",#N/A,TRUE,"SPRING RAM";"CASH_AND_VAL",#N/A,TRUE,"SPRING RAM";"FRONT",#N/A,TRUE,"TARMAC";"P_AND_L",#N/A,TRUE,"TARMAC";"CASH_AND_VAL",#N/A,TRUE,"TARMAC";"MODELS",#N/A,TRUE,"TARMAC";"FRONT",#N/A,TRUE,"TRAVIS PERK";"P_AND_L",#N/A,TRUE,"TRAVIS PERK";"CASH_AND_VAL",#N/A,TRUE,"TRAVIS PERK";"P AND L",#N/A,TRUE,"WOLSELEY";"CASH AND VAL",#N/A,TRUE,"WOLSELEY";"FRONT",#N/A,TRUE,"IBSTOCK - NEW";"P_AND_L",#N/A,TRUE,"IBSTOCK - NEW";"UK_BRICKS",#N/A,TRUE,"IBSTOCK - NEW";"CASH_AND_VAL",#N/A,TRUE,"IBSTOCK - NEW"}</definedName>
    <definedName name="wrn.____EVERYTHING____.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KEY_OPER",#N/A,TRUE,"BARDON";"P_AND_L",#N/A,TRUE,"BARDON";"Val_Cash",#N/A,TRUE,"BARDON";"ANALYSIS",#N/A,TRUE,"BARDON";"FRONT",#N/A,TRUE,"BCI";"PRO_LOSS",#N/A,TRUE,"BCI";"CASH_VAL",#N/A,TRUE,"BCI";"CASH_VAL",#N/A,TRUE,"BPB";"ANAYLSIS",#N/A,TRUE,"BPB";"PROF_LOSS",#N/A,TRUE,"BPB";"BUILDING",#N/A,TRUE,"BPB";"GEOGRAPHY",#N/A,TRUE,"BPB";"FRONT",#N/A,TRUE,"CARADON";"PROF_LOSS",#N/A,TRUE,"CARADON";"CASHFLOW",#N/A,TRUE,"CARADON";"OPER_SUMMURY",#N/A,TRUE,"CARADON";"ANALYSIS",#N/A,TRUE,"CARADON";"FRONT",#N/A,TRUE,"CRH";"P_AND_L",#N/A,TRUE,"CRH";"CASH_AND_VAL",#N/A,TRUE,"CRH";"FRONT",#N/A,TRUE,"GRAHAM";"P_AND_L",#N/A,TRUE,"GRAHAM";"CASH_AND_VAL",#N/A,TRUE,"GRAHAM";"HISTORIC_PERFORMANCE",#N/A,TRUE,"GRAHAM";"FRONT",#N/A,TRUE,"HEPWORTH";"P_AND_L",#N/A,TRUE,"HEPWORTH";"CASH_AND_VAL",#N/A,TRUE,"HEPWORTH";"MODELS",#N/A,TRUE,"HEPWORTH";"FRONT",#N/A,TRUE,"HEYWOOD W";"P_AND_L",#N/A,TRUE,"HEYWOOD W";"CASH_AND_VAL",#N/A,TRUE,"HEYWOOD W";"UK_BRICKS",#N/A,TRUE,"IBSTOCK";"FRONT",#N/A,TRUE,"MARLEY";"P_AND_L",#N/A,TRUE,"MARLEY";"CASH_AND_VAL",#N/A,TRUE,"MARLEY";"FRONT",#N/A,TRUE,"MEYER";"P AND L",#N/A,TRUE,"MEYER";"CASH AND VAL",#N/A,TRUE,"MEYER";"FRONT",#N/A,TRUE,"NORCROS";"FRONT",#N/A,TRUE,"NORCROS";"CASH_AND_VAL",#N/A,TRUE,"NORCROS";"FRONT",#N/A,TRUE,"PILKINGTON";"P_AND_L",#N/A,TRUE,"PILKINGTON";#N/A,#N/A,TRUE,"PILKINGTON";"FRONT",#N/A,TRUE,"REDLAND";"P_AND_L",#N/A,TRUE,"REDLAND";"CASH_AND_VAL",#N/A,TRUE,"REDLAND";"OPERATIONAL_FORCASTS",#N/A,TRUE,"REDLAND";"MODELS",#N/A,TRUE,"REDLAND";"P_AND_L",#N/A,TRUE,"RMC";"CASH_AND_VAL",#N/A,TRUE,"RMC";"HALF_YEAR",#N/A,TRUE,"RMC";"P_AND_L",#N/A,TRUE,"RUGBY";"CASH_AND_VAL",#N/A,TRUE,"RUGBY";"P_AND_L",#N/A,TRUE,"A. RUSSELL";"CASH_AND_VAL",#N/A,TRUE,"A. RUSSELL";"FRONT",#N/A,TRUE,"SPRING RAM";"P_AND_L",#N/A,TRUE,"SPRING RAM";"CASH_AND_VAL",#N/A,TRUE,"SPRING RAM";"FRONT",#N/A,TRUE,"TARMAC";"P_AND_L",#N/A,TRUE,"TARMAC";"CASH_AND_VAL",#N/A,TRUE,"TARMAC";"MODELS",#N/A,TRUE,"TARMAC";"FRONT",#N/A,TRUE,"TRAVIS PERK";"P_AND_L",#N/A,TRUE,"TRAVIS PERK";"CASH_AND_VAL",#N/A,TRUE,"TRAVIS PERK";"P AND L",#N/A,TRUE,"WOLSELEY";"CASH AND VAL",#N/A,TRUE,"WOLSELEY";"FRONT",#N/A,TRUE,"IBSTOCK - NEW";"P_AND_L",#N/A,TRUE,"IBSTOCK - NEW";"UK_BRICKS",#N/A,TRUE,"IBSTOCK - NEW";"CASH_AND_VAL",#N/A,TRUE,"IBSTOCK - NEW"}</definedName>
    <definedName name="wrn.____OVERVIEW____." localSheetId="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wrn.____OVERVIEW____." localSheetId="12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wrn.____OVERVIEW____." localSheetId="7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wrn.____OVERVIEW____." hidden="1">{"PRICES",#N/A,TRUE,"PRICES";"RESULTS",#N/A,TRUE,"RESULTS";"SECTOR1",#N/A,TRUE,"SECTOR 1";"SECTOR2",#N/A,TRUE,"SECTOR 2";"SECTOR3",#N/A,TRUE,"SECTOR 3";"SECTOR4",#N/A,TRUE,"SECTOR 4";"Sector 5",#N/A,TRUE,"SECTOR 5";"Normalized_Potential",#N/A,TRUE,"SECTOR 5";"SECTOR6",#N/A,TRUE,"SECTOR 6";"TOP",#N/A,TRUE,"PERATIOS";"BOTTOM",#N/A,TRUE,"PERATIOS"}</definedName>
    <definedName name="wrn.abc." localSheetId="2" hidden="1">{"sensit",#N/A,FALSE,"WOLSELEY"}</definedName>
    <definedName name="wrn.abc." localSheetId="12" hidden="1">{"sensit",#N/A,FALSE,"WOLSELEY"}</definedName>
    <definedName name="wrn.abc." localSheetId="7" hidden="1">{"sensit",#N/A,FALSE,"WOLSELEY"}</definedName>
    <definedName name="wrn.abc." hidden="1">{"sensit",#N/A,FALSE,"WOLSELEY"}</definedName>
    <definedName name="wrn.AcqState." localSheetId="2" hidden="1">{#N/A,#N/A,TRUE,"Acq-Ass";#N/A,#N/A,TRUE,"Acq-IS";#N/A,#N/A,TRUE,"Acq-BS";#N/A,#N/A,TRUE,"Acq-CF"}</definedName>
    <definedName name="wrn.AcqState." localSheetId="12" hidden="1">{#N/A,#N/A,TRUE,"Acq-Ass";#N/A,#N/A,TRUE,"Acq-IS";#N/A,#N/A,TRUE,"Acq-BS";#N/A,#N/A,TRUE,"Acq-CF"}</definedName>
    <definedName name="wrn.AcqState." localSheetId="7" hidden="1">{#N/A,#N/A,TRUE,"Acq-Ass";#N/A,#N/A,TRUE,"Acq-IS";#N/A,#N/A,TRUE,"Acq-BS";#N/A,#N/A,TRUE,"Acq-CF"}</definedName>
    <definedName name="wrn.AcqState." hidden="1">{#N/A,#N/A,TRUE,"Acq-Ass";#N/A,#N/A,TRUE,"Acq-IS";#N/A,#N/A,TRUE,"Acq-BS";#N/A,#N/A,TRUE,"Acq-CF"}</definedName>
    <definedName name="wrn.Acquiror." localSheetId="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localSheetId="1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localSheetId="7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uiror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AcqVal." localSheetId="2" hidden="1">{#N/A,#N/A,FALSE,"Acq-Val";#N/A,#N/A,FALSE,"Acq-Mult Val"}</definedName>
    <definedName name="wrn.AcqVal." localSheetId="12" hidden="1">{#N/A,#N/A,FALSE,"Acq-Val";#N/A,#N/A,FALSE,"Acq-Mult Val"}</definedName>
    <definedName name="wrn.AcqVal." localSheetId="7" hidden="1">{#N/A,#N/A,FALSE,"Acq-Val";#N/A,#N/A,FALSE,"Acq-Mult Val"}</definedName>
    <definedName name="wrn.AcqVal." hidden="1">{#N/A,#N/A,FALSE,"Acq-Val";#N/A,#N/A,FALSE,"Acq-Mult Val"}</definedName>
    <definedName name="wrn.AGG.._.IND.." localSheetId="2" hidden="1">{"P_AND_L (AGG. IND.) (25)",#N/A,TRUE,"AGG. IND.";"Val_Cash (AGG. IND.) (25)",#N/A,TRUE,"AGG. IND.";"KEY_OPER (AGG. IND.) (25)",#N/A,TRUE,"AGG. IND.";"COMBINED (AGG. IND.) (25)",#N/A,TRUE,"AGG. IND.";"ANALYSIS (AGG. IND.) (25)",#N/A,TRUE,"AGG. IND."}</definedName>
    <definedName name="wrn.AGG.._.IND.." localSheetId="12" hidden="1">{"P_AND_L (AGG. IND.) (25)",#N/A,TRUE,"AGG. IND.";"Val_Cash (AGG. IND.) (25)",#N/A,TRUE,"AGG. IND.";"KEY_OPER (AGG. IND.) (25)",#N/A,TRUE,"AGG. IND.";"COMBINED (AGG. IND.) (25)",#N/A,TRUE,"AGG. IND.";"ANALYSIS (AGG. IND.) (25)",#N/A,TRUE,"AGG. IND."}</definedName>
    <definedName name="wrn.AGG.._.IND.." localSheetId="7" hidden="1">{"P_AND_L (AGG. IND.) (25)",#N/A,TRUE,"AGG. IND.";"Val_Cash (AGG. IND.) (25)",#N/A,TRUE,"AGG. IND.";"KEY_OPER (AGG. IND.) (25)",#N/A,TRUE,"AGG. IND.";"COMBINED (AGG. IND.) (25)",#N/A,TRUE,"AGG. IND.";"ANALYSIS (AGG. IND.) (25)",#N/A,TRUE,"AGG. IND."}</definedName>
    <definedName name="wrn.AGG.._.IND.." hidden="1">{"P_AND_L (AGG. IND.) (25)",#N/A,TRUE,"AGG. IND.";"Val_Cash (AGG. IND.) (25)",#N/A,TRUE,"AGG. IND.";"KEY_OPER (AGG. IND.) (25)",#N/A,TRUE,"AGG. IND.";"COMBINED (AGG. IND.) (25)",#N/A,TRUE,"AGG. IND.";"ANALYSIS (AGG. IND.) (25)",#N/A,TRUE,"AGG. IND."}</definedName>
    <definedName name="wrn.Aging._.and._.Trend._.Analysis." localSheetId="2" hidden="1">{#N/A,#N/A,FALSE,"Aging Summary";#N/A,#N/A,FALSE,"Ratio Analysis";#N/A,#N/A,FALSE,"Test 120 Day Accts";#N/A,#N/A,FALSE,"Tickmarks"}</definedName>
    <definedName name="wrn.Aging._.and._.Trend._.Analysis." localSheetId="12" hidden="1">{#N/A,#N/A,FALSE,"Aging Summary";#N/A,#N/A,FALSE,"Ratio Analysis";#N/A,#N/A,FALSE,"Test 120 Day Accts";#N/A,#N/A,FALSE,"Tickmarks"}</definedName>
    <definedName name="wrn.Aging._.and._.Trend._.Analysis." localSheetId="7" hidden="1">{#N/A,#N/A,FALSE,"Aging Summary";#N/A,#N/A,FALSE,"Ratio Analysis";#N/A,#N/A,FALSE,"Test 120 Day Accts";#N/A,#N/A,FALSE,"Tickmarks"}</definedName>
    <definedName name="wrn.Aging._.and._.Trend._.Analysis." hidden="1">{#N/A,#N/A,FALSE,"Aging Summary";#N/A,#N/A,FALSE,"Ratio Analysis";#N/A,#N/A,FALSE,"Test 120 Day Accts";#N/A,#N/A,FALSE,"Tickmarks"}</definedName>
    <definedName name="wrn.all." localSheetId="2" hidden="1">{#N/A,#N/A,FALSE,"Time Warner";#N/A,#N/A,FALSE,"Entertainment Group";#N/A,#N/A,FALSE,"EBITDA";#N/A,#N/A,FALSE,"Notes"}</definedName>
    <definedName name="wrn.all." hidden="1">{#N/A,#N/A,FALSE,"Time Warner";#N/A,#N/A,FALSE,"Entertainment Group";#N/A,#N/A,FALSE,"EBITDA";#N/A,#N/A,FALSE,"Notes"}</definedName>
    <definedName name="wrn.All._.Company._.Analyses." localSheetId="2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any._.Analyses." hidden="1">{"Methodology and Sourcing",#N/A,FALSE,"Methodology and Sourcing";"britishtelecom",#N/A,FALSE,"BT out";"CTC",#N/A,FALSE,"CTC out";"DT",#N/A,FALSE,"DT out";"FT",#N/A,FALSE,"FT out";"HKT",#N/A,FALSE,"HKT out";"KPN",#N/A,FALSE,"KPN out";"MATAV",#N/A,FALSE,"MATAV out";"PT Telkom",#N/A,FALSE,"PT Telkom out";"Tel Arg",#N/A,FALSE,"Tel Arg out";"Telef Arg",#N/A,FALSE,"TASA out";"Tel Asia",#N/A,FALSE,"Tel. Asia Out";"T de E",#N/A,FALSE,"T de E out";"Tel Malay",#N/A,FALSE,"Tel Malay out";"TELMEX",#N/A,FALSE,"Telmex out";"TNZ",#N/A,FALSE,"TNZ out";"Telkom SA",#N/A,FALSE,"Telkom SA out";"SPT",#N/A,FALSE,"SPT out";"USA",#N/A,FALSE,"USA out"}</definedName>
    <definedName name="wrn.all._.comps.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1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._.comps.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rn.All_Mat." localSheetId="2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_Mat.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_Mat.1" localSheetId="2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_Mat.1" hidden="1">{#N/A,#N/A,FALSE,"Sheet1";#N/A,#N/A,FALSE,"OTHER";#N/A,#N/A,FALSE,"FMB";#N/A,#N/A,FALSE,"PCN";#N/A,#N/A,FALSE,"PCN2";#N/A,#N/A,FALSE,"CEI_Pref";#N/A,#N/A,FALSE,"CEI_FMB";#N/A,#N/A,FALSE,"CEI_PCN";#N/A,#N/A,FALSE,"CEI_PCN1";#N/A,#N/A,FALSE,"CEI_MED";#N/A,#N/A,FALSE,"CEI_MED1";#N/A,#N/A,FALSE,"TE_Other";#N/A,#N/A,FALSE,"TE_PCN";#N/A,#N/A,FALSE,"TE_MED";#N/A,#N/A,FALSE,"TE_MED1"}</definedName>
    <definedName name="wrn.allpages." localSheetId="2" hidden="1">{#N/A,#N/A,TRUE,"Historicals";#N/A,#N/A,TRUE,"Charts";#N/A,#N/A,TRUE,"Forecasts"}</definedName>
    <definedName name="wrn.allpages." localSheetId="12" hidden="1">{#N/A,#N/A,TRUE,"Historicals";#N/A,#N/A,TRUE,"Charts";#N/A,#N/A,TRUE,"Forecasts"}</definedName>
    <definedName name="wrn.allpages." localSheetId="7" hidden="1">{#N/A,#N/A,TRUE,"Historicals";#N/A,#N/A,TRUE,"Charts";#N/A,#N/A,TRUE,"Forecasts"}</definedName>
    <definedName name="wrn.allpages." hidden="1">{#N/A,#N/A,TRUE,"Historicals";#N/A,#N/A,TRUE,"Charts";#N/A,#N/A,TRUE,"Forecasts"}</definedName>
    <definedName name="wrn.AMPJAN96." localSheetId="2" hidden="1">{"Associates",#N/A,FALSE,"FULLESTI";"GPEBIT",#N/A,FALSE,"FULLESTI";"USEBIT",#N/A,FALSE,"FULLESTI";"UKEBIT",#N/A,FALSE,"FULLESTI";"AUSTEBIT",#N/A,FALSE,"FULLESTI"}</definedName>
    <definedName name="wrn.AMPJAN96." localSheetId="5" hidden="1">{"Associates",#N/A,FALSE,"FULLESTI";"GPEBIT",#N/A,FALSE,"FULLESTI";"USEBIT",#N/A,FALSE,"FULLESTI";"UKEBIT",#N/A,FALSE,"FULLESTI";"AUSTEBIT",#N/A,FALSE,"FULLESTI"}</definedName>
    <definedName name="wrn.AMPJAN96." hidden="1">{"Associates",#N/A,FALSE,"FULLESTI";"GPEBIT",#N/A,FALSE,"FULLESTI";"USEBIT",#N/A,FALSE,"FULLESTI";"UKEBIT",#N/A,FALSE,"FULLESTI";"AUSTEBIT",#N/A,FALSE,"FULLESTI"}</definedName>
    <definedName name="wrn.Annual." localSheetId="2" hidden="1">{"Full annual",#N/A,FALSE,"Master"}</definedName>
    <definedName name="wrn.Annual." localSheetId="12" hidden="1">{"Full annual",#N/A,FALSE,"Master"}</definedName>
    <definedName name="wrn.Annual." localSheetId="7" hidden="1">{"Full annual",#N/A,FALSE,"Master"}</definedName>
    <definedName name="wrn.Annual." hidden="1">{"Full annual",#N/A,FALSE,"Master"}</definedName>
    <definedName name="wrn.Back._.Page." localSheetId="2" hidden="1">{"Back Page",#N/A,FALSE,"Front and Back"}</definedName>
    <definedName name="wrn.Back._.Page." localSheetId="12" hidden="1">{"Back Page",#N/A,FALSE,"Front and Back"}</definedName>
    <definedName name="wrn.Back._.Page." localSheetId="7" hidden="1">{"Back Page",#N/A,FALSE,"Front and Back"}</definedName>
    <definedName name="wrn.Back._.Page." hidden="1">{"Back Page",#N/A,FALSE,"Front and Back"}</definedName>
    <definedName name="wrn.Back._.Page.2" localSheetId="2" hidden="1">{"Back Page",#N/A,FALSE,"Front and Back"}</definedName>
    <definedName name="wrn.Back._.Page.2" localSheetId="12" hidden="1">{"Back Page",#N/A,FALSE,"Front and Back"}</definedName>
    <definedName name="wrn.Back._.Page.2" localSheetId="7" hidden="1">{"Back Page",#N/A,FALSE,"Front and Back"}</definedName>
    <definedName name="wrn.Back._.Page.2" hidden="1">{"Back Page",#N/A,FALSE,"Front and Back"}</definedName>
    <definedName name="wrn.BCI." localSheetId="2" hidden="1">{"FRONT (BCI) (25)",#N/A,TRUE,"BCI";"PRO_LOSS (BCI) (23)",#N/A,TRUE,"BCI";"CASH_VAL (BCI) (25)",#N/A,TRUE,"BCI";"CASHMODEL (BCI) (25)",#N/A,TRUE,"BCI";"MODELS1 (BCI) (25)",#N/A,TRUE,"BCI";"MODELS2 (BCI) (25)",#N/A,TRUE,"BCI";"MODELS3 (BCI) (25)",#N/A,TRUE,"BCI";"IND VALUE (BCI) (25)",#N/A,TRUE,"BCI"}</definedName>
    <definedName name="wrn.BCI." localSheetId="12" hidden="1">{"FRONT (BCI) (25)",#N/A,TRUE,"BCI";"PRO_LOSS (BCI) (23)",#N/A,TRUE,"BCI";"CASH_VAL (BCI) (25)",#N/A,TRUE,"BCI";"CASHMODEL (BCI) (25)",#N/A,TRUE,"BCI";"MODELS1 (BCI) (25)",#N/A,TRUE,"BCI";"MODELS2 (BCI) (25)",#N/A,TRUE,"BCI";"MODELS3 (BCI) (25)",#N/A,TRUE,"BCI";"IND VALUE (BCI) (25)",#N/A,TRUE,"BCI"}</definedName>
    <definedName name="wrn.BCI." localSheetId="7" hidden="1">{"FRONT (BCI) (25)",#N/A,TRUE,"BCI";"PRO_LOSS (BCI) (23)",#N/A,TRUE,"BCI";"CASH_VAL (BCI) (25)",#N/A,TRUE,"BCI";"CASHMODEL (BCI) (25)",#N/A,TRUE,"BCI";"MODELS1 (BCI) (25)",#N/A,TRUE,"BCI";"MODELS2 (BCI) (25)",#N/A,TRUE,"BCI";"MODELS3 (BCI) (25)",#N/A,TRUE,"BCI";"IND VALUE (BCI) (25)",#N/A,TRUE,"BCI"}</definedName>
    <definedName name="wrn.BCI." hidden="1">{"FRONT (BCI) (25)",#N/A,TRUE,"BCI";"PRO_LOSS (BCI) (23)",#N/A,TRUE,"BCI";"CASH_VAL (BCI) (25)",#N/A,TRUE,"BCI";"CASHMODEL (BCI) (25)",#N/A,TRUE,"BCI";"MODELS1 (BCI) (25)",#N/A,TRUE,"BCI";"MODELS2 (BCI) (25)",#N/A,TRUE,"BCI";"MODELS3 (BCI) (25)",#N/A,TRUE,"BCI";"IND VALUE (BCI) (25)",#N/A,TRUE,"BCI"}</definedName>
    <definedName name="wrn.BEL." localSheetId="2" hidden="1">{"IS",#N/A,FALSE,"IS";"RPTIS",#N/A,FALSE,"RPTIS";"STATS",#N/A,FALSE,"STATS";"CELL",#N/A,FALSE,"CELL";"BS",#N/A,FALSE,"BS"}</definedName>
    <definedName name="wrn.BEL." localSheetId="12" hidden="1">{"IS",#N/A,FALSE,"IS";"RPTIS",#N/A,FALSE,"RPTIS";"STATS",#N/A,FALSE,"STATS";"CELL",#N/A,FALSE,"CELL";"BS",#N/A,FALSE,"BS"}</definedName>
    <definedName name="wrn.BEL." localSheetId="7" hidden="1">{"IS",#N/A,FALSE,"IS";"RPTIS",#N/A,FALSE,"RPTIS";"STATS",#N/A,FALSE,"STATS";"CELL",#N/A,FALSE,"CELL";"BS",#N/A,FALSE,"BS"}</definedName>
    <definedName name="wrn.BEL." localSheetId="5" hidden="1">{"IS",#N/A,FALSE,"IS";"RPTIS",#N/A,FALSE,"RPTIS";"STATS",#N/A,FALSE,"STATS";"CELL",#N/A,FALSE,"CELL";"BS",#N/A,FALSE,"BS"}</definedName>
    <definedName name="wrn.BEL." hidden="1">{"IS",#N/A,FALSE,"IS";"RPTIS",#N/A,FALSE,"RPTIS";"STATS",#N/A,FALSE,"STATS";"CELL",#N/A,FALSE,"CELL";"BS",#N/A,FALSE,"BS"}</definedName>
    <definedName name="wrn.Book._.Output." localSheetId="2" hidden="1">{#N/A,#N/A,FALSE,"Title";#N/A,#N/A,FALSE,"Inputs";#N/A,#N/A,FALSE,"Impact";#N/A,#N/A,FALSE,"Sources &amp; Uses";#N/A,#N/A,FALSE,"Capitalization Impact";#N/A,#N/A,FALSE,"NEWCO Projections"}</definedName>
    <definedName name="wrn.Book._.Output." localSheetId="12" hidden="1">{#N/A,#N/A,FALSE,"Title";#N/A,#N/A,FALSE,"Inputs";#N/A,#N/A,FALSE,"Impact";#N/A,#N/A,FALSE,"Sources &amp; Uses";#N/A,#N/A,FALSE,"Capitalization Impact";#N/A,#N/A,FALSE,"NEWCO Projections"}</definedName>
    <definedName name="wrn.Book._.Output." localSheetId="7" hidden="1">{#N/A,#N/A,FALSE,"Title";#N/A,#N/A,FALSE,"Inputs";#N/A,#N/A,FALSE,"Impact";#N/A,#N/A,FALSE,"Sources &amp; Uses";#N/A,#N/A,FALSE,"Capitalization Impact";#N/A,#N/A,FALSE,"NEWCO Projections"}</definedName>
    <definedName name="wrn.Book._.Output." hidden="1">{#N/A,#N/A,FALSE,"Title";#N/A,#N/A,FALSE,"Inputs";#N/A,#N/A,FALSE,"Impact";#N/A,#N/A,FALSE,"Sources &amp; Uses";#N/A,#N/A,FALSE,"Capitalization Impact";#N/A,#N/A,FALSE,"NEWCO Projections"}</definedName>
    <definedName name="wrn.BPB." localSheetId="2" hidden="1">{"PROF_LOSS (BPB) (25)",#N/A,TRUE,"BPB";"PROF_LOSS (BPB) (23)",#N/A,TRUE,"BPB";"CASH_VAL (BPB) (25)",#N/A,TRUE,"BPB";"ANAYLSIS (BPB) (25)",#N/A,TRUE,"BPB";"GEOGRAPHY (BPB) (25)",#N/A,TRUE,"BPB";"BUILDING (BPB) (25)",#N/A,TRUE,"BPB"}</definedName>
    <definedName name="wrn.BPB." localSheetId="12" hidden="1">{"PROF_LOSS (BPB) (25)",#N/A,TRUE,"BPB";"PROF_LOSS (BPB) (23)",#N/A,TRUE,"BPB";"CASH_VAL (BPB) (25)",#N/A,TRUE,"BPB";"ANAYLSIS (BPB) (25)",#N/A,TRUE,"BPB";"GEOGRAPHY (BPB) (25)",#N/A,TRUE,"BPB";"BUILDING (BPB) (25)",#N/A,TRUE,"BPB"}</definedName>
    <definedName name="wrn.BPB." localSheetId="7" hidden="1">{"PROF_LOSS (BPB) (25)",#N/A,TRUE,"BPB";"PROF_LOSS (BPB) (23)",#N/A,TRUE,"BPB";"CASH_VAL (BPB) (25)",#N/A,TRUE,"BPB";"ANAYLSIS (BPB) (25)",#N/A,TRUE,"BPB";"GEOGRAPHY (BPB) (25)",#N/A,TRUE,"BPB";"BUILDING (BPB) (25)",#N/A,TRUE,"BPB"}</definedName>
    <definedName name="wrn.BPB." hidden="1">{"PROF_LOSS (BPB) (25)",#N/A,TRUE,"BPB";"PROF_LOSS (BPB) (23)",#N/A,TRUE,"BPB";"CASH_VAL (BPB) (25)",#N/A,TRUE,"BPB";"ANAYLSIS (BPB) (25)",#N/A,TRUE,"BPB";"GEOGRAPHY (BPB) (25)",#N/A,TRUE,"BPB";"BUILDING (BPB) (25)",#N/A,TRUE,"BPB"}</definedName>
    <definedName name="wrn.BRASS." localSheetId="2" hidden="1">{"BRASS P AND L",#N/A,FALSE,"REDLAND";"BRASS BALANCE",#N/A,FALSE,"REDLAND";"BRASS TCE",#N/A,FALSE,"REDLAND";"GERMAN STATS",#N/A,FALSE,"REDLAND"}</definedName>
    <definedName name="wrn.BRASS." localSheetId="12" hidden="1">{"BRASS P AND L",#N/A,FALSE,"REDLAND";"BRASS BALANCE",#N/A,FALSE,"REDLAND";"BRASS TCE",#N/A,FALSE,"REDLAND";"GERMAN STATS",#N/A,FALSE,"REDLAND"}</definedName>
    <definedName name="wrn.BRASS." localSheetId="7" hidden="1">{"BRASS P AND L",#N/A,FALSE,"REDLAND";"BRASS BALANCE",#N/A,FALSE,"REDLAND";"BRASS TCE",#N/A,FALSE,"REDLAND";"GERMAN STATS",#N/A,FALSE,"REDLAND"}</definedName>
    <definedName name="wrn.BRASS." hidden="1">{"BRASS P AND L",#N/A,FALSE,"REDLAND";"BRASS BALANCE",#N/A,FALSE,"REDLAND";"BRASS TCE",#N/A,FALSE,"REDLAND";"GERMAN STATS",#N/A,FALSE,"REDLAND"}</definedName>
    <definedName name="wrn.BUILDING._.VALUE." localSheetId="2" hidden="1">{"BUILD VALUE 1",#N/A,FALSE,"VALUE";"BUILD VALUE 2",#N/A,FALSE,"VALUE";"BUILD VALUE 3",#N/A,FALSE,"VALUE";"BUILD VALUE 4",#N/A,FALSE,"VALUE";"BUILD VALUE 5",#N/A,FALSE,"VALUE";"BUILD VALUE 6",#N/A,FALSE,"VALUE";"BUILD VALUE 7",#N/A,FALSE,"VALUE";"BUILD VALUE 8",#N/A,FALSE,"VALUE";"BUILD VALUE 9",#N/A,FALSE,"VALUE";"BUILD VALUE 10",#N/A,FALSE,"VALUE"}</definedName>
    <definedName name="wrn.BUILDING._.VALUE." localSheetId="12" hidden="1">{"BUILD VALUE 1",#N/A,FALSE,"VALUE";"BUILD VALUE 2",#N/A,FALSE,"VALUE";"BUILD VALUE 3",#N/A,FALSE,"VALUE";"BUILD VALUE 4",#N/A,FALSE,"VALUE";"BUILD VALUE 5",#N/A,FALSE,"VALUE";"BUILD VALUE 6",#N/A,FALSE,"VALUE";"BUILD VALUE 7",#N/A,FALSE,"VALUE";"BUILD VALUE 8",#N/A,FALSE,"VALUE";"BUILD VALUE 9",#N/A,FALSE,"VALUE";"BUILD VALUE 10",#N/A,FALSE,"VALUE"}</definedName>
    <definedName name="wrn.BUILDING._.VALUE." localSheetId="7" hidden="1">{"BUILD VALUE 1",#N/A,FALSE,"VALUE";"BUILD VALUE 2",#N/A,FALSE,"VALUE";"BUILD VALUE 3",#N/A,FALSE,"VALUE";"BUILD VALUE 4",#N/A,FALSE,"VALUE";"BUILD VALUE 5",#N/A,FALSE,"VALUE";"BUILD VALUE 6",#N/A,FALSE,"VALUE";"BUILD VALUE 7",#N/A,FALSE,"VALUE";"BUILD VALUE 8",#N/A,FALSE,"VALUE";"BUILD VALUE 9",#N/A,FALSE,"VALUE";"BUILD VALUE 10",#N/A,FALSE,"VALUE"}</definedName>
    <definedName name="wrn.BUILDING._.VALUE." hidden="1">{"BUILD VALUE 1",#N/A,FALSE,"VALUE";"BUILD VALUE 2",#N/A,FALSE,"VALUE";"BUILD VALUE 3",#N/A,FALSE,"VALUE";"BUILD VALUE 4",#N/A,FALSE,"VALUE";"BUILD VALUE 5",#N/A,FALSE,"VALUE";"BUILD VALUE 6",#N/A,FALSE,"VALUE";"BUILD VALUE 7",#N/A,FALSE,"VALUE";"BUILD VALUE 8",#N/A,FALSE,"VALUE";"BUILD VALUE 9",#N/A,FALSE,"VALUE";"BUILD VALUE 10",#N/A,FALSE,"VALUE"}</definedName>
    <definedName name="wrn.CARADON." localSheetId="2" hidden="1">{"FRONT (CARADON) (23)",#N/A,TRUE,"CARADON";"PROF_LOSS (CARADON) (23)",#N/A,TRUE,"CARADON";"CASHFLOW (CARADON) (23)",#N/A,TRUE,"CARADON";"ANALYSIS (CARADON) (23)",#N/A,TRUE,"CARADON";"RECONCILIATION (CARADON) (23)",#N/A,TRUE,"CARADON";"OPER_SUMMURY (CARADON) (23)",#N/A,TRUE,"CARADON"}</definedName>
    <definedName name="wrn.CARADON." localSheetId="12" hidden="1">{"FRONT (CARADON) (23)",#N/A,TRUE,"CARADON";"PROF_LOSS (CARADON) (23)",#N/A,TRUE,"CARADON";"CASHFLOW (CARADON) (23)",#N/A,TRUE,"CARADON";"ANALYSIS (CARADON) (23)",#N/A,TRUE,"CARADON";"RECONCILIATION (CARADON) (23)",#N/A,TRUE,"CARADON";"OPER_SUMMURY (CARADON) (23)",#N/A,TRUE,"CARADON"}</definedName>
    <definedName name="wrn.CARADON." localSheetId="7" hidden="1">{"FRONT (CARADON) (23)",#N/A,TRUE,"CARADON";"PROF_LOSS (CARADON) (23)",#N/A,TRUE,"CARADON";"CASHFLOW (CARADON) (23)",#N/A,TRUE,"CARADON";"ANALYSIS (CARADON) (23)",#N/A,TRUE,"CARADON";"RECONCILIATION (CARADON) (23)",#N/A,TRUE,"CARADON";"OPER_SUMMURY (CARADON) (23)",#N/A,TRUE,"CARADON"}</definedName>
    <definedName name="wrn.CARADON." hidden="1">{"FRONT (CARADON) (23)",#N/A,TRUE,"CARADON";"PROF_LOSS (CARADON) (23)",#N/A,TRUE,"CARADON";"CASHFLOW (CARADON) (23)",#N/A,TRUE,"CARADON";"ANALYSIS (CARADON) (23)",#N/A,TRUE,"CARADON";"RECONCILIATION (CARADON) (23)",#N/A,TRUE,"CARADON";"OPER_SUMMURY (CARADON) (23)",#N/A,TRUE,"CARADON"}</definedName>
    <definedName name="wrn.Client." localSheetId="2" hidden="1">{"Full_Year",#N/A,FALSE,"PE1_S";#N/A,#N/A,FALSE,"DIVIS_S"}</definedName>
    <definedName name="wrn.Client." localSheetId="5" hidden="1">{"Full_Year",#N/A,FALSE,"PE1_S";#N/A,#N/A,FALSE,"DIVIS_S"}</definedName>
    <definedName name="wrn.Client." hidden="1">{"Full_Year",#N/A,FALSE,"PE1_S";#N/A,#N/A,FALSE,"DIVIS_S"}</definedName>
    <definedName name="wrn.Client_Detailed." localSheetId="2" hidden="1">{"Full_Year",#N/A,FALSE,"PE1_S";"Full_Year",#N/A,FALSE,"Cashflow_EPS";"Full_Year",#N/A,FALSE,"EBIT_DIV"}</definedName>
    <definedName name="wrn.Client_Detailed." localSheetId="5" hidden="1">{"Full_Year",#N/A,FALSE,"PE1_S";"Full_Year",#N/A,FALSE,"Cashflow_EPS";"Full_Year",#N/A,FALSE,"EBIT_DIV"}</definedName>
    <definedName name="wrn.Client_Detailed." hidden="1">{"Full_Year",#N/A,FALSE,"PE1_S";"Full_Year",#N/A,FALSE,"Cashflow_EPS";"Full_Year",#N/A,FALSE,"EBIT_DIV"}</definedName>
    <definedName name="wrn.Combination." localSheetId="2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localSheetId="12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localSheetId="7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ination." hidden="1">{#N/A,#N/A,FALSE,"Combo-Ass ";#N/A,#N/A,FALSE,"Combo-AD sum";#N/A,#N/A,FALSE,"Combo-Syn Sens";#N/A,#N/A,FALSE,"Combo-Contr";#N/A,#N/A,FALSE,"Combo-Credit Sum";#N/A,#N/A,FALSE,"Combo-Credit";#N/A,#N/A,FALSE,"Combo-AD";#N/A,#N/A,FALSE,"Combo-AD";#N/A,#N/A,FALSE,"Combo-AD CF";#N/A,#N/A,FALSE,"Combo-IS";#N/A,#N/A,FALSE,"Combo-BS";#N/A,#N/A,FALSE,"Combo-CF";#N/A,#N/A,FALSE,"Combo-Debt";#N/A,#N/A,FALSE,"Combo-Int";#N/A,#N/A,FALSE,"Combo-CapEx";#N/A,#N/A,FALSE,"Combo-BD";#N/A,#N/A,FALSE,"Combo-TD";#N/A,#N/A,FALSE,"Combo-Taxes";#N/A,#N/A,FALSE,"Combo-Val";#N/A,#N/A,FALSE,"Combo-Mult Va"}</definedName>
    <definedName name="wrn.ComboResults." localSheetId="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localSheetId="12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localSheetId="7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Results." hidden="1">{#N/A,#N/A,FALSE,"Combo-Ass ";#N/A,#N/A,FALSE,"Combo-AD sum";#N/A,#N/A,FALSE,"Combo-Syn Sens";#N/A,#N/A,FALSE,"Combo-Contr";#N/A,#N/A,FALSE,"Combo-Credit Sum";#N/A,#N/A,FALSE,"Combo-Credit";#N/A,#N/A,FALSE,"Combo-AD";#N/A,#N/A,FALSE,"Combo-AD CF"}</definedName>
    <definedName name="wrn.ComboState." localSheetId="2" hidden="1">{#N/A,#N/A,FALSE,"Combo-Ass ";#N/A,#N/A,FALSE,"Combo-IS";#N/A,#N/A,FALSE,"Combo-BS";#N/A,#N/A,FALSE,"Combo-CF"}</definedName>
    <definedName name="wrn.ComboState." localSheetId="12" hidden="1">{#N/A,#N/A,FALSE,"Combo-Ass ";#N/A,#N/A,FALSE,"Combo-IS";#N/A,#N/A,FALSE,"Combo-BS";#N/A,#N/A,FALSE,"Combo-CF"}</definedName>
    <definedName name="wrn.ComboState." localSheetId="7" hidden="1">{#N/A,#N/A,FALSE,"Combo-Ass ";#N/A,#N/A,FALSE,"Combo-IS";#N/A,#N/A,FALSE,"Combo-BS";#N/A,#N/A,FALSE,"Combo-CF"}</definedName>
    <definedName name="wrn.ComboState." hidden="1">{#N/A,#N/A,FALSE,"Combo-Ass ";#N/A,#N/A,FALSE,"Combo-IS";#N/A,#N/A,FALSE,"Combo-BS";#N/A,#N/A,FALSE,"Combo-CF"}</definedName>
    <definedName name="wrn.Complete._.Report.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._.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localSheetId="2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mpleteReport." hidden="1">{"A",#N/A,FALSE,"Scenario Control";"A",#N/A,FALSE,"Executive Summary";"A",#N/A,FALSE,"P&amp;L";"B",#N/A,FALSE,"P&amp;L";"A",#N/A,FALSE,"BalanceSheet";"B",#N/A,FALSE,"BalanceSheet";"A",#N/A,FALSE,"CashFlow";"A",#N/A,FALSE,"Ratios";"A",#N/A,FALSE,"DCF";"A",#N/A,FALSE,"WACC";"A",#N/A,FALSE,"P&amp;VAssumpts";"A",#N/A,FALSE,"Depr-Capex";"A",#N/A,FALSE,"SHF";"A",#N/A,FALSE,"Debt";"A",#N/A,FALSE,"Working Capital";"A",#N/A,FALSE,"Other Assumptions";"A",#N/A,FALSE,"Regulated Price";"B",#N/A,FALSE,"Regulated Price";"A",#N/A,FALSE,"BG Investment";"A",#N/A,FALSE,"Appendix"}</definedName>
    <definedName name="wrn.Consolidated._.Statements." localSheetId="2" hidden="1">{"view1",#N/A,FALSE,"EARN (US$)";"view1",#N/A,FALSE,"DASTBS (US$)";"view1",#N/A,FALSE,"DASTCF (US$)"}</definedName>
    <definedName name="wrn.Consolidated._.Statements." localSheetId="12" hidden="1">{"view1",#N/A,FALSE,"EARN (US$)";"view1",#N/A,FALSE,"DASTBS (US$)";"view1",#N/A,FALSE,"DASTCF (US$)"}</definedName>
    <definedName name="wrn.Consolidated._.Statements." localSheetId="7" hidden="1">{"view1",#N/A,FALSE,"EARN (US$)";"view1",#N/A,FALSE,"DASTBS (US$)";"view1",#N/A,FALSE,"DASTCF (US$)"}</definedName>
    <definedName name="wrn.Consolidated._.Statements." hidden="1">{"view1",#N/A,FALSE,"EARN (US$)";"view1",#N/A,FALSE,"DASTBS (US$)";"view1",#N/A,FALSE,"DASTCF (US$)"}</definedName>
    <definedName name="wrn.CONSOLIDATION." localSheetId="2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12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7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localSheetId="5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NSOLIDATION." hidden="1">{"PAGE1",#N/A,FALSE,"Consolidation";"PAGE2",#N/A,FALSE,"Consolidation";"PAGE3",#N/A,FALSE,"Consolidation";"PAGE4",#N/A,FALSE,"Consolidation";"PAGE5",#N/A,FALSE,"Consolidation";"PAGE6",#N/A,FALSE,"Consolidation";"PAGE7",#N/A,FALSE,"Consolidation"}</definedName>
    <definedName name="wrn.Covers." localSheetId="2" hidden="1">{"view1",#N/A,FALSE,"MOTEARN";"view1",#N/A,FALSE,"Bal Sht";"view1",#N/A,FALSE,"Cash Flows"}</definedName>
    <definedName name="wrn.Covers." localSheetId="12" hidden="1">{"view1",#N/A,FALSE,"MOTEARN";"view1",#N/A,FALSE,"Bal Sht";"view1",#N/A,FALSE,"Cash Flows"}</definedName>
    <definedName name="wrn.Covers." localSheetId="7" hidden="1">{"view1",#N/A,FALSE,"MOTEARN";"view1",#N/A,FALSE,"Bal Sht";"view1",#N/A,FALSE,"Cash Flows"}</definedName>
    <definedName name="wrn.Covers." hidden="1">{"view1",#N/A,FALSE,"MOTEARN";"view1",#N/A,FALSE,"Bal Sht";"view1",#N/A,FALSE,"Cash Flows"}</definedName>
    <definedName name="wrn.CRH." localSheetId="2" hidden="1">{"FRONT (CRH) (25)",#N/A,TRUE,"CRH";"P_AND_L (CRH) (25)",#N/A,TRUE,"CRH";"CASH_AND_VAL (CRH) (25)",#N/A,TRUE,"CRH";"CASHFLOW (CRH) (25)",#N/A,TRUE,"CRH";"MODELS (CRH) (25)",#N/A,TRUE,"CRH"}</definedName>
    <definedName name="wrn.CRH." localSheetId="12" hidden="1">{"FRONT (CRH) (25)",#N/A,TRUE,"CRH";"P_AND_L (CRH) (25)",#N/A,TRUE,"CRH";"CASH_AND_VAL (CRH) (25)",#N/A,TRUE,"CRH";"CASHFLOW (CRH) (25)",#N/A,TRUE,"CRH";"MODELS (CRH) (25)",#N/A,TRUE,"CRH"}</definedName>
    <definedName name="wrn.CRH." localSheetId="7" hidden="1">{"FRONT (CRH) (25)",#N/A,TRUE,"CRH";"P_AND_L (CRH) (25)",#N/A,TRUE,"CRH";"CASH_AND_VAL (CRH) (25)",#N/A,TRUE,"CRH";"CASHFLOW (CRH) (25)",#N/A,TRUE,"CRH";"MODELS (CRH) (25)",#N/A,TRUE,"CRH"}</definedName>
    <definedName name="wrn.CRH." hidden="1">{"FRONT (CRH) (25)",#N/A,TRUE,"CRH";"P_AND_L (CRH) (25)",#N/A,TRUE,"CRH";"CASH_AND_VAL (CRH) (25)",#N/A,TRUE,"CRH";"CASHFLOW (CRH) (25)",#N/A,TRUE,"CRH";"MODELS (CRH) (25)",#N/A,TRUE,"CRH"}</definedName>
    <definedName name="wrn.CUPID." localSheetId="2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localSheetId="12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localSheetId="7" hidden="1">{"Guide",#N/A,FALSE,"Guidant";"Boston Sci",#N/A,FALSE,"Boston Scientific";"Medtro",#N/A,FALSE,"Medtronic";"St. Jude",#N/A,FALSE,"St. Jude";"Pfi",#N/A,FALSE,"Pfizer";"Bard",#N/A,FALSE,"Bard";"Johns",#N/A,FALSE,"Johnson"}</definedName>
    <definedName name="wrn.CUPID." hidden="1">{"Guide",#N/A,FALSE,"Guidant";"Boston Sci",#N/A,FALSE,"Boston Scientific";"Medtro",#N/A,FALSE,"Medtronic";"St. Jude",#N/A,FALSE,"St. Jude";"Pfi",#N/A,FALSE,"Pfizer";"Bard",#N/A,FALSE,"Bard";"Johns",#N/A,FALSE,"Johnson"}</definedName>
    <definedName name="wrn.database." localSheetId="2" hidden="1">{"subs",#N/A,FALSE,"database ";"proportional",#N/A,FALSE,"database "}</definedName>
    <definedName name="wrn.database." hidden="1">{"subs",#N/A,FALSE,"database ";"proportional",#N/A,FALSE,"database "}</definedName>
    <definedName name="wrn.Dataproj1." localSheetId="2" hidden="1">{#N/A,#N/A,FALSE,"Front Page";#N/A,#N/A,FALSE,"Page 2";#N/A,#N/A,FALSE,"Page 3";#N/A,#N/A,FALSE,"Loan Growth"}</definedName>
    <definedName name="wrn.Dataproj1." hidden="1">{#N/A,#N/A,FALSE,"Front Page";#N/A,#N/A,FALSE,"Page 2";#N/A,#N/A,FALSE,"Page 3";#N/A,#N/A,FALSE,"Loan Growth"}</definedName>
    <definedName name="wrn.Detailed._.P._.and._.L." localSheetId="2" hidden="1">{"P and L Detail Page 1",#N/A,FALSE,"Data";"P and L Detail Page 2",#N/A,FALSE,"Data"}</definedName>
    <definedName name="wrn.Detailed._.P._.and._.L." localSheetId="12" hidden="1">{"P and L Detail Page 1",#N/A,FALSE,"Data";"P and L Detail Page 2",#N/A,FALSE,"Data"}</definedName>
    <definedName name="wrn.Detailed._.P._.and._.L." localSheetId="7" hidden="1">{"P and L Detail Page 1",#N/A,FALSE,"Data";"P and L Detail Page 2",#N/A,FALSE,"Data"}</definedName>
    <definedName name="wrn.Detailed._.P._.and._.L." hidden="1">{"P and L Detail Page 1",#N/A,FALSE,"Data";"P and L Detail Page 2",#N/A,FALSE,"Data"}</definedName>
    <definedName name="wrn.Detailed._.P._.and._.L.2" localSheetId="2" hidden="1">{"P and L Detail Page 1",#N/A,FALSE,"Data";"P and L Detail Page 2",#N/A,FALSE,"Data"}</definedName>
    <definedName name="wrn.Detailed._.P._.and._.L.2" localSheetId="12" hidden="1">{"P and L Detail Page 1",#N/A,FALSE,"Data";"P and L Detail Page 2",#N/A,FALSE,"Data"}</definedName>
    <definedName name="wrn.Detailed._.P._.and._.L.2" localSheetId="7" hidden="1">{"P and L Detail Page 1",#N/A,FALSE,"Data";"P and L Detail Page 2",#N/A,FALSE,"Data"}</definedName>
    <definedName name="wrn.Detailed._.P._.and._.L.2" hidden="1">{"P and L Detail Page 1",#N/A,FALSE,"Data";"P and L Detail Page 2",#N/A,FALSE,"Data"}</definedName>
    <definedName name="wrn.dil_anal." localSheetId="2" hidden="1">{"hiden",#N/A,FALSE,"14";"hidden",#N/A,FALSE,"16";"hidden",#N/A,FALSE,"18";"hidden",#N/A,FALSE,"20"}</definedName>
    <definedName name="wrn.dil_anal." localSheetId="12" hidden="1">{"hiden",#N/A,FALSE,"14";"hidden",#N/A,FALSE,"16";"hidden",#N/A,FALSE,"18";"hidden",#N/A,FALSE,"20"}</definedName>
    <definedName name="wrn.dil_anal." localSheetId="7" hidden="1">{"hiden",#N/A,FALSE,"14";"hidden",#N/A,FALSE,"16";"hidden",#N/A,FALSE,"18";"hidden",#N/A,FALSE,"20"}</definedName>
    <definedName name="wrn.dil_anal." hidden="1">{"hiden",#N/A,FALSE,"14";"hidden",#N/A,FALSE,"16";"hidden",#N/A,FALSE,"18";"hidden",#N/A,FALSE,"20"}</definedName>
    <definedName name="wrn.document." localSheetId="2" hidden="1">{"comp",#N/A,FALSE,"SPEC";"footnotes",#N/A,FALSE,"SPEC"}</definedName>
    <definedName name="wrn.document." localSheetId="12" hidden="1">{"comp",#N/A,FALSE,"SPEC";"footnotes",#N/A,FALSE,"SPEC"}</definedName>
    <definedName name="wrn.document." localSheetId="7" hidden="1">{"comp",#N/A,FALSE,"SPEC";"footnotes",#N/A,FALSE,"SPEC"}</definedName>
    <definedName name="wrn.document." hidden="1">{"comp",#N/A,FALSE,"SPEC";"footnotes",#N/A,FALSE,"SPEC"}</definedName>
    <definedName name="wrn.documentaero." localSheetId="2" hidden="1">{"comps2",#N/A,FALSE,"AERO";"footnotes",#N/A,FALSE,"AERO"}</definedName>
    <definedName name="wrn.documentaero." localSheetId="12" hidden="1">{"comps2",#N/A,FALSE,"AERO";"footnotes",#N/A,FALSE,"AERO"}</definedName>
    <definedName name="wrn.documentaero." localSheetId="7" hidden="1">{"comps2",#N/A,FALSE,"AERO";"footnotes",#N/A,FALSE,"AERO"}</definedName>
    <definedName name="wrn.documentaero." hidden="1">{"comps2",#N/A,FALSE,"AERO";"footnotes",#N/A,FALSE,"AERO"}</definedName>
    <definedName name="wrn.documenthand." localSheetId="2" hidden="1">{"comps",#N/A,FALSE,"HANDPACK";"footnotes",#N/A,FALSE,"HANDPACK"}</definedName>
    <definedName name="wrn.documenthand." localSheetId="12" hidden="1">{"comps",#N/A,FALSE,"HANDPACK";"footnotes",#N/A,FALSE,"HANDPACK"}</definedName>
    <definedName name="wrn.documenthand." localSheetId="7" hidden="1">{"comps",#N/A,FALSE,"HANDPACK";"footnotes",#N/A,FALSE,"HANDPACK"}</definedName>
    <definedName name="wrn.documenthand." hidden="1">{"comps",#N/A,FALSE,"HANDPACK";"footnotes",#N/A,FALSE,"HANDPACK"}</definedName>
    <definedName name="wrn.Earnings._.Model." localSheetId="12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arnings._.Model." hidden="1">{#N/A,#N/A,FALSE,"Product Revenue";#N/A,#N/A,FALSE,"Geographic Revenue";#N/A,#N/A,FALSE,"Income Statement - As Reported";#N/A,#N/A,FALSE,"Income Statement - Operating";#N/A,#N/A,FALSE,"Income Statement - %Revenue";#N/A,#N/A,FALSE,"Year-over-Year Growth";#N/A,#N/A,FALSE,"Sequential Growth";#N/A,#N/A,FALSE,"Balance Sheet";#N/A,#N/A,FALSE,"Cash Flow";#N/A,#N/A,FALSE,"Ratios";#N/A,#N/A,FALSE,"Valuation"}</definedName>
    <definedName name="wrn.Employee._.Efficiency." localSheetId="2" hidden="1">{"Employee Efficiency",#N/A,FALSE,"Benchmarking"}</definedName>
    <definedName name="wrn.Employee._.Efficiency." hidden="1">{"Employee Efficiency",#N/A,FALSE,"Benchmarking"}</definedName>
    <definedName name="wrn.equity._.comps." localSheetId="2" hidden="1">{"equity comps",#N/A,FALSE,"CS Comps";"equity comps",#N/A,FALSE,"PS Comps";"equity comps",#N/A,FALSE,"GIC_Comps";"equity comps",#N/A,FALSE,"GIC2_Comps"}</definedName>
    <definedName name="wrn.equity._.comps." localSheetId="12" hidden="1">{"equity comps",#N/A,FALSE,"CS Comps";"equity comps",#N/A,FALSE,"PS Comps";"equity comps",#N/A,FALSE,"GIC_Comps";"equity comps",#N/A,FALSE,"GIC2_Comps"}</definedName>
    <definedName name="wrn.equity._.comps." localSheetId="7" hidden="1">{"equity comps",#N/A,FALSE,"CS Comps";"equity comps",#N/A,FALSE,"PS Comps";"equity comps",#N/A,FALSE,"GIC_Comps";"equity comps",#N/A,FALSE,"GIC2_Comps"}</definedName>
    <definedName name="wrn.equity._.comps." hidden="1">{"equity comps",#N/A,FALSE,"CS Comps";"equity comps",#N/A,FALSE,"PS Comps";"equity comps",#N/A,FALSE,"GIC_Comps";"equity comps",#N/A,FALSE,"GIC2_Comps"}</definedName>
    <definedName name="wrn.Everything." localSheetId="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12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localSheetId="7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Everything." hidden="1">{#N/A,#N/A,FALSE,"BNSF";#N/A,#N/A,FALSE,"KC";#N/A,#N/A,FALSE,"KCws";#N/A,#N/A,FALSE,"MergKC";#N/A,#N/A,FALSE,"CredStwKC";#N/A,#N/A,FALSE,"SP";#N/A,#N/A,FALSE,"SPws";#N/A,#N/A,FALSE,"MergSP";#N/A,#N/A,FALSE,"CredStwSP";#N/A,#N/A,FALSE,"SPbrkup";#N/A,#N/A,FALSE,"SPwBNSFws";#N/A,#N/A,FALSE,"MergSPwBNSF";#N/A,#N/A,FALSE,"CredStSPwBNSF (2)";#N/A,#N/A,FALSE,"SPwKCws (2)";#N/A,#N/A,FALSE,"MergSPwKC (2)";#N/A,#N/A,FALSE,"CredStKCwSP";#N/A,#N/A,FALSE,"ILL";#N/A,#N/A,FALSE,"SPwILLws";#N/A,#N/A,FALSE,"CredStILLwSP";#N/A,#N/A,FALSE,"MergSPwILL";#N/A,#N/A,FALSE,"CredStILLwSP";#N/A,#N/A,FALSE,"Conrail";#N/A,#N/A,FALSE,"CONws";#N/A,#N/A,FALSE,"MergCON";#N/A,#N/A,FALSE,"CredStwCON";#N/A,#N/A,FALSE,"SPwCONws ";#N/A,#N/A,FALSE,"MergSPwCON";#N/A,#N/A,FALSE,"CredStILLwCON";#N/A,#N/A,FALSE,"SPws (2)";#N/A,#N/A,FALSE,"MergSP (2)";#N/A,#N/A,FALSE,"CredStwSP (2)";#N/A,#N/A,FALSE,"CSX";#N/A,#N/A,FALSE,"CSXws";#N/A,#N/A,FALSE,"MergCSX";#N/A,#N/A,FALSE,"CredStwCSX";#N/A,#N/A,FALSE,"Norfolk";#N/A,#N/A,FALSE,"NORws";#N/A,#N/A,FALSE,"MergNOR";#N/A,#N/A,FALSE,"CredStwNOR";#N/A,#N/A,FALSE,"NORwCONws";#N/A,#N/A,FALSE,"MergNORwCON"}</definedName>
    <definedName name="wrn.Financial._.Output." localSheetId="2" hidden="1">{"P and L",#N/A,FALSE,"Financial Output";"Cashflow",#N/A,FALSE,"Financial Output";"Balance Sheet",#N/A,FALSE,"Financial Output"}</definedName>
    <definedName name="wrn.Financial._.Output." localSheetId="12" hidden="1">{"P and L",#N/A,FALSE,"Financial Output";"Cashflow",#N/A,FALSE,"Financial Output";"Balance Sheet",#N/A,FALSE,"Financial Output"}</definedName>
    <definedName name="wrn.Financial._.Output." localSheetId="7" hidden="1">{"P and L",#N/A,FALSE,"Financial Output";"Cashflow",#N/A,FALSE,"Financial Output";"Balance Sheet",#N/A,FALSE,"Financial Output"}</definedName>
    <definedName name="wrn.Financial._.Output." hidden="1">{"P and L",#N/A,FALSE,"Financial Output";"Cashflow",#N/A,FALSE,"Financial Output";"Balance Sheet",#N/A,FALSE,"Financial Output"}</definedName>
    <definedName name="wrn.Financial._.Output.2" localSheetId="2" hidden="1">{"P and L",#N/A,FALSE,"Financial Output";"Cashflow",#N/A,FALSE,"Financial Output";"Balance Sheet",#N/A,FALSE,"Financial Output"}</definedName>
    <definedName name="wrn.Financial._.Output.2" localSheetId="12" hidden="1">{"P and L",#N/A,FALSE,"Financial Output";"Cashflow",#N/A,FALSE,"Financial Output";"Balance Sheet",#N/A,FALSE,"Financial Output"}</definedName>
    <definedName name="wrn.Financial._.Output.2" localSheetId="7" hidden="1">{"P and L",#N/A,FALSE,"Financial Output";"Cashflow",#N/A,FALSE,"Financial Output";"Balance Sheet",#N/A,FALSE,"Financial Output"}</definedName>
    <definedName name="wrn.Financial._.Output.2" hidden="1">{"P and L",#N/A,FALSE,"Financial Output";"Cashflow",#N/A,FALSE,"Financial Output";"Balance Sheet",#N/A,FALSE,"Financial Output"}</definedName>
    <definedName name="wrn.First._.Grap._.on._.Things." localSheetId="2" hidden="1">{#N/A,#N/A,FALSE,"Overview"}</definedName>
    <definedName name="wrn.First._.Grap._.on._.Things." localSheetId="12" hidden="1">{#N/A,#N/A,FALSE,"Overview"}</definedName>
    <definedName name="wrn.First._.Grap._.on._.Things." localSheetId="7" hidden="1">{#N/A,#N/A,FALSE,"Overview"}</definedName>
    <definedName name="wrn.First._.Grap._.on._.Things." hidden="1">{#N/A,#N/A,FALSE,"Overview"}</definedName>
    <definedName name="wrn.Five._.Year._.Record." localSheetId="2" hidden="1">{"Five Year Record",#N/A,FALSE,"Front and Back"}</definedName>
    <definedName name="wrn.Five._.Year._.Record." localSheetId="12" hidden="1">{"Five Year Record",#N/A,FALSE,"Front and Back"}</definedName>
    <definedName name="wrn.Five._.Year._.Record." localSheetId="7" hidden="1">{"Five Year Record",#N/A,FALSE,"Front and Back"}</definedName>
    <definedName name="wrn.Five._.Year._.Record." hidden="1">{"Five Year Record",#N/A,FALSE,"Front and Back"}</definedName>
    <definedName name="wrn.Five._.Year._.Record.2" localSheetId="2" hidden="1">{"Five Year Record",#N/A,FALSE,"Front and Back"}</definedName>
    <definedName name="wrn.Five._.Year._.Record.2" localSheetId="12" hidden="1">{"Five Year Record",#N/A,FALSE,"Front and Back"}</definedName>
    <definedName name="wrn.Five._.Year._.Record.2" localSheetId="7" hidden="1">{"Five Year Record",#N/A,FALSE,"Front and Back"}</definedName>
    <definedName name="wrn.Five._.Year._.Record.2" hidden="1">{"Five Year Record",#N/A,FALSE,"Front and Back"}</definedName>
    <definedName name="wrn.Front._.Page." localSheetId="2" hidden="1">{"Front Page",#N/A,FALSE,"Front and Back"}</definedName>
    <definedName name="wrn.Front._.Page." localSheetId="12" hidden="1">{"Front Page",#N/A,FALSE,"Front and Back"}</definedName>
    <definedName name="wrn.Front._.Page." localSheetId="7" hidden="1">{"Front Page",#N/A,FALSE,"Front and Back"}</definedName>
    <definedName name="wrn.Front._.Page." hidden="1">{"Front Page",#N/A,FALSE,"Front and Back"}</definedName>
    <definedName name="wrn.Front._.Page.2" localSheetId="2" hidden="1">{"Front Page",#N/A,FALSE,"Front and Back"}</definedName>
    <definedName name="wrn.Front._.Page.2" localSheetId="12" hidden="1">{"Front Page",#N/A,FALSE,"Front and Back"}</definedName>
    <definedName name="wrn.Front._.Page.2" localSheetId="7" hidden="1">{"Front Page",#N/A,FALSE,"Front and Back"}</definedName>
    <definedName name="wrn.Front._.Page.2" hidden="1">{"Front Page",#N/A,FALSE,"Front and Back"}</definedName>
    <definedName name="wrn.Full._.report." localSheetId="2" hidden="1">{"Full annual",#N/A,FALSE,"Master";"P and L halfyearly",#N/A,FALSE,"Master";"Underlying halfyearly",#N/A,FALSE,"Master"}</definedName>
    <definedName name="wrn.Full._.report." localSheetId="12" hidden="1">{"Full annual",#N/A,FALSE,"Master";"P and L halfyearly",#N/A,FALSE,"Master";"Underlying halfyearly",#N/A,FALSE,"Master"}</definedName>
    <definedName name="wrn.Full._.report." localSheetId="7" hidden="1">{"Full annual",#N/A,FALSE,"Master";"P and L halfyearly",#N/A,FALSE,"Master";"Underlying halfyearly",#N/A,FALSE,"Master"}</definedName>
    <definedName name="wrn.Full._.report." hidden="1">{"Full annual",#N/A,FALSE,"Master";"P and L halfyearly",#N/A,FALSE,"Master";"Underlying halfyearly",#N/A,FALSE,"Master"}</definedName>
    <definedName name="wrn.Full_Client." localSheetId="2" hidden="1">{"Full_Year",#N/A,FALSE,"PE1_S";"Automotive",#N/A,FALSE,"Auto_EBIT";#N/A,#N/A,FALSE,"Industrial_EBIT";#N/A,#N/A,FALSE,"Webforge_EBIT"}</definedName>
    <definedName name="wrn.Full_Client." localSheetId="5" hidden="1">{"Full_Year",#N/A,FALSE,"PE1_S";"Automotive",#N/A,FALSE,"Auto_EBIT";#N/A,#N/A,FALSE,"Industrial_EBIT";#N/A,#N/A,FALSE,"Webforge_EBIT"}</definedName>
    <definedName name="wrn.Full_Client." hidden="1">{"Full_Year",#N/A,FALSE,"PE1_S";"Automotive",#N/A,FALSE,"Auto_EBIT";#N/A,#N/A,FALSE,"Industrial_EBIT";#N/A,#N/A,FALSE,"Webforge_EBIT"}</definedName>
    <definedName name="wrn.Geographic._.Trends." localSheetId="2" hidden="1">{"Geographic P1",#N/A,FALSE,"Division &amp; Geog"}</definedName>
    <definedName name="wrn.Geographic._.Trends." localSheetId="12" hidden="1">{"Geographic P1",#N/A,FALSE,"Division &amp; Geog"}</definedName>
    <definedName name="wrn.Geographic._.Trends." localSheetId="7" hidden="1">{"Geographic P1",#N/A,FALSE,"Division &amp; Geog"}</definedName>
    <definedName name="wrn.Geographic._.Trends." hidden="1">{"Geographic P1",#N/A,FALSE,"Division &amp; Geog"}</definedName>
    <definedName name="wrn.Geographic._.Trends.2" localSheetId="2" hidden="1">{"Geographic P1",#N/A,FALSE,"Division &amp; Geog"}</definedName>
    <definedName name="wrn.Geographic._.Trends.2" localSheetId="12" hidden="1">{"Geographic P1",#N/A,FALSE,"Division &amp; Geog"}</definedName>
    <definedName name="wrn.Geographic._.Trends.2" localSheetId="7" hidden="1">{"Geographic P1",#N/A,FALSE,"Division &amp; Geog"}</definedName>
    <definedName name="wrn.Geographic._.Trends.2" hidden="1">{"Geographic P1",#N/A,FALSE,"Division &amp; Geog"}</definedName>
    <definedName name="wrn.GRAHAM." localSheetId="2" hidden="1">{"FRONT (GRAHAM) (30)",#N/A,TRUE,"GRAHAM";"P_AND_L (GRAHAM) (30)",#N/A,TRUE,"GRAHAM";"CASH_AND_VAL (GRAHAM) (30)",#N/A,TRUE,"GRAHAM";"HISTORIC PERFORMANCE (GRAHAM) (30)",#N/A,TRUE,"GRAHAM"}</definedName>
    <definedName name="wrn.GRAHAM." localSheetId="12" hidden="1">{"FRONT (GRAHAM) (30)",#N/A,TRUE,"GRAHAM";"P_AND_L (GRAHAM) (30)",#N/A,TRUE,"GRAHAM";"CASH_AND_VAL (GRAHAM) (30)",#N/A,TRUE,"GRAHAM";"HISTORIC PERFORMANCE (GRAHAM) (30)",#N/A,TRUE,"GRAHAM"}</definedName>
    <definedName name="wrn.GRAHAM." localSheetId="7" hidden="1">{"FRONT (GRAHAM) (30)",#N/A,TRUE,"GRAHAM";"P_AND_L (GRAHAM) (30)",#N/A,TRUE,"GRAHAM";"CASH_AND_VAL (GRAHAM) (30)",#N/A,TRUE,"GRAHAM";"HISTORIC PERFORMANCE (GRAHAM) (30)",#N/A,TRUE,"GRAHAM"}</definedName>
    <definedName name="wrn.GRAHAM." hidden="1">{"FRONT (GRAHAM) (30)",#N/A,TRUE,"GRAHAM";"P_AND_L (GRAHAM) (30)",#N/A,TRUE,"GRAHAM";"CASH_AND_VAL (GRAHAM) (30)",#N/A,TRUE,"GRAHAM";"HISTORIC PERFORMANCE (GRAHAM) (30)",#N/A,TRUE,"GRAHAM"}</definedName>
    <definedName name="wrn.HANSON." localSheetId="2" hidden="1">{"P AND L (HANSON) (25)",#N/A,TRUE,"HANSON";"CASHFLOW (HANSON) (25)",#N/A,TRUE,"HANSON";"VALUATION (HANSON) (23)",#N/A,TRUE,"HANSON";"MODELS (HANSON) (25)",#N/A,TRUE,"HANSON";"CASHMODEL (HANSON) (25)",#N/A,TRUE,"HANSON";"BRICKS (HANSON) (25)",#N/A,TRUE,"HANSON";"ARC (HANSON) (25)",#N/A,TRUE,"HANSON";"VALUATION (HANSON) (25)",#N/A,TRUE,"HANSON"}</definedName>
    <definedName name="wrn.HANSON." localSheetId="12" hidden="1">{"P AND L (HANSON) (25)",#N/A,TRUE,"HANSON";"CASHFLOW (HANSON) (25)",#N/A,TRUE,"HANSON";"VALUATION (HANSON) (23)",#N/A,TRUE,"HANSON";"MODELS (HANSON) (25)",#N/A,TRUE,"HANSON";"CASHMODEL (HANSON) (25)",#N/A,TRUE,"HANSON";"BRICKS (HANSON) (25)",#N/A,TRUE,"HANSON";"ARC (HANSON) (25)",#N/A,TRUE,"HANSON";"VALUATION (HANSON) (25)",#N/A,TRUE,"HANSON"}</definedName>
    <definedName name="wrn.HANSON." localSheetId="7" hidden="1">{"P AND L (HANSON) (25)",#N/A,TRUE,"HANSON";"CASHFLOW (HANSON) (25)",#N/A,TRUE,"HANSON";"VALUATION (HANSON) (23)",#N/A,TRUE,"HANSON";"MODELS (HANSON) (25)",#N/A,TRUE,"HANSON";"CASHMODEL (HANSON) (25)",#N/A,TRUE,"HANSON";"BRICKS (HANSON) (25)",#N/A,TRUE,"HANSON";"ARC (HANSON) (25)",#N/A,TRUE,"HANSON";"VALUATION (HANSON) (25)",#N/A,TRUE,"HANSON"}</definedName>
    <definedName name="wrn.HANSON." hidden="1">{"P AND L (HANSON) (25)",#N/A,TRUE,"HANSON";"CASHFLOW (HANSON) (25)",#N/A,TRUE,"HANSON";"VALUATION (HANSON) (23)",#N/A,TRUE,"HANSON";"MODELS (HANSON) (25)",#N/A,TRUE,"HANSON";"CASHMODEL (HANSON) (25)",#N/A,TRUE,"HANSON";"BRICKS (HANSON) (25)",#N/A,TRUE,"HANSON";"ARC (HANSON) (25)",#N/A,TRUE,"HANSON";"VALUATION (HANSON) (25)",#N/A,TRUE,"HANSON"}</definedName>
    <definedName name="wrn.HEAVYSIDE." localSheetId="2" hidden="1">{#N/A,#N/A,FALSE,"HEAVYSIDE";"HEAVYSIDE",#N/A,FALSE,"HEAVYSIDE";"HEAVYSIDE2",#N/A,FALSE,"HEAVYSIDE"}</definedName>
    <definedName name="wrn.HEAVYSIDE." localSheetId="12" hidden="1">{#N/A,#N/A,FALSE,"HEAVYSIDE";"HEAVYSIDE",#N/A,FALSE,"HEAVYSIDE";"HEAVYSIDE2",#N/A,FALSE,"HEAVYSIDE"}</definedName>
    <definedName name="wrn.HEAVYSIDE." localSheetId="7" hidden="1">{#N/A,#N/A,FALSE,"HEAVYSIDE";"HEAVYSIDE",#N/A,FALSE,"HEAVYSIDE";"HEAVYSIDE2",#N/A,FALSE,"HEAVYSIDE"}</definedName>
    <definedName name="wrn.HEAVYSIDE." hidden="1">{#N/A,#N/A,FALSE,"HEAVYSIDE";"HEAVYSIDE",#N/A,FALSE,"HEAVYSIDE";"HEAVYSIDE2",#N/A,FALSE,"HEAVYSIDE"}</definedName>
    <definedName name="wrn.HEPWORTH." localSheetId="2" hidden="1">{"FRONT (HEPWORTH) (25)",#N/A,TRUE,"HEPWORTH";"P_AND_L (HEPWORTH) (25)",#N/A,TRUE,"HEPWORTH";"CASH_AND_VAL (HEPWORTH) (25)",#N/A,TRUE,"HEPWORTH";"MODELS (HEPWORTH) (25)",#N/A,TRUE,"HEPWORTH"}</definedName>
    <definedName name="wrn.HEPWORTH." localSheetId="12" hidden="1">{"FRONT (HEPWORTH) (25)",#N/A,TRUE,"HEPWORTH";"P_AND_L (HEPWORTH) (25)",#N/A,TRUE,"HEPWORTH";"CASH_AND_VAL (HEPWORTH) (25)",#N/A,TRUE,"HEPWORTH";"MODELS (HEPWORTH) (25)",#N/A,TRUE,"HEPWORTH"}</definedName>
    <definedName name="wrn.HEPWORTH." localSheetId="7" hidden="1">{"FRONT (HEPWORTH) (25)",#N/A,TRUE,"HEPWORTH";"P_AND_L (HEPWORTH) (25)",#N/A,TRUE,"HEPWORTH";"CASH_AND_VAL (HEPWORTH) (25)",#N/A,TRUE,"HEPWORTH";"MODELS (HEPWORTH) (25)",#N/A,TRUE,"HEPWORTH"}</definedName>
    <definedName name="wrn.HEPWORTH." hidden="1">{"FRONT (HEPWORTH) (25)",#N/A,TRUE,"HEPWORTH";"P_AND_L (HEPWORTH) (25)",#N/A,TRUE,"HEPWORTH";"CASH_AND_VAL (HEPWORTH) (25)",#N/A,TRUE,"HEPWORTH";"MODELS (HEPWORTH) (25)",#N/A,TRUE,"HEPWORTH"}</definedName>
    <definedName name="wrn.HEYWOOD." localSheetId="2" hidden="1">{"FRONT (HEYWOOD W) (25)",#N/A,TRUE,"HEYWOOD W";"P_AND_L (HEYWOOD W) (25)",#N/A,TRUE,"HEYWOOD W";"CASH_AND_VAL (HEYWOOD W) (25)",#N/A,TRUE,"HEYWOOD W";"USAMODEL (HEYWOOD W) (25)",#N/A,TRUE,"HEYWOOD W";"UKMODEL (HEYWOOD W) (25)",#N/A,TRUE,"HEYWOOD W"}</definedName>
    <definedName name="wrn.HEYWOOD." localSheetId="12" hidden="1">{"FRONT (HEYWOOD W) (25)",#N/A,TRUE,"HEYWOOD W";"P_AND_L (HEYWOOD W) (25)",#N/A,TRUE,"HEYWOOD W";"CASH_AND_VAL (HEYWOOD W) (25)",#N/A,TRUE,"HEYWOOD W";"USAMODEL (HEYWOOD W) (25)",#N/A,TRUE,"HEYWOOD W";"UKMODEL (HEYWOOD W) (25)",#N/A,TRUE,"HEYWOOD W"}</definedName>
    <definedName name="wrn.HEYWOOD." localSheetId="7" hidden="1">{"FRONT (HEYWOOD W) (25)",#N/A,TRUE,"HEYWOOD W";"P_AND_L (HEYWOOD W) (25)",#N/A,TRUE,"HEYWOOD W";"CASH_AND_VAL (HEYWOOD W) (25)",#N/A,TRUE,"HEYWOOD W";"USAMODEL (HEYWOOD W) (25)",#N/A,TRUE,"HEYWOOD W";"UKMODEL (HEYWOOD W) (25)",#N/A,TRUE,"HEYWOOD W"}</definedName>
    <definedName name="wrn.HEYWOOD." hidden="1">{"FRONT (HEYWOOD W) (25)",#N/A,TRUE,"HEYWOOD W";"P_AND_L (HEYWOOD W) (25)",#N/A,TRUE,"HEYWOOD W";"CASH_AND_VAL (HEYWOOD W) (25)",#N/A,TRUE,"HEYWOOD W";"USAMODEL (HEYWOOD W) (25)",#N/A,TRUE,"HEYWOOD W";"UKMODEL (HEYWOOD W) (25)",#N/A,TRUE,"HEYWOOD W"}</definedName>
    <definedName name="wrn.IBSTOCK." localSheetId="2" hidden="1">{"FRONT",#N/A,FALSE,"IBSTOCK - NEW";"P_AND_L",#N/A,FALSE,"IBSTOCK - NEW";"UK_BRICKS",#N/A,FALSE,"IBSTOCK - NEW";"CASH_AND_VAL",#N/A,FALSE,"IBSTOCK - NEW"}</definedName>
    <definedName name="wrn.IBSTOCK." localSheetId="12" hidden="1">{"FRONT",#N/A,FALSE,"IBSTOCK - NEW";"P_AND_L",#N/A,FALSE,"IBSTOCK - NEW";"UK_BRICKS",#N/A,FALSE,"IBSTOCK - NEW";"CASH_AND_VAL",#N/A,FALSE,"IBSTOCK - NEW"}</definedName>
    <definedName name="wrn.IBSTOCK." localSheetId="7" hidden="1">{"FRONT",#N/A,FALSE,"IBSTOCK - NEW";"P_AND_L",#N/A,FALSE,"IBSTOCK - NEW";"UK_BRICKS",#N/A,FALSE,"IBSTOCK - NEW";"CASH_AND_VAL",#N/A,FALSE,"IBSTOCK - NEW"}</definedName>
    <definedName name="wrn.IBSTOCK." hidden="1">{"FRONT",#N/A,FALSE,"IBSTOCK - NEW";"P_AND_L",#N/A,FALSE,"IBSTOCK - NEW";"UK_BRICKS",#N/A,FALSE,"IBSTOCK - NEW";"CASH_AND_VAL",#N/A,FALSE,"IBSTOCK - NEW"}</definedName>
    <definedName name="wrn.international." localSheetId="2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international." hidden="1">{"sweden",#N/A,FALSE,"Sweden";"germany",#N/A,FALSE,"Germany";"portugal",#N/A,FALSE,"Portugal";"belgium",#N/A,FALSE,"Belgium";"japan",#N/A,FALSE,"Japan ";"italy",#N/A,FALSE,"Italy";"spain",#N/A,FALSE,"Spain";"korea",#N/A,FALSE,"Korea"}</definedName>
    <definedName name="wrn.LIGHTSIDE." localSheetId="2" hidden="1">{"light1",#N/A,FALSE,"LIGHTSIDE";"light2",#N/A,FALSE,"LIGHTSIDE";"light3",#N/A,FALSE,"LIGHTSIDE";"light4",#N/A,FALSE,"LIGHTSIDE"}</definedName>
    <definedName name="wrn.LIGHTSIDE." localSheetId="12" hidden="1">{"light1",#N/A,FALSE,"LIGHTSIDE";"light2",#N/A,FALSE,"LIGHTSIDE";"light3",#N/A,FALSE,"LIGHTSIDE";"light4",#N/A,FALSE,"LIGHTSIDE"}</definedName>
    <definedName name="wrn.LIGHTSIDE." localSheetId="7" hidden="1">{"light1",#N/A,FALSE,"LIGHTSIDE";"light2",#N/A,FALSE,"LIGHTSIDE";"light3",#N/A,FALSE,"LIGHTSIDE";"light4",#N/A,FALSE,"LIGHTSIDE"}</definedName>
    <definedName name="wrn.LIGHTSIDE." hidden="1">{"light1",#N/A,FALSE,"LIGHTSIDE";"light2",#N/A,FALSE,"LIGHTSIDE";"light3",#N/A,FALSE,"LIGHTSIDE";"light4",#N/A,FALSE,"LIGHTSIDE"}</definedName>
    <definedName name="wrn.Line._.Efficiency." localSheetId="2" hidden="1">{"Line Efficiency",#N/A,FALSE,"Benchmarking"}</definedName>
    <definedName name="wrn.Line._.Efficiency." hidden="1">{"Line Efficiency",#N/A,FALSE,"Benchmarking"}</definedName>
    <definedName name="wrn.Main._.Report._.All._.Sections." localSheetId="2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12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7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localSheetId="5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in._.Report._.All._.Sections." hidden="1">{"Print",#N/A,FALSE,"Assmptns";"Print",#N/A,FALSE,"Scenarios";"Print",#N/A,FALSE,"DCF";"Print",#N/A,FALSE,"Plas_Forcst";"Print",#N/A,FALSE,"Bal_Sht";"Print",#N/A,FALSE,"Graphs";"Print",#N/A,FALSE,"Cap_Assuptn";"Print",#N/A,FALSE,"Waves";"Print",#N/A,FALSE,"Valuation";"Print1",#N/A,FALSE,"Comp_ChemSys";"Print1",#N/A,FALSE,"Scenarios";"Print Graphs",#N/A,FALSE,"Comp_ChemSys";"Print",#N/A,FALSE,"Bal_Graphs"}</definedName>
    <definedName name="wrn.MANUFACTURERS." localSheetId="2" hidden="1">{"summary",#N/A,FALSE,"MANUFACTURERS"}</definedName>
    <definedName name="wrn.MANUFACTURERS." localSheetId="12" hidden="1">{"summary",#N/A,FALSE,"MANUFACTURERS"}</definedName>
    <definedName name="wrn.MANUFACTURERS." localSheetId="7" hidden="1">{"summary",#N/A,FALSE,"MANUFACTURERS"}</definedName>
    <definedName name="wrn.MANUFACTURERS." hidden="1">{"summary",#N/A,FALSE,"MANUFACTURERS"}</definedName>
    <definedName name="wrn.MARLEY." localSheetId="2" hidden="1">{"FRONT",#N/A,TRUE,"MARLEY";"P_AND_L",#N/A,TRUE,"MARLEY";"CASH_AND_VAL",#N/A,TRUE,"MARLEY";"MODELS",#N/A,TRUE,"MARLEY"}</definedName>
    <definedName name="wrn.MARLEY." localSheetId="12" hidden="1">{"FRONT",#N/A,TRUE,"MARLEY";"P_AND_L",#N/A,TRUE,"MARLEY";"CASH_AND_VAL",#N/A,TRUE,"MARLEY";"MODELS",#N/A,TRUE,"MARLEY"}</definedName>
    <definedName name="wrn.MARLEY." localSheetId="7" hidden="1">{"FRONT",#N/A,TRUE,"MARLEY";"P_AND_L",#N/A,TRUE,"MARLEY";"CASH_AND_VAL",#N/A,TRUE,"MARLEY";"MODELS",#N/A,TRUE,"MARLEY"}</definedName>
    <definedName name="wrn.MARLEY." hidden="1">{"FRONT",#N/A,TRUE,"MARLEY";"P_AND_L",#N/A,TRUE,"MARLEY";"CASH_AND_VAL",#N/A,TRUE,"MARLEY";"MODELS",#N/A,TRUE,"MARLEY"}</definedName>
    <definedName name="wrn.MARSHALLS." localSheetId="2" hidden="1">{"PANDL (MARSHALLS) (25)",#N/A,TRUE,"MARSHALLS";"CASHFLOW (MARSHALLS) (25)",#N/A,TRUE,"MARSHALLS";"VALUATION (MARSHALLS) (25)",#N/A,TRUE,"MARSHALLS";"MODELS (MARSHALLS) (25)",#N/A,TRUE,"MARSHALLS"}</definedName>
    <definedName name="wrn.MARSHALLS." localSheetId="12" hidden="1">{"PANDL (MARSHALLS) (25)",#N/A,TRUE,"MARSHALLS";"CASHFLOW (MARSHALLS) (25)",#N/A,TRUE,"MARSHALLS";"VALUATION (MARSHALLS) (25)",#N/A,TRUE,"MARSHALLS";"MODELS (MARSHALLS) (25)",#N/A,TRUE,"MARSHALLS"}</definedName>
    <definedName name="wrn.MARSHALLS." localSheetId="7" hidden="1">{"PANDL (MARSHALLS) (25)",#N/A,TRUE,"MARSHALLS";"CASHFLOW (MARSHALLS) (25)",#N/A,TRUE,"MARSHALLS";"VALUATION (MARSHALLS) (25)",#N/A,TRUE,"MARSHALLS";"MODELS (MARSHALLS) (25)",#N/A,TRUE,"MARSHALLS"}</definedName>
    <definedName name="wrn.MARSHALLS." hidden="1">{"PANDL (MARSHALLS) (25)",#N/A,TRUE,"MARSHALLS";"CASHFLOW (MARSHALLS) (25)",#N/A,TRUE,"MARSHALLS";"VALUATION (MARSHALLS) (25)",#N/A,TRUE,"MARSHALLS";"MODELS (MARSHALLS) (25)",#N/A,TRUE,"MARSHALLS"}</definedName>
    <definedName name="wrn.MERCHANTS." localSheetId="2" hidden="1">{"merchants",#N/A,FALSE,"MERCHANTS";"merchants2",#N/A,FALSE,"MERCHANTS"}</definedName>
    <definedName name="wrn.MERCHANTS." localSheetId="12" hidden="1">{"merchants",#N/A,FALSE,"MERCHANTS";"merchants2",#N/A,FALSE,"MERCHANTS"}</definedName>
    <definedName name="wrn.MERCHANTS." localSheetId="7" hidden="1">{"merchants",#N/A,FALSE,"MERCHANTS";"merchants2",#N/A,FALSE,"MERCHANTS"}</definedName>
    <definedName name="wrn.MERCHANTS." hidden="1">{"merchants",#N/A,FALSE,"MERCHANTS";"merchants2",#N/A,FALSE,"MERCHANTS"}</definedName>
    <definedName name="wrn.MEYER." localSheetId="2" hidden="1">{"FRONT (MEYER) (23)",#N/A,TRUE,"MEYER";"P AND L (MEYER) (23)",#N/A,TRUE,"MEYER";"CASH AND VAL (MEYER) (23)",#N/A,TRUE,"MEYER";"DCF (MEYER) (23)",#N/A,TRUE,"MEYER";"JEWSON (MEYER) (23)",#N/A,TRUE,"MEYER";"HARCROS (MEYER) (23)",#N/A,TRUE,"MEYER";"PONT (MEYER) (23)",#N/A,TRUE,"MEYER"}</definedName>
    <definedName name="wrn.MEYER." localSheetId="12" hidden="1">{"FRONT (MEYER) (23)",#N/A,TRUE,"MEYER";"P AND L (MEYER) (23)",#N/A,TRUE,"MEYER";"CASH AND VAL (MEYER) (23)",#N/A,TRUE,"MEYER";"DCF (MEYER) (23)",#N/A,TRUE,"MEYER";"JEWSON (MEYER) (23)",#N/A,TRUE,"MEYER";"HARCROS (MEYER) (23)",#N/A,TRUE,"MEYER";"PONT (MEYER) (23)",#N/A,TRUE,"MEYER"}</definedName>
    <definedName name="wrn.MEYER." localSheetId="7" hidden="1">{"FRONT (MEYER) (23)",#N/A,TRUE,"MEYER";"P AND L (MEYER) (23)",#N/A,TRUE,"MEYER";"CASH AND VAL (MEYER) (23)",#N/A,TRUE,"MEYER";"DCF (MEYER) (23)",#N/A,TRUE,"MEYER";"JEWSON (MEYER) (23)",#N/A,TRUE,"MEYER";"HARCROS (MEYER) (23)",#N/A,TRUE,"MEYER";"PONT (MEYER) (23)",#N/A,TRUE,"MEYER"}</definedName>
    <definedName name="wrn.MEYER." hidden="1">{"FRONT (MEYER) (23)",#N/A,TRUE,"MEYER";"P AND L (MEYER) (23)",#N/A,TRUE,"MEYER";"CASH AND VAL (MEYER) (23)",#N/A,TRUE,"MEYER";"DCF (MEYER) (23)",#N/A,TRUE,"MEYER";"JEWSON (MEYER) (23)",#N/A,TRUE,"MEYER";"HARCROS (MEYER) (23)",#N/A,TRUE,"MEYER";"PONT (MEYER) (23)",#N/A,TRUE,"MEYER"}</definedName>
    <definedName name="wrn.Monthly._.Report." localSheetId="12" hidden="1">{#N/A,#N/A,FALSE,"Monthly";#N/A,#N/A,FALSE,"Hong Kong";#N/A,#N/A,FALSE,"New York";#N/A,#N/A,FALSE,"London";#N/A,#N/A,FALSE,"Singapore";#N/A,#N/A,FALSE,"Australia";#N/A,#N/A,FALSE,"Korea"}</definedName>
    <definedName name="wrn.Monthly._.Report." hidden="1">{#N/A,#N/A,FALSE,"Monthly";#N/A,#N/A,FALSE,"Hong Kong";#N/A,#N/A,FALSE,"New York";#N/A,#N/A,FALSE,"London";#N/A,#N/A,FALSE,"Singapore";#N/A,#N/A,FALSE,"Australia";#N/A,#N/A,FALSE,"Korea"}</definedName>
    <definedName name="wrn.NORCROS." localSheetId="2" hidden="1">{"FRONT (NORCROS) (25)",#N/A,TRUE,"NORCROS";"P_AND_L (NORCROS) (25)",#N/A,TRUE,"NORCROS";"CASH_AND_VAL (NORCROS) (25)",#N/A,TRUE,"NORCROS";"SUMVAL (NORCROS) (23)",#N/A,TRUE,"NORCROS"}</definedName>
    <definedName name="wrn.NORCROS." localSheetId="12" hidden="1">{"FRONT (NORCROS) (25)",#N/A,TRUE,"NORCROS";"P_AND_L (NORCROS) (25)",#N/A,TRUE,"NORCROS";"CASH_AND_VAL (NORCROS) (25)",#N/A,TRUE,"NORCROS";"SUMVAL (NORCROS) (23)",#N/A,TRUE,"NORCROS"}</definedName>
    <definedName name="wrn.NORCROS." localSheetId="7" hidden="1">{"FRONT (NORCROS) (25)",#N/A,TRUE,"NORCROS";"P_AND_L (NORCROS) (25)",#N/A,TRUE,"NORCROS";"CASH_AND_VAL (NORCROS) (25)",#N/A,TRUE,"NORCROS";"SUMVAL (NORCROS) (23)",#N/A,TRUE,"NORCROS"}</definedName>
    <definedName name="wrn.NORCROS." hidden="1">{"FRONT (NORCROS) (25)",#N/A,TRUE,"NORCROS";"P_AND_L (NORCROS) (25)",#N/A,TRUE,"NORCROS";"CASH_AND_VAL (NORCROS) (25)",#N/A,TRUE,"NORCROS";"SUMVAL (NORCROS) (23)",#N/A,TRUE,"NORCROS"}</definedName>
    <definedName name="wrn.Output." localSheetId="2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Output." localSheetId="12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Output." localSheetId="7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Output." hidden="1">{#N/A,#N/A,TRUE,"Title";#N/A,#N/A,TRUE,"Inputs";#N/A,#N/A,TRUE,"Impact";#N/A,#N/A,TRUE,"Sources &amp; Uses";#N/A,#N/A,TRUE,"Capitalization Impact";#N/A,#N/A,TRUE,"NEWCO Projections";#N/A,#N/A,TRUE,"Summary - ITT";#N/A,#N/A,TRUE,"Summary - Forte";#N/A,#N/A,TRUE,"Balance Sheet Adj.";#N/A,#N/A,TRUE,"Calculation Verification"}</definedName>
    <definedName name="wrn.P._.and._.L._.halfyearly." localSheetId="2" hidden="1">{"P and L halfyearly",#N/A,FALSE,"Master"}</definedName>
    <definedName name="wrn.P._.and._.L._.halfyearly." localSheetId="12" hidden="1">{"P and L halfyearly",#N/A,FALSE,"Master"}</definedName>
    <definedName name="wrn.P._.and._.L._.halfyearly." localSheetId="7" hidden="1">{"P and L halfyearly",#N/A,FALSE,"Master"}</definedName>
    <definedName name="wrn.P._.and._.L._.halfyearly." hidden="1">{"P and L halfyearly",#N/A,FALSE,"Master"}</definedName>
    <definedName name="wrn.PILKINGTON." localSheetId="2" hidden="1">{"FRONT (PILKINGTON) (25)",#N/A,TRUE,"PILKINGTON";"P_AND_L (PILKINGTON) (25)",#N/A,TRUE,"PILKINGTON";"CASH_AND_VAL (PILKINGTON) (25)",#N/A,TRUE,"PILKINGTON";"VALUATION (PILKINGTON) (25)",#N/A,TRUE,"PILKINGTON";"MODELS (PILKINGTON) (25)",#N/A,TRUE,"PILKINGTON";"SENSITIV (PILKINGTON) (25)",#N/A,TRUE,"PILKINGTON";"P_AND_VOL (PILKINGTON) (25)",#N/A,TRUE,"PILKINGTON";"INVINC (PILKINGTON) (25)",#N/A,TRUE,"PILKINGTON"}</definedName>
    <definedName name="wrn.PILKINGTON." localSheetId="12" hidden="1">{"FRONT (PILKINGTON) (25)",#N/A,TRUE,"PILKINGTON";"P_AND_L (PILKINGTON) (25)",#N/A,TRUE,"PILKINGTON";"CASH_AND_VAL (PILKINGTON) (25)",#N/A,TRUE,"PILKINGTON";"VALUATION (PILKINGTON) (25)",#N/A,TRUE,"PILKINGTON";"MODELS (PILKINGTON) (25)",#N/A,TRUE,"PILKINGTON";"SENSITIV (PILKINGTON) (25)",#N/A,TRUE,"PILKINGTON";"P_AND_VOL (PILKINGTON) (25)",#N/A,TRUE,"PILKINGTON";"INVINC (PILKINGTON) (25)",#N/A,TRUE,"PILKINGTON"}</definedName>
    <definedName name="wrn.PILKINGTON." localSheetId="7" hidden="1">{"FRONT (PILKINGTON) (25)",#N/A,TRUE,"PILKINGTON";"P_AND_L (PILKINGTON) (25)",#N/A,TRUE,"PILKINGTON";"CASH_AND_VAL (PILKINGTON) (25)",#N/A,TRUE,"PILKINGTON";"VALUATION (PILKINGTON) (25)",#N/A,TRUE,"PILKINGTON";"MODELS (PILKINGTON) (25)",#N/A,TRUE,"PILKINGTON";"SENSITIV (PILKINGTON) (25)",#N/A,TRUE,"PILKINGTON";"P_AND_VOL (PILKINGTON) (25)",#N/A,TRUE,"PILKINGTON";"INVINC (PILKINGTON) (25)",#N/A,TRUE,"PILKINGTON"}</definedName>
    <definedName name="wrn.PILKINGTON." hidden="1">{"FRONT (PILKINGTON) (25)",#N/A,TRUE,"PILKINGTON";"P_AND_L (PILKINGTON) (25)",#N/A,TRUE,"PILKINGTON";"CASH_AND_VAL (PILKINGTON) (25)",#N/A,TRUE,"PILKINGTON";"VALUATION (PILKINGTON) (25)",#N/A,TRUE,"PILKINGTON";"MODELS (PILKINGTON) (25)",#N/A,TRUE,"PILKINGTON";"SENSITIV (PILKINGTON) (25)",#N/A,TRUE,"PILKINGTON";"P_AND_VOL (PILKINGTON) (25)",#N/A,TRUE,"PILKINGTON";"INVINC (PILKINGTON) (25)",#N/A,TRUE,"PILKINGTON"}</definedName>
    <definedName name="wrn.PrimeCo." localSheetId="2" hidden="1">{"print 1",#N/A,FALSE,"PrimeCo PCS";"print 2",#N/A,FALSE,"PrimeCo PCS";"valuation",#N/A,FALSE,"PrimeCo PCS"}</definedName>
    <definedName name="wrn.PrimeCo." hidden="1">{"print 1",#N/A,FALSE,"PrimeCo PCS";"print 2",#N/A,FALSE,"PrimeCo PCS";"valuation",#N/A,FALSE,"PrimeCo PCS"}</definedName>
    <definedName name="wrn.Print." localSheetId="2" hidden="1">{"Cashflow",#N/A,FALSE,"CASHFLOW";"DCF",#N/A,FALSE,"CASHFLOW"}</definedName>
    <definedName name="wrn.Print." localSheetId="5" hidden="1">{"Cashflow",#N/A,FALSE,"CASHFLOW";"DCF",#N/A,FALSE,"CASHFLOW"}</definedName>
    <definedName name="wrn.Print." hidden="1">{"Cashflow",#N/A,FALSE,"CASHFLOW";"DCF",#N/A,FALSE,"CASHFLOW"}</definedName>
    <definedName name="wrn.print._.pages." localSheetId="2" hidden="1">{#N/A,#N/A,FALSE,"Spain MKT";#N/A,#N/A,FALSE,"Assumptions";#N/A,#N/A,FALSE,"Adve";#N/A,#N/A,FALSE,"E-Commerce";#N/A,#N/A,FALSE,"Opex";#N/A,#N/A,FALSE,"P&amp;L";#N/A,#N/A,FALSE,"FCF &amp; DCF"}</definedName>
    <definedName name="wrn.print._.pages." hidden="1">{#N/A,#N/A,FALSE,"Spain MKT";#N/A,#N/A,FALSE,"Assumptions";#N/A,#N/A,FALSE,"Adve";#N/A,#N/A,FALSE,"E-Commerce";#N/A,#N/A,FALSE,"Opex";#N/A,#N/A,FALSE,"P&amp;L";#N/A,#N/A,FALSE,"FCF &amp; DCF"}</definedName>
    <definedName name="wrn.printall." localSheetId="2" hidden="1">{"output","fiftysix",FALSE,"mergerplans";"inputs",#N/A,FALSE,"mergerplans";"output","sixtyfive",FALSE,"mergerplans";"output","seventy",FALSE,"mergerplans"}</definedName>
    <definedName name="wrn.printall." localSheetId="12" hidden="1">{"output","fiftysix",FALSE,"mergerplans";"inputs",#N/A,FALSE,"mergerplans";"output","sixtyfive",FALSE,"mergerplans";"output","seventy",FALSE,"mergerplans"}</definedName>
    <definedName name="wrn.printall." localSheetId="7" hidden="1">{"output","fiftysix",FALSE,"mergerplans";"inputs",#N/A,FALSE,"mergerplans";"output","sixtyfive",FALSE,"mergerplans";"output","seventy",FALSE,"mergerplans"}</definedName>
    <definedName name="wrn.printall." hidden="1">{"output","fiftysix",FALSE,"mergerplans";"inputs",#N/A,FALSE,"mergerplans";"output","sixtyfive",FALSE,"mergerplans";"output","seventy",FALSE,"mergerplans"}</definedName>
    <definedName name="wrn.REDLAND." localSheetId="2" hidden="1">{"FRONT (REDLAND) (25)",#N/A,FALSE,"REDLAND";"P_AND_L (REDLAND) (25)",#N/A,FALSE,"REDLAND";"CASH_AND_VAL (REDLAND) (25)",#N/A,FALSE,"REDLAND";"OPERATIONAL_FORCASTS (REDLAND) (25)",#N/A,FALSE,"REDLAND";"MODELS (REDLAND) (25)",#N/A,FALSE,"REDLAND";"IND.VAL2 (REDLAND) (25)",#N/A,FALSE,"REDLAND";"IND.VAL1 (REDLAND) (25)",#N/A,FALSE,"REDLAND";"GERMAN STATS (REDLAND) (25)",#N/A,FALSE,"REDLAND";"BRASS TCE (REDLAND) (25)",#N/A,FALSE,"REDLAND";"BRASS P AND L (REDLAND) (25)",#N/A,FALSE,"REDLAND";"BRASS BALANCE (REDLAND) (25)",#N/A,FALSE,"REDLAND";"SUMPARTS (REDLAND) (23)",#N/A,FALSE,"REDLAND"}</definedName>
    <definedName name="wrn.REDLAND." localSheetId="12" hidden="1">{"FRONT (REDLAND) (25)",#N/A,FALSE,"REDLAND";"P_AND_L (REDLAND) (25)",#N/A,FALSE,"REDLAND";"CASH_AND_VAL (REDLAND) (25)",#N/A,FALSE,"REDLAND";"OPERATIONAL_FORCASTS (REDLAND) (25)",#N/A,FALSE,"REDLAND";"MODELS (REDLAND) (25)",#N/A,FALSE,"REDLAND";"IND.VAL2 (REDLAND) (25)",#N/A,FALSE,"REDLAND";"IND.VAL1 (REDLAND) (25)",#N/A,FALSE,"REDLAND";"GERMAN STATS (REDLAND) (25)",#N/A,FALSE,"REDLAND";"BRASS TCE (REDLAND) (25)",#N/A,FALSE,"REDLAND";"BRASS P AND L (REDLAND) (25)",#N/A,FALSE,"REDLAND";"BRASS BALANCE (REDLAND) (25)",#N/A,FALSE,"REDLAND";"SUMPARTS (REDLAND) (23)",#N/A,FALSE,"REDLAND"}</definedName>
    <definedName name="wrn.REDLAND." localSheetId="7" hidden="1">{"FRONT (REDLAND) (25)",#N/A,FALSE,"REDLAND";"P_AND_L (REDLAND) (25)",#N/A,FALSE,"REDLAND";"CASH_AND_VAL (REDLAND) (25)",#N/A,FALSE,"REDLAND";"OPERATIONAL_FORCASTS (REDLAND) (25)",#N/A,FALSE,"REDLAND";"MODELS (REDLAND) (25)",#N/A,FALSE,"REDLAND";"IND.VAL2 (REDLAND) (25)",#N/A,FALSE,"REDLAND";"IND.VAL1 (REDLAND) (25)",#N/A,FALSE,"REDLAND";"GERMAN STATS (REDLAND) (25)",#N/A,FALSE,"REDLAND";"BRASS TCE (REDLAND) (25)",#N/A,FALSE,"REDLAND";"BRASS P AND L (REDLAND) (25)",#N/A,FALSE,"REDLAND";"BRASS BALANCE (REDLAND) (25)",#N/A,FALSE,"REDLAND";"SUMPARTS (REDLAND) (23)",#N/A,FALSE,"REDLAND"}</definedName>
    <definedName name="wrn.REDLAND." hidden="1">{"FRONT (REDLAND) (25)",#N/A,FALSE,"REDLAND";"P_AND_L (REDLAND) (25)",#N/A,FALSE,"REDLAND";"CASH_AND_VAL (REDLAND) (25)",#N/A,FALSE,"REDLAND";"OPERATIONAL_FORCASTS (REDLAND) (25)",#N/A,FALSE,"REDLAND";"MODELS (REDLAND) (25)",#N/A,FALSE,"REDLAND";"IND.VAL2 (REDLAND) (25)",#N/A,FALSE,"REDLAND";"IND.VAL1 (REDLAND) (25)",#N/A,FALSE,"REDLAND";"GERMAN STATS (REDLAND) (25)",#N/A,FALSE,"REDLAND";"BRASS TCE (REDLAND) (25)",#N/A,FALSE,"REDLAND";"BRASS P AND L (REDLAND) (25)",#N/A,FALSE,"REDLAND";"BRASS BALANCE (REDLAND) (25)",#N/A,FALSE,"REDLAND";"SUMPARTS (REDLAND) (23)",#N/A,FALSE,"REDLAND"}</definedName>
    <definedName name="wrn.Report." localSheetId="2" hidden="1">{"Cashflow",#N/A,FALSE,"CASHFLOW";"DCF",#N/A,FALSE,"CASHFLOW"}</definedName>
    <definedName name="wrn.Report." localSheetId="5" hidden="1">{"Cashflow",#N/A,FALSE,"CASHFLOW";"DCF",#N/A,FALSE,"CASHFLOW"}</definedName>
    <definedName name="wrn.Report." hidden="1">{"Cashflow",#N/A,FALSE,"CASHFLOW";"DCF",#N/A,FALSE,"CASHFLOW"}</definedName>
    <definedName name="wrn.Report_PR_1." localSheetId="2" hidden="1">{"PR1","pr1",TRUE,"Sch PR-1"}</definedName>
    <definedName name="wrn.Report_PR_1." localSheetId="12" hidden="1">{"PR1","pr1",TRUE,"Sch PR-1"}</definedName>
    <definedName name="wrn.Report_PR_1." localSheetId="7" hidden="1">{"PR1","pr1",TRUE,"Sch PR-1"}</definedName>
    <definedName name="wrn.Report_PR_1." hidden="1">{"PR1","pr1",TRUE,"Sch PR-1"}</definedName>
    <definedName name="wrn.RETURNS." localSheetId="2" hidden="1">{"BETAS",#N/A,FALSE,"RETURNS";"THEOR KE",#N/A,FALSE,"RETURNS";"IMPLIED KE",#N/A,FALSE,"RETURNS";"THEO GR",#N/A,FALSE,"RETURNS";"IMPLIED GR",#N/A,FALSE,"RETURNS";"IMPLIED KE PORD",#N/A,FALSE,"RETURNS";"ROE",#N/A,FALSE,"RETURNS";"RETENTIONS",#N/A,FALSE,"RETURNS";"RISK FREE",#N/A,FALSE,"RETURNS";"GRISKADJPER",#N/A,FALSE,"RETURNS";"THEOR PER",#N/A,FALSE,"RETURNS"}</definedName>
    <definedName name="wrn.RETURNS." localSheetId="12" hidden="1">{"BETAS",#N/A,FALSE,"RETURNS";"THEOR KE",#N/A,FALSE,"RETURNS";"IMPLIED KE",#N/A,FALSE,"RETURNS";"THEO GR",#N/A,FALSE,"RETURNS";"IMPLIED GR",#N/A,FALSE,"RETURNS";"IMPLIED KE PORD",#N/A,FALSE,"RETURNS";"ROE",#N/A,FALSE,"RETURNS";"RETENTIONS",#N/A,FALSE,"RETURNS";"RISK FREE",#N/A,FALSE,"RETURNS";"GRISKADJPER",#N/A,FALSE,"RETURNS";"THEOR PER",#N/A,FALSE,"RETURNS"}</definedName>
    <definedName name="wrn.RETURNS." localSheetId="7" hidden="1">{"BETAS",#N/A,FALSE,"RETURNS";"THEOR KE",#N/A,FALSE,"RETURNS";"IMPLIED KE",#N/A,FALSE,"RETURNS";"THEO GR",#N/A,FALSE,"RETURNS";"IMPLIED GR",#N/A,FALSE,"RETURNS";"IMPLIED KE PORD",#N/A,FALSE,"RETURNS";"ROE",#N/A,FALSE,"RETURNS";"RETENTIONS",#N/A,FALSE,"RETURNS";"RISK FREE",#N/A,FALSE,"RETURNS";"GRISKADJPER",#N/A,FALSE,"RETURNS";"THEOR PER",#N/A,FALSE,"RETURNS"}</definedName>
    <definedName name="wrn.RETURNS." hidden="1">{"BETAS",#N/A,FALSE,"RETURNS";"THEOR KE",#N/A,FALSE,"RETURNS";"IMPLIED KE",#N/A,FALSE,"RETURNS";"THEO GR",#N/A,FALSE,"RETURNS";"IMPLIED GR",#N/A,FALSE,"RETURNS";"IMPLIED KE PORD",#N/A,FALSE,"RETURNS";"ROE",#N/A,FALSE,"RETURNS";"RETENTIONS",#N/A,FALSE,"RETURNS";"RISK FREE",#N/A,FALSE,"RETURNS";"GRISKADJPER",#N/A,FALSE,"RETURNS";"THEOR PER",#N/A,FALSE,"RETURNS"}</definedName>
    <definedName name="wrn.RETURNS._.ON._.INV." localSheetId="2" hidden="1">{"RETURNINVEST",#N/A,FALSE,"ROI (%)";"RETURNS2",#N/A,FALSE,"ROI (%)";"RETURNS3",#N/A,FALSE,"ROI (%)"}</definedName>
    <definedName name="wrn.RETURNS._.ON._.INV." localSheetId="12" hidden="1">{"RETURNINVEST",#N/A,FALSE,"ROI (%)";"RETURNS2",#N/A,FALSE,"ROI (%)";"RETURNS3",#N/A,FALSE,"ROI (%)"}</definedName>
    <definedName name="wrn.RETURNS._.ON._.INV." localSheetId="7" hidden="1">{"RETURNINVEST",#N/A,FALSE,"ROI (%)";"RETURNS2",#N/A,FALSE,"ROI (%)";"RETURNS3",#N/A,FALSE,"ROI (%)"}</definedName>
    <definedName name="wrn.RETURNS._.ON._.INV." hidden="1">{"RETURNINVEST",#N/A,FALSE,"ROI (%)";"RETURNS2",#N/A,FALSE,"ROI (%)";"RETURNS3",#N/A,FALSE,"ROI (%)"}</definedName>
    <definedName name="wrn.Revenue._.Details." localSheetId="2" hidden="1">{"Revenue by Industry Chart",#N/A,FALSE,"Mix";"Annual Revenue Detail",#N/A,FALSE,"Mix";"Quarterly Revenue Detail",#N/A,FALSE,"Mix"}</definedName>
    <definedName name="wrn.Revenue._.Details." localSheetId="12" hidden="1">{"Revenue by Industry Chart",#N/A,FALSE,"Mix";"Annual Revenue Detail",#N/A,FALSE,"Mix";"Quarterly Revenue Detail",#N/A,FALSE,"Mix"}</definedName>
    <definedName name="wrn.Revenue._.Details." localSheetId="7" hidden="1">{"Revenue by Industry Chart",#N/A,FALSE,"Mix";"Annual Revenue Detail",#N/A,FALSE,"Mix";"Quarterly Revenue Detail",#N/A,FALSE,"Mix"}</definedName>
    <definedName name="wrn.Revenue._.Details." hidden="1">{"Revenue by Industry Chart",#N/A,FALSE,"Mix";"Annual Revenue Detail",#N/A,FALSE,"Mix";"Quarterly Revenue Detail",#N/A,FALSE,"Mix"}</definedName>
    <definedName name="wrn.RMC." localSheetId="2" hidden="1">{"FRONT (RMC) (25)",#N/A,TRUE,"RMC";"P_AND_L (RMC) (25)",#N/A,TRUE,"RMC";"CASH_AND_VAL (RMC) (25)",#N/A,TRUE,"RMC";"INDVAL (RMC) (25)",#N/A,TRUE,"RMC"}</definedName>
    <definedName name="wrn.RMC." localSheetId="12" hidden="1">{"FRONT (RMC) (25)",#N/A,TRUE,"RMC";"P_AND_L (RMC) (25)",#N/A,TRUE,"RMC";"CASH_AND_VAL (RMC) (25)",#N/A,TRUE,"RMC";"INDVAL (RMC) (25)",#N/A,TRUE,"RMC"}</definedName>
    <definedName name="wrn.RMC." localSheetId="7" hidden="1">{"FRONT (RMC) (25)",#N/A,TRUE,"RMC";"P_AND_L (RMC) (25)",#N/A,TRUE,"RMC";"CASH_AND_VAL (RMC) (25)",#N/A,TRUE,"RMC";"INDVAL (RMC) (25)",#N/A,TRUE,"RMC"}</definedName>
    <definedName name="wrn.RMC." hidden="1">{"FRONT (RMC) (25)",#N/A,TRUE,"RMC";"P_AND_L (RMC) (25)",#N/A,TRUE,"RMC";"CASH_AND_VAL (RMC) (25)",#N/A,TRUE,"RMC";"INDVAL (RMC) (25)",#N/A,TRUE,"RMC"}</definedName>
    <definedName name="wrn.RUGBY." localSheetId="2" hidden="1">{"FRONT (RUGBY) (25)",#N/A,TRUE,"RUGBY";"P_AND_L (RUGBY) (25)",#N/A,TRUE,"RUGBY";"CASH_AND_VAL (RUGBY) (25)",#N/A,TRUE,"RUGBY";"VALUE (RUGBY) (25)",#N/A,TRUE,"RUGBY";"SENSIT (RUGBY) (25)",#N/A,TRUE,"RUGBY";"models1 (RUGBY) (25)",#N/A,TRUE,"RUGBY";"MODELS (RUGBY) (25)",#N/A,TRUE,"RUGBY";"JOINERY (RUGBY) (25)",#N/A,TRUE,"RUGBY"}</definedName>
    <definedName name="wrn.RUGBY." localSheetId="12" hidden="1">{"FRONT (RUGBY) (25)",#N/A,TRUE,"RUGBY";"P_AND_L (RUGBY) (25)",#N/A,TRUE,"RUGBY";"CASH_AND_VAL (RUGBY) (25)",#N/A,TRUE,"RUGBY";"VALUE (RUGBY) (25)",#N/A,TRUE,"RUGBY";"SENSIT (RUGBY) (25)",#N/A,TRUE,"RUGBY";"models1 (RUGBY) (25)",#N/A,TRUE,"RUGBY";"MODELS (RUGBY) (25)",#N/A,TRUE,"RUGBY";"JOINERY (RUGBY) (25)",#N/A,TRUE,"RUGBY"}</definedName>
    <definedName name="wrn.RUGBY." localSheetId="7" hidden="1">{"FRONT (RUGBY) (25)",#N/A,TRUE,"RUGBY";"P_AND_L (RUGBY) (25)",#N/A,TRUE,"RUGBY";"CASH_AND_VAL (RUGBY) (25)",#N/A,TRUE,"RUGBY";"VALUE (RUGBY) (25)",#N/A,TRUE,"RUGBY";"SENSIT (RUGBY) (25)",#N/A,TRUE,"RUGBY";"models1 (RUGBY) (25)",#N/A,TRUE,"RUGBY";"MODELS (RUGBY) (25)",#N/A,TRUE,"RUGBY";"JOINERY (RUGBY) (25)",#N/A,TRUE,"RUGBY"}</definedName>
    <definedName name="wrn.RUGBY." hidden="1">{"FRONT (RUGBY) (25)",#N/A,TRUE,"RUGBY";"P_AND_L (RUGBY) (25)",#N/A,TRUE,"RUGBY";"CASH_AND_VAL (RUGBY) (25)",#N/A,TRUE,"RUGBY";"VALUE (RUGBY) (25)",#N/A,TRUE,"RUGBY";"SENSIT (RUGBY) (25)",#N/A,TRUE,"RUGBY";"models1 (RUGBY) (25)",#N/A,TRUE,"RUGBY";"MODELS (RUGBY) (25)",#N/A,TRUE,"RUGBY";"JOINERY (RUGBY) (25)",#N/A,TRUE,"RUGBY"}</definedName>
    <definedName name="wrn.RUSSELL." localSheetId="2" hidden="1">{"FRONT (A. RUSSELL) (25)",#N/A,TRUE,"A. RUSSELL";"P_AND_L (A. RUSSELL) (25)",#N/A,TRUE,"A. RUSSELL";"CASH_AND_VAL (A. RUSSELL) (25)",#N/A,TRUE,"A. RUSSELL"}</definedName>
    <definedName name="wrn.RUSSELL." localSheetId="12" hidden="1">{"FRONT (A. RUSSELL) (25)",#N/A,TRUE,"A. RUSSELL";"P_AND_L (A. RUSSELL) (25)",#N/A,TRUE,"A. RUSSELL";"CASH_AND_VAL (A. RUSSELL) (25)",#N/A,TRUE,"A. RUSSELL"}</definedName>
    <definedName name="wrn.RUSSELL." localSheetId="7" hidden="1">{"FRONT (A. RUSSELL) (25)",#N/A,TRUE,"A. RUSSELL";"P_AND_L (A. RUSSELL) (25)",#N/A,TRUE,"A. RUSSELL";"CASH_AND_VAL (A. RUSSELL) (25)",#N/A,TRUE,"A. RUSSELL"}</definedName>
    <definedName name="wrn.RUSSELL." hidden="1">{"FRONT (A. RUSSELL) (25)",#N/A,TRUE,"A. RUSSELL";"P_AND_L (A. RUSSELL) (25)",#N/A,TRUE,"A. RUSSELL";"CASH_AND_VAL (A. RUSSELL) (25)",#N/A,TRUE,"A. RUSSELL"}</definedName>
    <definedName name="wrn.Segments." localSheetId="2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localSheetId="12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localSheetId="7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egments." hidden="1">{"view1",#N/A,FALSE,"Consolidated";"view2",#N/A,FALSE,"Consolidated (sum)";"view1",#N/A,FALSE,"Gen Sys";"view1",#N/A,FALSE,"Semicon";"view1",#N/A,FALSE,"Mess|Med";"view1",#N/A,FALSE,"Land Mob";"view1",#N/A,FALSE,"Other Prod";"view1",#N/A,FALSE,"Adj|Elim"}</definedName>
    <definedName name="wrn.sfjsf" localSheetId="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localSheetId="1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localSheetId="7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fjsf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SHARPE." localSheetId="2" hidden="1">{"FRONT (SHARPE &amp; FISHER) (25)",#N/A,TRUE,"SHARPE &amp; FISHER";"P AND L (SHARPE &amp; FISHER) (25)",#N/A,TRUE,"SHARPE &amp; FISHER";"CASH AND VAL (SHARPE &amp; FISHER) (25)",#N/A,TRUE,"SHARPE &amp; FISHER"}</definedName>
    <definedName name="wrn.SHARPE." localSheetId="12" hidden="1">{"FRONT (SHARPE &amp; FISHER) (25)",#N/A,TRUE,"SHARPE &amp; FISHER";"P AND L (SHARPE &amp; FISHER) (25)",#N/A,TRUE,"SHARPE &amp; FISHER";"CASH AND VAL (SHARPE &amp; FISHER) (25)",#N/A,TRUE,"SHARPE &amp; FISHER"}</definedName>
    <definedName name="wrn.SHARPE." localSheetId="7" hidden="1">{"FRONT (SHARPE &amp; FISHER) (25)",#N/A,TRUE,"SHARPE &amp; FISHER";"P AND L (SHARPE &amp; FISHER) (25)",#N/A,TRUE,"SHARPE &amp; FISHER";"CASH AND VAL (SHARPE &amp; FISHER) (25)",#N/A,TRUE,"SHARPE &amp; FISHER"}</definedName>
    <definedName name="wrn.SHARPE." hidden="1">{"FRONT (SHARPE &amp; FISHER) (25)",#N/A,TRUE,"SHARPE &amp; FISHER";"P AND L (SHARPE &amp; FISHER) (25)",#N/A,TRUE,"SHARPE &amp; FISHER";"CASH AND VAL (SHARPE &amp; FISHER) (25)",#N/A,TRUE,"SHARPE &amp; FISHER"}</definedName>
    <definedName name="wrn.SIG." localSheetId="2" hidden="1">{"FRONT (SIG) (25)",#N/A,TRUE,"SIG";"P AND L (SIG) (25)",#N/A,TRUE,"SIG";"CASH AND VAL (SIG) (25)",#N/A,TRUE,"SIG";"MODELS (SIG) (25)",#N/A,TRUE,"SIG"}</definedName>
    <definedName name="wrn.SIG." localSheetId="12" hidden="1">{"FRONT (SIG) (25)",#N/A,TRUE,"SIG";"P AND L (SIG) (25)",#N/A,TRUE,"SIG";"CASH AND VAL (SIG) (25)",#N/A,TRUE,"SIG";"MODELS (SIG) (25)",#N/A,TRUE,"SIG"}</definedName>
    <definedName name="wrn.SIG." localSheetId="7" hidden="1">{"FRONT (SIG) (25)",#N/A,TRUE,"SIG";"P AND L (SIG) (25)",#N/A,TRUE,"SIG";"CASH AND VAL (SIG) (25)",#N/A,TRUE,"SIG";"MODELS (SIG) (25)",#N/A,TRUE,"SIG"}</definedName>
    <definedName name="wrn.SIG." hidden="1">{"FRONT (SIG) (25)",#N/A,TRUE,"SIG";"P AND L (SIG) (25)",#N/A,TRUE,"SIG";"CASH AND VAL (SIG) (25)",#N/A,TRUE,"SIG";"MODELS (SIG) (25)",#N/A,TRUE,"SIG"}</definedName>
    <definedName name="wrn.SPRING._.RAM." localSheetId="2" hidden="1">{"FRONT (SPRING RAM) (29)",#N/A,TRUE,"SPRING RAM";"P_AND_L (SPRING RAM) (29)",#N/A,TRUE,"SPRING RAM";"CASH_AND_VAL (SPRING RAM) (29)",#N/A,TRUE,"SPRING RAM"}</definedName>
    <definedName name="wrn.SPRING._.RAM." localSheetId="12" hidden="1">{"FRONT (SPRING RAM) (29)",#N/A,TRUE,"SPRING RAM";"P_AND_L (SPRING RAM) (29)",#N/A,TRUE,"SPRING RAM";"CASH_AND_VAL (SPRING RAM) (29)",#N/A,TRUE,"SPRING RAM"}</definedName>
    <definedName name="wrn.SPRING._.RAM." localSheetId="7" hidden="1">{"FRONT (SPRING RAM) (29)",#N/A,TRUE,"SPRING RAM";"P_AND_L (SPRING RAM) (29)",#N/A,TRUE,"SPRING RAM";"CASH_AND_VAL (SPRING RAM) (29)",#N/A,TRUE,"SPRING RAM"}</definedName>
    <definedName name="wrn.SPRING._.RAM." hidden="1">{"FRONT (SPRING RAM) (29)",#N/A,TRUE,"SPRING RAM";"P_AND_L (SPRING RAM) (29)",#N/A,TRUE,"SPRING RAM";"CASH_AND_VAL (SPRING RAM) (29)",#N/A,TRUE,"SPRING RAM"}</definedName>
    <definedName name="wrn.sultan." localSheetId="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localSheetId="12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localSheetId="7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ltan." hidden="1">{#N/A,#N/A,TRUE,"Acq-Ass";#N/A,#N/A,TRUE,"Acq-IS";#N/A,#N/A,TRUE,"Acq-BS";#N/A,#N/A,TRUE,"Acq-CF";#N/A,#N/A,TRUE,"Acq-Proj";#N/A,#N/A,TRUE,"Acq-CapEx";#N/A,#N/A,TRUE,"Acq-Debt";#N/A,#N/A,TRUE,"Acq-Int";#N/A,#N/A,TRUE,"Acq-BD";#N/A,#N/A,TRUE,"Acq-TD";#N/A,#N/A,TRUE,"Acq-Taxes";#N/A,#N/A,TRUE,"Acq-Credit";#N/A,#N/A,TRUE,"Acq-Val";#N/A,#N/A,TRUE,"Acq-Mult Val"}</definedName>
    <definedName name="wrn.Summary." localSheetId="2" hidden="1">{"Print Summary",#N/A,FALSE,"Bal_Graphs";"Print Summary",#N/A,FALSE,"DCF";"Print Summary",#N/A,FALSE,"Graphs";"Print Summary",#N/A,FALSE,"Summary"}</definedName>
    <definedName name="wrn.Summary." localSheetId="12" hidden="1">{"Print Summary",#N/A,FALSE,"Bal_Graphs";"Print Summary",#N/A,FALSE,"DCF";"Print Summary",#N/A,FALSE,"Graphs";"Print Summary",#N/A,FALSE,"Summary"}</definedName>
    <definedName name="wrn.Summary." localSheetId="7" hidden="1">{"Print Summary",#N/A,FALSE,"Bal_Graphs";"Print Summary",#N/A,FALSE,"DCF";"Print Summary",#N/A,FALSE,"Graphs";"Print Summary",#N/A,FALSE,"Summary"}</definedName>
    <definedName name="wrn.Summary." localSheetId="5" hidden="1">{"Print Summary",#N/A,FALSE,"Bal_Graphs";"Print Summary",#N/A,FALSE,"DCF";"Print Summary",#N/A,FALSE,"Graphs";"Print Summary",#N/A,FALSE,"Summary"}</definedName>
    <definedName name="wrn.Summary." hidden="1">{"Print Summary",#N/A,FALSE,"Bal_Graphs";"Print Summary",#N/A,FALSE,"DCF";"Print Summary",#N/A,FALSE,"Graphs";"Print Summary",#N/A,FALSE,"Summary"}</definedName>
    <definedName name="wrn.Summary._.Output." localSheetId="2" hidden="1">{#N/A,#N/A,FALSE,"Title";#N/A,#N/A,FALSE,"Inputs";#N/A,#N/A,FALSE,"Impact"}</definedName>
    <definedName name="wrn.Summary._.Output." localSheetId="12" hidden="1">{#N/A,#N/A,FALSE,"Title";#N/A,#N/A,FALSE,"Inputs";#N/A,#N/A,FALSE,"Impact"}</definedName>
    <definedName name="wrn.Summary._.Output." localSheetId="7" hidden="1">{#N/A,#N/A,FALSE,"Title";#N/A,#N/A,FALSE,"Inputs";#N/A,#N/A,FALSE,"Impact"}</definedName>
    <definedName name="wrn.Summary._.Output." hidden="1">{#N/A,#N/A,FALSE,"Title";#N/A,#N/A,FALSE,"Inputs";#N/A,#N/A,FALSE,"Impact"}</definedName>
    <definedName name="wrn.Summary._.Projections." localSheetId="2" hidden="1">{#N/A,#N/A,FALSE,"Summary - Forte";#N/A,#N/A,FALSE,"Summary - ITT"}</definedName>
    <definedName name="wrn.Summary._.Projections." localSheetId="12" hidden="1">{#N/A,#N/A,FALSE,"Summary - Forte";#N/A,#N/A,FALSE,"Summary - ITT"}</definedName>
    <definedName name="wrn.Summary._.Projections." localSheetId="7" hidden="1">{#N/A,#N/A,FALSE,"Summary - Forte";#N/A,#N/A,FALSE,"Summary - ITT"}</definedName>
    <definedName name="wrn.Summary._.Projections." hidden="1">{#N/A,#N/A,FALSE,"Summary - Forte";#N/A,#N/A,FALSE,"Summary - ITT"}</definedName>
    <definedName name="wrn.SummaryPgs." localSheetId="2" hidden="1">{#N/A,#N/A,FALSE,"CreditStat";#N/A,#N/A,FALSE,"SPbrkup";#N/A,#N/A,FALSE,"MerSPsyn";#N/A,#N/A,FALSE,"MerSPwKCsyn";#N/A,#N/A,FALSE,"MerSPwKCsyn (2)";#N/A,#N/A,FALSE,"CreditStat (2)"}</definedName>
    <definedName name="wrn.SummaryPgs." localSheetId="12" hidden="1">{#N/A,#N/A,FALSE,"CreditStat";#N/A,#N/A,FALSE,"SPbrkup";#N/A,#N/A,FALSE,"MerSPsyn";#N/A,#N/A,FALSE,"MerSPwKCsyn";#N/A,#N/A,FALSE,"MerSPwKCsyn (2)";#N/A,#N/A,FALSE,"CreditStat (2)"}</definedName>
    <definedName name="wrn.SummaryPgs." localSheetId="7" hidden="1">{#N/A,#N/A,FALSE,"CreditStat";#N/A,#N/A,FALSE,"SPbrkup";#N/A,#N/A,FALSE,"MerSPsyn";#N/A,#N/A,FALSE,"MerSPwKCsyn";#N/A,#N/A,FALSE,"MerSPwKCsyn (2)";#N/A,#N/A,FALSE,"CreditStat (2)"}</definedName>
    <definedName name="wrn.SummaryPgs." hidden="1">{#N/A,#N/A,FALSE,"CreditStat";#N/A,#N/A,FALSE,"SPbrkup";#N/A,#N/A,FALSE,"MerSPsyn";#N/A,#N/A,FALSE,"MerSPwKCsyn";#N/A,#N/A,FALSE,"MerSPwKCsyn (2)";#N/A,#N/A,FALSE,"CreditStat (2)"}</definedName>
    <definedName name="wrn.Tables." localSheetId="2" hidden="1">{"view1",#N/A,FALSE,"Tables";"view2",#N/A,FALSE,"Tables";"view3",#N/A,FALSE,"Tables"}</definedName>
    <definedName name="wrn.Tables." localSheetId="12" hidden="1">{"view1",#N/A,FALSE,"Tables";"view2",#N/A,FALSE,"Tables";"view3",#N/A,FALSE,"Tables"}</definedName>
    <definedName name="wrn.Tables." localSheetId="7" hidden="1">{"view1",#N/A,FALSE,"Tables";"view2",#N/A,FALSE,"Tables";"view3",#N/A,FALSE,"Tables"}</definedName>
    <definedName name="wrn.Tables." hidden="1">{"view1",#N/A,FALSE,"Tables";"view2",#N/A,FALSE,"Tables";"view3",#N/A,FALSE,"Tables"}</definedName>
    <definedName name="wrn.Target." localSheetId="2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localSheetId="12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localSheetId="7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." hidden="1">{#N/A,#N/A,TRUE,"Tar-Ass";#N/A,#N/A,TRUE,"Tar-IS";#N/A,#N/A,TRUE,"Tar-BS";#N/A,#N/A,TRUE,"Tar-CF";#N/A,#N/A,TRUE,"Tar-Adg BS";#N/A,#N/A,TRUE,"Tar-Proj";#N/A,#N/A,TRUE,"Tar-CapEx";#N/A,#N/A,TRUE,"Tar-Debt";#N/A,#N/A,TRUE,"Tar-Int";#N/A,#N/A,TRUE,"Tar-BD";#N/A,#N/A,TRUE,"Tar-TD";#N/A,#N/A,TRUE,"Tar-Taxes";#N/A,#N/A,TRUE,"Tar-Credit";#N/A,#N/A,TRUE,"Val - sum";#N/A,#N/A,TRUE,"Val - Sum1";#N/A,#N/A,TRUE,"Val - sum2";#N/A,#N/A,TRUE,"Val - Sum3";#N/A,#N/A,TRUE,"Tar-DCF";#N/A,#N/A,TRUE,"Tar-Val LBO";#N/A,#N/A,TRUE,"Tar-Mult Val"}</definedName>
    <definedName name="wrn.TargetLBO." localSheetId="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localSheetId="12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localSheetId="7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LBO." hidden="1">{#N/A,#N/A,TRUE,"Tar-Ass";#N/A,#N/A,TRUE,"Tar-Ass LBO";#N/A,#N/A,TRUE,"LBO Ret";#N/A,#N/A,TRUE,"Tar-BS LBO";#N/A,#N/A,TRUE,"Tar-IS LBO";#N/A,#N/A,TRUE,"Tar-CF LBO";#N/A,#N/A,TRUE,"Tar-Debt LBO";#N/A,#N/A,TRUE,"Tar-Int LBO";#N/A,#N/A,TRUE,"Tar-Taxes LBO";#N/A,#N/A,TRUE,"Tar-Val LBO"}</definedName>
    <definedName name="wrn.TargetState." localSheetId="2" hidden="1">{#N/A,#N/A,FALSE,"Tar-Ass";#N/A,#N/A,FALSE,"Tar-IS";#N/A,#N/A,FALSE,"Tar-BS";#N/A,#N/A,FALSE,"Tar-Adg BS";#N/A,#N/A,FALSE,"Tar-CF"}</definedName>
    <definedName name="wrn.TargetState." localSheetId="12" hidden="1">{#N/A,#N/A,FALSE,"Tar-Ass";#N/A,#N/A,FALSE,"Tar-IS";#N/A,#N/A,FALSE,"Tar-BS";#N/A,#N/A,FALSE,"Tar-Adg BS";#N/A,#N/A,FALSE,"Tar-CF"}</definedName>
    <definedName name="wrn.TargetState." localSheetId="7" hidden="1">{#N/A,#N/A,FALSE,"Tar-Ass";#N/A,#N/A,FALSE,"Tar-IS";#N/A,#N/A,FALSE,"Tar-BS";#N/A,#N/A,FALSE,"Tar-Adg BS";#N/A,#N/A,FALSE,"Tar-CF"}</definedName>
    <definedName name="wrn.TargetState." hidden="1">{#N/A,#N/A,FALSE,"Tar-Ass";#N/A,#N/A,FALSE,"Tar-IS";#N/A,#N/A,FALSE,"Tar-BS";#N/A,#N/A,FALSE,"Tar-Adg BS";#N/A,#N/A,FALSE,"Tar-CF"}</definedName>
    <definedName name="wrn.TargetVal." localSheetId="2" hidden="1">{#N/A,#N/A,TRUE,"Val - sum";#N/A,#N/A,TRUE,"Val - Sum1";#N/A,#N/A,TRUE,"Val - sum2";#N/A,#N/A,TRUE,"Val - Sum3";#N/A,#N/A,TRUE,"Tar-DCF";#N/A,#N/A,TRUE,"Tar-Val LBO";#N/A,#N/A,TRUE,"Tar-Mult Val"}</definedName>
    <definedName name="wrn.TargetVal." localSheetId="12" hidden="1">{#N/A,#N/A,TRUE,"Val - sum";#N/A,#N/A,TRUE,"Val - Sum1";#N/A,#N/A,TRUE,"Val - sum2";#N/A,#N/A,TRUE,"Val - Sum3";#N/A,#N/A,TRUE,"Tar-DCF";#N/A,#N/A,TRUE,"Tar-Val LBO";#N/A,#N/A,TRUE,"Tar-Mult Val"}</definedName>
    <definedName name="wrn.TargetVal." localSheetId="7" hidden="1">{#N/A,#N/A,TRUE,"Val - sum";#N/A,#N/A,TRUE,"Val - Sum1";#N/A,#N/A,TRUE,"Val - sum2";#N/A,#N/A,TRUE,"Val - Sum3";#N/A,#N/A,TRUE,"Tar-DCF";#N/A,#N/A,TRUE,"Tar-Val LBO";#N/A,#N/A,TRUE,"Tar-Mult Val"}</definedName>
    <definedName name="wrn.TargetVal." hidden="1">{#N/A,#N/A,TRUE,"Val - sum";#N/A,#N/A,TRUE,"Val - Sum1";#N/A,#N/A,TRUE,"Val - sum2";#N/A,#N/A,TRUE,"Val - Sum3";#N/A,#N/A,TRUE,"Tar-DCF";#N/A,#N/A,TRUE,"Tar-Val LBO";#N/A,#N/A,TRUE,"Tar-Mult Val"}</definedName>
    <definedName name="wrn.Tariff._.Analysis." localSheetId="2" hidden="1">{"Tarifica91",#N/A,FALSE,"Tariffs";"Tarifica92",#N/A,FALSE,"Tariffs";"Tarifica93",#N/A,FALSE,"Tariffs";"Tarifica94",#N/A,FALSE,"Tariffs";"Tarifica95",#N/A,FALSE,"Tariffs";"Tarifica96",#N/A,FALSE,"Tariffs"}</definedName>
    <definedName name="wrn.Tariff._.Analysis." hidden="1">{"Tarifica91",#N/A,FALSE,"Tariffs";"Tarifica92",#N/A,FALSE,"Tariffs";"Tarifica93",#N/A,FALSE,"Tariffs";"Tarifica94",#N/A,FALSE,"Tariffs";"Tarifica95",#N/A,FALSE,"Tariffs";"Tarifica96",#N/A,FALSE,"Tariffs"}</definedName>
    <definedName name="wrn.Tariff._.Comaprison." localSheetId="2" hidden="1">{"Tariff Comparison",#N/A,FALSE,"Benchmarking";"Tariff Comparison 2",#N/A,FALSE,"Benchmarking";"Tariff Comparison 3",#N/A,FALSE,"Benchmarking"}</definedName>
    <definedName name="wrn.Tariff._.Comaprison." hidden="1">{"Tariff Comparison",#N/A,FALSE,"Benchmarking";"Tariff Comparison 2",#N/A,FALSE,"Benchmarking";"Tariff Comparison 3",#N/A,FALSE,"Benchmarking"}</definedName>
    <definedName name="wrn.TARMAC." localSheetId="2" hidden="1">{"FRONT (TARMAC) (25)",#N/A,TRUE,"TARMAC";"P_AND_L (TARMAC) (25)",#N/A,TRUE,"TARMAC";"CASH AND VAL (TARMAC) (25)",#N/A,TRUE,"TARMAC";"MODELS (TARMAC) (25)",#N/A,TRUE,"TARMAC";"MODELS2 (TARMAC) (25)",#N/A,TRUE,"TARMAC";"INDUSTRIAL (TARMAC) (25)",#N/A,TRUE,"TARMAC"}</definedName>
    <definedName name="wrn.TARMAC." localSheetId="12" hidden="1">{"FRONT (TARMAC) (25)",#N/A,TRUE,"TARMAC";"P_AND_L (TARMAC) (25)",#N/A,TRUE,"TARMAC";"CASH AND VAL (TARMAC) (25)",#N/A,TRUE,"TARMAC";"MODELS (TARMAC) (25)",#N/A,TRUE,"TARMAC";"MODELS2 (TARMAC) (25)",#N/A,TRUE,"TARMAC";"INDUSTRIAL (TARMAC) (25)",#N/A,TRUE,"TARMAC"}</definedName>
    <definedName name="wrn.TARMAC." localSheetId="7" hidden="1">{"FRONT (TARMAC) (25)",#N/A,TRUE,"TARMAC";"P_AND_L (TARMAC) (25)",#N/A,TRUE,"TARMAC";"CASH AND VAL (TARMAC) (25)",#N/A,TRUE,"TARMAC";"MODELS (TARMAC) (25)",#N/A,TRUE,"TARMAC";"MODELS2 (TARMAC) (25)",#N/A,TRUE,"TARMAC";"INDUSTRIAL (TARMAC) (25)",#N/A,TRUE,"TARMAC"}</definedName>
    <definedName name="wrn.TARMAC." hidden="1">{"FRONT (TARMAC) (25)",#N/A,TRUE,"TARMAC";"P_AND_L (TARMAC) (25)",#N/A,TRUE,"TARMAC";"CASH AND VAL (TARMAC) (25)",#N/A,TRUE,"TARMAC";"MODELS (TARMAC) (25)",#N/A,TRUE,"TARMAC";"MODELS2 (TARMAC) (25)",#N/A,TRUE,"TARMAC";"INDUSTRIAL (TARMAC) (25)",#N/A,TRUE,"TARMAC"}</definedName>
    <definedName name="wrn.Test." localSheetId="2" hidden="1">{"Detail",#N/A,FALSE,"FULLESTI";#N/A,#N/A,FALSE,"USMEDCOY"}</definedName>
    <definedName name="wrn.Test." localSheetId="5" hidden="1">{"Detail",#N/A,FALSE,"FULLESTI";#N/A,#N/A,FALSE,"USMEDCOY"}</definedName>
    <definedName name="wrn.Test." hidden="1">{"Detail",#N/A,FALSE,"FULLESTI";#N/A,#N/A,FALSE,"USMEDCOY"}</definedName>
    <definedName name="wrn.totalcomp." localSheetId="2" hidden="1">{"comp1",#N/A,FALSE,"COMPS";"footnotes",#N/A,FALSE,"COMPS"}</definedName>
    <definedName name="wrn.totalcomp." localSheetId="12" hidden="1">{"comp1",#N/A,FALSE,"COMPS";"footnotes",#N/A,FALSE,"COMPS"}</definedName>
    <definedName name="wrn.totalcomp." localSheetId="7" hidden="1">{"comp1",#N/A,FALSE,"COMPS";"footnotes",#N/A,FALSE,"COMPS"}</definedName>
    <definedName name="wrn.totalcomp." hidden="1">{"comp1",#N/A,FALSE,"COMPS";"footnotes",#N/A,FALSE,"COMPS"}</definedName>
    <definedName name="wrn.TRAVIS._.PERKINS." localSheetId="2" hidden="1">{"FRONT (TRAVIS PERK) (25)",#N/A,TRUE,"TRAVIS PERK";"P_AND_L (TRAVIS PERK) (25)",#N/A,TRUE,"TRAVIS PERK";"CASH_AND_VAL (TRAVIS PERK) (25)",#N/A,TRUE,"TRAVIS PERK"}</definedName>
    <definedName name="wrn.TRAVIS._.PERKINS." localSheetId="12" hidden="1">{"FRONT (TRAVIS PERK) (25)",#N/A,TRUE,"TRAVIS PERK";"P_AND_L (TRAVIS PERK) (25)",#N/A,TRUE,"TRAVIS PERK";"CASH_AND_VAL (TRAVIS PERK) (25)",#N/A,TRUE,"TRAVIS PERK"}</definedName>
    <definedName name="wrn.TRAVIS._.PERKINS." localSheetId="7" hidden="1">{"FRONT (TRAVIS PERK) (25)",#N/A,TRUE,"TRAVIS PERK";"P_AND_L (TRAVIS PERK) (25)",#N/A,TRUE,"TRAVIS PERK";"CASH_AND_VAL (TRAVIS PERK) (25)",#N/A,TRUE,"TRAVIS PERK"}</definedName>
    <definedName name="wrn.TRAVIS._.PERKINS." hidden="1">{"FRONT (TRAVIS PERK) (25)",#N/A,TRUE,"TRAVIS PERK";"P_AND_L (TRAVIS PERK) (25)",#N/A,TRUE,"TRAVIS PERK";"CASH_AND_VAL (TRAVIS PERK) (25)",#N/A,TRUE,"TRAVIS PERK"}</definedName>
    <definedName name="wrn.Underlying._.halfyearly." localSheetId="2" hidden="1">{"Underlying halfyearly",#N/A,FALSE,"Master"}</definedName>
    <definedName name="wrn.Underlying._.halfyearly." localSheetId="12" hidden="1">{"Underlying halfyearly",#N/A,FALSE,"Master"}</definedName>
    <definedName name="wrn.Underlying._.halfyearly." localSheetId="7" hidden="1">{"Underlying halfyearly",#N/A,FALSE,"Master"}</definedName>
    <definedName name="wrn.Underlying._.halfyearly." hidden="1">{"Underlying halfyearly",#N/A,FALSE,"Master"}</definedName>
    <definedName name="wrn.USW." localSheetId="2" hidden="1">{"IS",#N/A,FALSE,"IS";"RPTIS",#N/A,FALSE,"RPTIS";"STATS",#N/A,FALSE,"STATS";"BS",#N/A,FALSE,"BS"}</definedName>
    <definedName name="wrn.USW." localSheetId="12" hidden="1">{"IS",#N/A,FALSE,"IS";"RPTIS",#N/A,FALSE,"RPTIS";"STATS",#N/A,FALSE,"STATS";"BS",#N/A,FALSE,"BS"}</definedName>
    <definedName name="wrn.USW." localSheetId="7" hidden="1">{"IS",#N/A,FALSE,"IS";"RPTIS",#N/A,FALSE,"RPTIS";"STATS",#N/A,FALSE,"STATS";"BS",#N/A,FALSE,"BS"}</definedName>
    <definedName name="wrn.USW." localSheetId="5" hidden="1">{"IS",#N/A,FALSE,"IS";"RPTIS",#N/A,FALSE,"RPTIS";"STATS",#N/A,FALSE,"STATS";"BS",#N/A,FALSE,"BS"}</definedName>
    <definedName name="wrn.USW." hidden="1">{"IS",#N/A,FALSE,"IS";"RPTIS",#N/A,FALSE,"RPTIS";"STATS",#N/A,FALSE,"STATS";"BS",#N/A,FALSE,"BS"}</definedName>
    <definedName name="wrn.WOLSELEY." localSheetId="2" hidden="1">{"FRONT (WOLSELEY) (23)",#N/A,TRUE,"WOLSELEY";"P AND L (WOLSELEY) (23)",#N/A,TRUE,"WOLSELEY";"CASH AND VAL (WOLSELEY) (23)",#N/A,TRUE,"WOLSELEY";"VALUATION (WOLSELEY) (23)",#N/A,TRUE,"WOLSELEY";"VALUATION (WOLSELEY) (21)",#N/A,TRUE,"WOLSELEY";"CASHFLOWVAL (WOLSELEY) (23)",#N/A,TRUE,"WOLSELEY";"MODELS3 (WOLSELEY) (23)",#N/A,TRUE,"WOLSELEY";"MODELS2 (WOLSELEY) (23)",#N/A,TRUE,"WOLSELEY";"MODELS (WOLSELEY) (23)",#N/A,TRUE,"WOLSELEY"}</definedName>
    <definedName name="wrn.WOLSELEY." localSheetId="12" hidden="1">{"FRONT (WOLSELEY) (23)",#N/A,TRUE,"WOLSELEY";"P AND L (WOLSELEY) (23)",#N/A,TRUE,"WOLSELEY";"CASH AND VAL (WOLSELEY) (23)",#N/A,TRUE,"WOLSELEY";"VALUATION (WOLSELEY) (23)",#N/A,TRUE,"WOLSELEY";"VALUATION (WOLSELEY) (21)",#N/A,TRUE,"WOLSELEY";"CASHFLOWVAL (WOLSELEY) (23)",#N/A,TRUE,"WOLSELEY";"MODELS3 (WOLSELEY) (23)",#N/A,TRUE,"WOLSELEY";"MODELS2 (WOLSELEY) (23)",#N/A,TRUE,"WOLSELEY";"MODELS (WOLSELEY) (23)",#N/A,TRUE,"WOLSELEY"}</definedName>
    <definedName name="wrn.WOLSELEY." localSheetId="7" hidden="1">{"FRONT (WOLSELEY) (23)",#N/A,TRUE,"WOLSELEY";"P AND L (WOLSELEY) (23)",#N/A,TRUE,"WOLSELEY";"CASH AND VAL (WOLSELEY) (23)",#N/A,TRUE,"WOLSELEY";"VALUATION (WOLSELEY) (23)",#N/A,TRUE,"WOLSELEY";"VALUATION (WOLSELEY) (21)",#N/A,TRUE,"WOLSELEY";"CASHFLOWVAL (WOLSELEY) (23)",#N/A,TRUE,"WOLSELEY";"MODELS3 (WOLSELEY) (23)",#N/A,TRUE,"WOLSELEY";"MODELS2 (WOLSELEY) (23)",#N/A,TRUE,"WOLSELEY";"MODELS (WOLSELEY) (23)",#N/A,TRUE,"WOLSELEY"}</definedName>
    <definedName name="wrn.WOLSELEY." hidden="1">{"FRONT (WOLSELEY) (23)",#N/A,TRUE,"WOLSELEY";"P AND L (WOLSELEY) (23)",#N/A,TRUE,"WOLSELEY";"CASH AND VAL (WOLSELEY) (23)",#N/A,TRUE,"WOLSELEY";"VALUATION (WOLSELEY) (23)",#N/A,TRUE,"WOLSELEY";"VALUATION (WOLSELEY) (21)",#N/A,TRUE,"WOLSELEY";"CASHFLOWVAL (WOLSELEY) (23)",#N/A,TRUE,"WOLSELEY";"MODELS3 (WOLSELEY) (23)",#N/A,TRUE,"WOLSELEY";"MODELS2 (WOLSELEY) (23)",#N/A,TRUE,"WOLSELEY";"MODELS (WOLSELEY) (23)",#N/A,TRUE,"WOLSELEY"}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vu.bal_98." localSheetId="2" hidden="1">{TRUE,TRUE,-1.25,-15.5,484.5,276.75,FALSE,TRUE,TRUE,TRUE,0,1,#N/A,1,36,13.234375,17,1,FALSE,TRUE,3,TRUE,1,FALSE,100,"Swvu.bal_98.","ACwvu.bal_98.",#N/A,FALSE,FALSE,0.748031496062992,0.748031496062992,0.984251968503937,0.984251968503937,1,"&amp;F","Page &amp;P",FALSE,FALSE,FALSE,FALSE,1,100,#N/A,#N/A,FALSE,FALSE,"Rwvu.bal_98.",#N/A,FALSE,FALSE,TRUE,9,#N/A,#N/A,FALSE,FALSE,TRUE,TRUE,TRUE}</definedName>
    <definedName name="wvu.bal_98." hidden="1">{TRUE,TRUE,-1.25,-15.5,484.5,276.75,FALSE,TRUE,TRUE,TRUE,0,1,#N/A,1,36,13.234375,17,1,FALSE,TRUE,3,TRUE,1,FALSE,100,"Swvu.bal_98.","ACwvu.bal_98.",#N/A,FALSE,FALSE,0.748031496062992,0.748031496062992,0.984251968503937,0.984251968503937,1,"&amp;F","Page &amp;P",FALSE,FALSE,FALSE,FALSE,1,100,#N/A,#N/A,FALSE,FALSE,"Rwvu.bal_98.",#N/A,FALSE,FALSE,TRUE,9,#N/A,#N/A,FALSE,FALSE,TRUE,TRUE,TRUE}</definedName>
    <definedName name="wvu.Full_Year." localSheetId="2" hidden="1">{TRUE,TRUE,-1.25,-15.5,604.5,366.75,FALSE,TRUE,TRUE,TRUE,0,1,#N/A,1,18,25.85,20,1,FALSE,TRUE,3,TRUE,1,FALSE,75,"Swvu.Full_Year.","ACwvu.Full_Year.",#N/A,FALSE,FALSE,0.393700787401575,0.393700787401575,0.393700787401575,0.393700787401575,1," ","&amp;C&amp;""Helvetica,Regular""J B Were &amp; Son - Research. Analyst: Matt Cook- Tel: (03) 9679 1445",TRUE,FALSE,FALSE,FALSE,1,85,#N/A,#N/A,"=C1:C22","=C1:C3,R1:R4","Rwvu.Full_Year.","Cwvu.Full_Year.",FALSE,FALSE,FALSE,9,#N/A,#N/A,FALSE,FALSE,TRUE,TRUE,TRUE}</definedName>
    <definedName name="wvu.Full_Year." hidden="1">{TRUE,TRUE,-1.25,-15.5,604.5,366.75,FALSE,TRUE,TRUE,TRUE,0,1,#N/A,1,18,25.85,20,1,FALSE,TRUE,3,TRUE,1,FALSE,75,"Swvu.Full_Year.","ACwvu.Full_Year.",#N/A,FALSE,FALSE,0.393700787401575,0.393700787401575,0.393700787401575,0.393700787401575,1," ","&amp;C&amp;""Helvetica,Regular""J B Were &amp; Son - Research. Analyst: Matt Cook- Tel: (03) 9679 1445",TRUE,FALSE,FALSE,FALSE,1,85,#N/A,#N/A,"=C1:C22","=C1:C3,R1:R4","Rwvu.Full_Year.","Cwvu.Full_Year.",FALSE,FALSE,FALSE,9,#N/A,#N/A,FALSE,FALSE,TRUE,TRUE,TRUE}</definedName>
    <definedName name="www" localSheetId="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ww" localSheetId="12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ww" localSheetId="7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www" hidden="1">{"equity comps",#N/A,FALSE,"CS Comps";"equity comps",#N/A,FALSE,"PS Comps";"equity comps",#N/A,FALSE,"GIC_Comps";"equity comps",#N/A,FALSE,"GIC2_Comps";"debt comps",#N/A,FALSE,"CS Comps";"debt comps",#N/A,FALSE,"PS Comps";"debt comps",#N/A,FALSE,"GIC_Comps";"debt comps",#N/A,FALSE,"GIC2_Comps"}</definedName>
    <definedName name="Ycf_89">#REF!</definedName>
    <definedName name="Ycf_90">#REF!</definedName>
    <definedName name="Ycf_91">#REF!</definedName>
    <definedName name="Ycf_92">#REF!</definedName>
    <definedName name="year_data_1" localSheetId="2">#REF!</definedName>
    <definedName name="year_data_10" localSheetId="2">#REF!</definedName>
    <definedName name="year_data_11" localSheetId="2">#REF!</definedName>
    <definedName name="year_data_12" localSheetId="2">#REF!</definedName>
    <definedName name="year_data_13" localSheetId="2">#REF!</definedName>
    <definedName name="year_data_14" localSheetId="2">#REF!</definedName>
    <definedName name="year_data_15" localSheetId="2">#REF!</definedName>
    <definedName name="year_data_16" localSheetId="2">#REF!</definedName>
    <definedName name="year_data_17" localSheetId="2">#REF!</definedName>
    <definedName name="year_data_18" localSheetId="2">#REF!</definedName>
    <definedName name="year_data_19" localSheetId="2">#REF!</definedName>
    <definedName name="year_data_2" localSheetId="2">#REF!</definedName>
    <definedName name="year_data_20" localSheetId="2">#REF!</definedName>
    <definedName name="year_data_21" localSheetId="2">#REF!</definedName>
    <definedName name="year_data_22" localSheetId="2">#REF!</definedName>
    <definedName name="year_data_23" localSheetId="2">#REF!</definedName>
    <definedName name="year_data_24" localSheetId="2">#REF!</definedName>
    <definedName name="year_data_25" localSheetId="2">#REF!</definedName>
    <definedName name="year_data_26" localSheetId="2">#REF!</definedName>
    <definedName name="year_data_27" localSheetId="2">#REF!</definedName>
    <definedName name="year_data_28" localSheetId="2">#REF!</definedName>
    <definedName name="year_data_29" localSheetId="2">#REF!</definedName>
    <definedName name="year_data_3" localSheetId="2">#REF!</definedName>
    <definedName name="year_data_30" localSheetId="2">#REF!</definedName>
    <definedName name="year_data_4" localSheetId="2">#REF!</definedName>
    <definedName name="year_data_5" localSheetId="2">#REF!</definedName>
    <definedName name="year_data_6" localSheetId="2">#REF!</definedName>
    <definedName name="year_data_7" localSheetId="2">#REF!</definedName>
    <definedName name="year_data_8" localSheetId="2">#REF!</definedName>
    <definedName name="year_data_9" localSheetId="2">#REF!</definedName>
    <definedName name="Year_End_Net_Cash____Debt" localSheetId="2">#REF!</definedName>
    <definedName name="Year_End_Number_of_Employees" localSheetId="2">#REF!</definedName>
    <definedName name="YearCurrencyRate" localSheetId="2">#REF!</definedName>
    <definedName name="YearRange" localSheetId="2">#REF!</definedName>
    <definedName name="YEARS" localSheetId="2">#REF!</definedName>
    <definedName name="YHOO" localSheetId="2">#REF!</definedName>
    <definedName name="YHOOEPS1" localSheetId="2">#REF!</definedName>
    <definedName name="YHOOEPS2" localSheetId="2">#REF!</definedName>
    <definedName name="YHOORating" localSheetId="2">#REF!</definedName>
    <definedName name="YHOOTargetPrice" localSheetId="2">#REF!</definedName>
    <definedName name="Ypl_01b" localSheetId="2">#REF!</definedName>
    <definedName name="Ypl_09" localSheetId="2">#REF!</definedName>
    <definedName name="YRREV00" localSheetId="2">#REF!</definedName>
    <definedName name="YRREV97" localSheetId="2">#REF!</definedName>
    <definedName name="YRREV98" localSheetId="2">#REF!</definedName>
    <definedName name="YRREV99" localSheetId="2">#REF!</definedName>
    <definedName name="Z_03DAD997_7A4F_11D1_AB8C_00805F1D08F8_.wvu.Cols" localSheetId="2" hidden="1">#REF!,#REF!,#REF!,#REF!</definedName>
    <definedName name="Z_03DAD997_7A4F_11D1_AB8C_00805F1D08F8_.wvu.Cols" hidden="1">#REF!,#REF!,#REF!,#REF!</definedName>
    <definedName name="Z_0C942D74_7104_11D1_AB6C_00805F1D2048_.wvu.Cols" localSheetId="2" hidden="1">#REF!,#REF!,#REF!,#REF!</definedName>
    <definedName name="Z_0C942D74_7104_11D1_AB6C_00805F1D2048_.wvu.Cols" hidden="1">#REF!,#REF!,#REF!,#REF!</definedName>
    <definedName name="Z_115772F6_74E0_11D1_AB6E_00805F1D2048_.wvu.Cols" localSheetId="2" hidden="1">#REF!,#REF!,#REF!,#REF!</definedName>
    <definedName name="Z_115772F6_74E0_11D1_AB6E_00805F1D2048_.wvu.Cols" hidden="1">#REF!,#REF!,#REF!,#REF!</definedName>
    <definedName name="Z_2087720E_7599_11D1_AB6F_00805F1D2048_.wvu.Cols" localSheetId="2" hidden="1">#REF!,#REF!,#REF!,#REF!</definedName>
    <definedName name="Z_2087720E_7599_11D1_AB6F_00805F1D2048_.wvu.Cols" hidden="1">#REF!,#REF!,#REF!,#REF!</definedName>
    <definedName name="Z_2087722E_7599_11D1_AB6F_00805F1D2048_.wvu.Cols" localSheetId="2" hidden="1">#REF!,#REF!,#REF!,#REF!</definedName>
    <definedName name="Z_2087722E_7599_11D1_AB6F_00805F1D2048_.wvu.Cols" hidden="1">#REF!,#REF!,#REF!,#REF!</definedName>
    <definedName name="Z_2087724E_7599_11D1_AB6F_00805F1D2048_.wvu.Cols" localSheetId="2" hidden="1">#REF!,#REF!,#REF!,#REF!</definedName>
    <definedName name="Z_2087724E_7599_11D1_AB6F_00805F1D2048_.wvu.Cols" hidden="1">#REF!,#REF!,#REF!,#REF!</definedName>
    <definedName name="Z_390AA9A1_4F12_11D1_AB62_00805F1D08F8_.wvu.Cols" localSheetId="2" hidden="1">#REF!,#REF!,#REF!,#REF!</definedName>
    <definedName name="Z_390AA9A1_4F12_11D1_AB62_00805F1D08F8_.wvu.Cols" hidden="1">#REF!,#REF!,#REF!,#REF!</definedName>
    <definedName name="Z_3A0CF413_61F2_11D1_AB75_00805F1D08F8_.wvu.Cols" localSheetId="2" hidden="1">#REF!,#REF!,#REF!,#REF!</definedName>
    <definedName name="Z_3A0CF413_61F2_11D1_AB75_00805F1D08F8_.wvu.Cols" hidden="1">#REF!,#REF!,#REF!,#REF!</definedName>
    <definedName name="Z_40C39524_4116_11D1_AB55_00805F1D08F8_.wvu.Cols" localSheetId="2" hidden="1">#REF!,#REF!,#REF!,#REF!</definedName>
    <definedName name="Z_40C39524_4116_11D1_AB55_00805F1D08F8_.wvu.Cols" hidden="1">#REF!,#REF!,#REF!,#REF!</definedName>
    <definedName name="Z_40C39574_4116_11D1_AB55_00805F1D08F8_.wvu.Cols" localSheetId="2" hidden="1">#REF!,#REF!,#REF!,#REF!</definedName>
    <definedName name="Z_40C39574_4116_11D1_AB55_00805F1D08F8_.wvu.Cols" hidden="1">#REF!,#REF!,#REF!,#REF!</definedName>
    <definedName name="Z_4B689A84_6515_11D1_AB79_00805F1D08F8_.wvu.Cols" localSheetId="2" hidden="1">#REF!,#REF!,#REF!,#REF!</definedName>
    <definedName name="Z_4B689A84_6515_11D1_AB79_00805F1D08F8_.wvu.Cols" hidden="1">#REF!,#REF!,#REF!,#REF!</definedName>
    <definedName name="Z_4D4EF4DD_6A0A_11D1_AB7D_00805F1D08F8_.wvu.Cols" localSheetId="2" hidden="1">#REF!,#REF!,#REF!,#REF!</definedName>
    <definedName name="Z_4D4EF4DD_6A0A_11D1_AB7D_00805F1D08F8_.wvu.Cols" hidden="1">#REF!,#REF!,#REF!,#REF!</definedName>
    <definedName name="Z_5BD438D5_7596_11D1_AB88_00805F1D08F8_.wvu.Cols" localSheetId="2" hidden="1">#REF!,#REF!,#REF!,#REF!</definedName>
    <definedName name="Z_5BD438D5_7596_11D1_AB88_00805F1D08F8_.wvu.Cols" hidden="1">#REF!,#REF!,#REF!,#REF!</definedName>
    <definedName name="Z_5BD43915_7596_11D1_AB88_00805F1D08F8_.wvu.Cols" localSheetId="2" hidden="1">#REF!,#REF!,#REF!,#REF!</definedName>
    <definedName name="Z_5BD43915_7596_11D1_AB88_00805F1D08F8_.wvu.Cols" hidden="1">#REF!,#REF!,#REF!,#REF!</definedName>
    <definedName name="Z_5D8928C4_27D9_11D1_AB33_00805F1D2048_.wvu.Cols" localSheetId="2" hidden="1">#REF!,#REF!,#REF!,#REF!</definedName>
    <definedName name="Z_5D8928C4_27D9_11D1_AB33_00805F1D2048_.wvu.Cols" hidden="1">#REF!,#REF!,#REF!,#REF!</definedName>
    <definedName name="Z_60FA13F0_C7AB_11D5_82BE_0060B0F04987_.wvu.Rows" localSheetId="2" hidden="1">#REF!</definedName>
    <definedName name="Z_60FA13F0_C7AB_11D5_82BE_0060B0F04987_.wvu.Rows" localSheetId="5" hidden="1">#REF!</definedName>
    <definedName name="Z_60FA13F0_C7AB_11D5_82BE_0060B0F04987_.wvu.Rows" hidden="1">#REF!</definedName>
    <definedName name="Z_63193F36_1A71_11D1_AB28_00805F1D2048_.wvu.Cols" localSheetId="2" hidden="1">#REF!,#REF!,#REF!,#REF!</definedName>
    <definedName name="Z_63193F36_1A71_11D1_AB28_00805F1D2048_.wvu.Cols" hidden="1">#REF!,#REF!,#REF!,#REF!</definedName>
    <definedName name="Z_67539AE8_7018_11D1_AB83_00805F1D08F8_.wvu.Cols" localSheetId="2" hidden="1">#REF!,#REF!,#REF!,#REF!</definedName>
    <definedName name="Z_67539AE8_7018_11D1_AB83_00805F1D08F8_.wvu.Cols" hidden="1">#REF!,#REF!,#REF!,#REF!</definedName>
    <definedName name="Z_78668873_6450_11D1_AB62_00805F1D2048_.wvu.Cols" localSheetId="2" hidden="1">#REF!,#REF!,#REF!,#REF!</definedName>
    <definedName name="Z_78668873_6450_11D1_AB62_00805F1D2048_.wvu.Cols" hidden="1">#REF!,#REF!,#REF!,#REF!</definedName>
    <definedName name="Z_78668A27_6450_11D1_AB62_00805F1D2048_.wvu.Cols" localSheetId="2" hidden="1">#REF!,#REF!,#REF!,#REF!</definedName>
    <definedName name="Z_78668A27_6450_11D1_AB62_00805F1D2048_.wvu.Cols" hidden="1">#REF!,#REF!,#REF!,#REF!</definedName>
    <definedName name="Z_81AF337F_7A53_11D1_AB73_00805F1D2048_.wvu.Cols" localSheetId="2" hidden="1">#REF!,#REF!,#REF!,#REF!</definedName>
    <definedName name="Z_81AF337F_7A53_11D1_AB73_00805F1D2048_.wvu.Cols" hidden="1">#REF!,#REF!,#REF!,#REF!</definedName>
    <definedName name="Z_92309AA4_604A_11D5_9E55_00508BC944B9_.wvu.PrintArea" localSheetId="3" hidden="1">MODEL!$C$3:$AT$312</definedName>
    <definedName name="Z_92309AA4_604A_11D5_9E55_00508BC944B9_.wvu.PrintTitles" localSheetId="3" hidden="1">MODEL!$B:$B,MODEL!$1:$2</definedName>
    <definedName name="Z_92309AA5_604A_11D5_9E55_00508BC944B9_.wvu.PrintArea" localSheetId="3" hidden="1">MODEL!$C$3:$AT$312</definedName>
    <definedName name="Z_92309AA5_604A_11D5_9E55_00508BC944B9_.wvu.PrintTitles" localSheetId="3" hidden="1">MODEL!$B:$B,MODEL!$1:$2</definedName>
    <definedName name="Z_9431393C_8BB4_11D1_AB82_00805F1D2048_.wvu.Cols" localSheetId="2" hidden="1">#REF!,#REF!,#REF!,#REF!</definedName>
    <definedName name="Z_9431393C_8BB4_11D1_AB82_00805F1D2048_.wvu.Cols" hidden="1">#REF!,#REF!,#REF!,#REF!</definedName>
    <definedName name="Z_A399A71E_4368_11D1_AB57_00805F1D08F8_.wvu.Cols" localSheetId="2" hidden="1">#REF!,#REF!,#REF!,#REF!</definedName>
    <definedName name="Z_A399A71E_4368_11D1_AB57_00805F1D08F8_.wvu.Cols" hidden="1">#REF!,#REF!,#REF!,#REF!</definedName>
    <definedName name="Z_BAD6B5D1_6209_11D1_AB61_00805F1D2048_.wvu.Cols" localSheetId="2" hidden="1">#REF!,#REF!,#REF!,#REF!</definedName>
    <definedName name="Z_BAD6B5D1_6209_11D1_AB61_00805F1D2048_.wvu.Cols" hidden="1">#REF!,#REF!,#REF!,#REF!</definedName>
    <definedName name="Z_C743300E_5626_11D1_AB56_00805F1D2048_.wvu.Cols" localSheetId="2" hidden="1">#REF!,#REF!,#REF!,#REF!</definedName>
    <definedName name="Z_C743300E_5626_11D1_AB56_00805F1D2048_.wvu.Cols" hidden="1">#REF!,#REF!,#REF!,#REF!</definedName>
    <definedName name="Z_C7433014_5626_11D1_AB56_00805F1D2048_.wvu.Cols" localSheetId="2" hidden="1">#REF!,#REF!,#REF!,#REF!</definedName>
    <definedName name="Z_C7433014_5626_11D1_AB56_00805F1D2048_.wvu.Cols" hidden="1">#REF!,#REF!,#REF!,#REF!</definedName>
    <definedName name="Z_D54F9875_4E48_11D1_AB4F_00805F1D2048_.wvu.Cols" localSheetId="2" hidden="1">#REF!,#REF!,#REF!,#REF!</definedName>
    <definedName name="Z_D54F9875_4E48_11D1_AB4F_00805F1D2048_.wvu.Cols" hidden="1">#REF!,#REF!,#REF!,#REF!</definedName>
    <definedName name="Z_D54F996F_4E48_11D1_AB4F_00805F1D2048_.wvu.Cols" localSheetId="2" hidden="1">#REF!,#REF!,#REF!,#REF!</definedName>
    <definedName name="Z_D54F996F_4E48_11D1_AB4F_00805F1D2048_.wvu.Cols" hidden="1">#REF!,#REF!,#REF!,#REF!</definedName>
    <definedName name="Z_D62B3FE6_56F6_11D1_AB57_00805F1D2048_.wvu.Cols" localSheetId="2" hidden="1">#REF!,#REF!,#REF!,#REF!</definedName>
    <definedName name="Z_D62B3FE6_56F6_11D1_AB57_00805F1D2048_.wvu.Cols" hidden="1">#REF!,#REF!,#REF!,#REF!</definedName>
    <definedName name="Z_DCBAD064_2D80_11D1_AB5C_00805F466D8F_.wvu.Cols" localSheetId="2" hidden="1">#REF!,#REF!,#REF!,#REF!</definedName>
    <definedName name="Z_DCBAD064_2D80_11D1_AB5C_00805F466D8F_.wvu.Cols" hidden="1">#REF!,#REF!,#REF!,#REF!</definedName>
    <definedName name="Z_EC399AE0_4413_11D1_AB58_00805F1D08F8_.wvu.Cols" localSheetId="2" hidden="1">#REF!,#REF!,#REF!,#REF!</definedName>
    <definedName name="Z_EC399AE0_4413_11D1_AB58_00805F1D08F8_.wvu.Cols" hidden="1">#REF!,#REF!,#REF!,#REF!</definedName>
    <definedName name="Z_F8F432B8_2D4F_11D1_AB36_00805F1DF014_.wvu.Cols" localSheetId="2" hidden="1">#REF!,#REF!,#REF!,#REF!</definedName>
    <definedName name="Z_F8F432B8_2D4F_11D1_AB36_00805F1DF014_.wvu.Cols" hidden="1">#REF!,#REF!,#REF!,#REF!</definedName>
    <definedName name="Z_F97BFBDF_2894_11D1_AB3A_00805F1D08F8_.wvu.Cols" localSheetId="2" hidden="1">#REF!,#REF!,#REF!,#REF!</definedName>
    <definedName name="Z_F97BFBDF_2894_11D1_AB3A_00805F1D08F8_.wvu.Cols" hidden="1">#REF!,#REF!,#REF!,#REF!</definedName>
    <definedName name="zDebt" localSheetId="2">DCF!$D$29</definedName>
    <definedName name="zEDE" localSheetId="2">#REF!</definedName>
    <definedName name="zEquityValue" localSheetId="2">DCF!$D$30</definedName>
    <definedName name="zIssued_Shares" localSheetId="2">DCF!$D$31</definedName>
    <definedName name="zMktValue_investments" localSheetId="2">DCF!$D$28</definedName>
    <definedName name="zTc" localSheetId="2">#REF!</definedName>
    <definedName name="ㄱ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ㄱ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ㄱㄱㄱ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ㄱㄱㄱ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개발화학피앤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개발화학피앤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개선안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개선안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공정" hidden="1">#REF!</definedName>
    <definedName name="광주공장" hidden="1">#REF!</definedName>
    <definedName name="구미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구미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성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성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성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성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획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기획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선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선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선1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선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철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김영철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뉴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뉴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대일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대일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대일1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대일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" hidden="1">#REF!</definedName>
    <definedName name="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매출bogo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매출bogo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목차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목차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목차1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목차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문성수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문성수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민자사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민자사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병근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병근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보고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보고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비2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비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세연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세연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세연1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세연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손익3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손익3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ㅇㅇ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ㅇㅇ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양식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양식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없애버림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없애버림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여의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여의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1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3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연습3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왜이래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왜이래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울산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울산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유승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유승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유승주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유승주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인원현황2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인원현황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인원현황3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인원현황3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일산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일산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일자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일자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봉용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봉용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인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인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인보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인보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종구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정종구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종합어음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종합어음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직급공정" hidden="1">#REF!</definedName>
    <definedName name="진짜연습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연습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첨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첨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분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분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분입니다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최종분입니다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팔레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팔레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평균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평균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하반기차입금계획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하반기차입금계획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홍성태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홍성태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회현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회현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ㅣ니니니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ㅣ니니니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</definedNames>
  <calcPr calcId="191029"/>
  <customWorkbookViews>
    <customWorkbookView name="1995+" guid="{92309AA4-604A-11D5-9E55-00508BC944B9}" maximized="1" windowWidth="987" windowHeight="632" tabRatio="798" activeSheetId="23083"/>
    <customWorkbookView name="1990+" guid="{92309AA5-604A-11D5-9E55-00508BC944B9}" maximized="1" windowWidth="987" windowHeight="632" tabRatio="798" activeSheetId="23083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63" i="23086" l="1"/>
  <c r="BD62" i="23086"/>
  <c r="BD61" i="23086"/>
  <c r="BD60" i="23086"/>
  <c r="AR196" i="23083" l="1"/>
  <c r="AR188" i="23083"/>
  <c r="AR181" i="23083"/>
  <c r="AR171" i="23083"/>
  <c r="AR149" i="23083"/>
  <c r="AR108" i="23083"/>
  <c r="AR106" i="23083"/>
  <c r="AR103" i="23083"/>
  <c r="AR317" i="23083"/>
  <c r="AR86" i="23083"/>
  <c r="AR85" i="23083"/>
  <c r="AR41" i="23083"/>
  <c r="AR35" i="23083"/>
  <c r="AR32" i="23083"/>
  <c r="AR29" i="23083"/>
  <c r="AR17" i="23083"/>
  <c r="AR320" i="23083" l="1"/>
  <c r="AR319" i="23083"/>
  <c r="AR316" i="23083"/>
  <c r="AQ315" i="23083"/>
  <c r="AR306" i="23083"/>
  <c r="AR303" i="23083"/>
  <c r="AR304" i="23083" s="1"/>
  <c r="AR283" i="23083"/>
  <c r="AR255" i="23083"/>
  <c r="AR253" i="23083"/>
  <c r="AQ252" i="23083"/>
  <c r="AR251" i="23083"/>
  <c r="AR246" i="23083"/>
  <c r="AR248" i="23083" s="1"/>
  <c r="AR210" i="23083"/>
  <c r="AR198" i="23083"/>
  <c r="AR296" i="23083" s="1"/>
  <c r="AR189" i="23083"/>
  <c r="AR182" i="23083"/>
  <c r="AR169" i="23083"/>
  <c r="AR164" i="23083"/>
  <c r="AR163" i="23083" s="1"/>
  <c r="AR160" i="23083"/>
  <c r="AR156" i="23083"/>
  <c r="AR155" i="23083" s="1"/>
  <c r="AR205" i="23083" s="1"/>
  <c r="AR150" i="23083"/>
  <c r="AR123" i="23083"/>
  <c r="AR124" i="23083" s="1"/>
  <c r="AQ121" i="23083"/>
  <c r="AR119" i="23083"/>
  <c r="AQ115" i="23083"/>
  <c r="AR113" i="23083"/>
  <c r="AR100" i="23083"/>
  <c r="AR96" i="23083"/>
  <c r="AR89" i="23083"/>
  <c r="AR206" i="23083" s="1"/>
  <c r="AR58" i="23083"/>
  <c r="AR57" i="23083"/>
  <c r="AQ50" i="23083"/>
  <c r="AR49" i="23083"/>
  <c r="AR48" i="23083"/>
  <c r="AR263" i="23083"/>
  <c r="AR140" i="23083"/>
  <c r="AQ33" i="23083"/>
  <c r="AR18" i="23083"/>
  <c r="AQ16" i="23083"/>
  <c r="AQ15" i="23083"/>
  <c r="AR12" i="23083"/>
  <c r="AR6" i="23083"/>
  <c r="AR5" i="23083"/>
  <c r="BE144" i="23086"/>
  <c r="BE136" i="23086"/>
  <c r="BE133" i="23086" s="1"/>
  <c r="BE130" i="23086"/>
  <c r="BE120" i="23086"/>
  <c r="BD119" i="23086"/>
  <c r="BE114" i="23086"/>
  <c r="BE112" i="23086"/>
  <c r="BD110" i="23086"/>
  <c r="BD114" i="23086" s="1"/>
  <c r="BD105" i="23086"/>
  <c r="BE98" i="23086"/>
  <c r="BD86" i="23086"/>
  <c r="BE81" i="23086"/>
  <c r="BE80" i="23086"/>
  <c r="BE76" i="23086"/>
  <c r="BE75" i="23086"/>
  <c r="BE72" i="23086"/>
  <c r="BD71" i="23086"/>
  <c r="BD70" i="23086"/>
  <c r="AR102" i="23083" l="1"/>
  <c r="BE147" i="23086"/>
  <c r="BF144" i="23086"/>
  <c r="BG144" i="23086" s="1"/>
  <c r="BH144" i="23086" s="1"/>
  <c r="AQ6" i="23083"/>
  <c r="AQ12" i="23083"/>
  <c r="BD136" i="23086"/>
  <c r="BD133" i="23086" s="1"/>
  <c r="AR50" i="23083"/>
  <c r="AR218" i="23083"/>
  <c r="AR220" i="23083" s="1"/>
  <c r="AR321" i="23083"/>
  <c r="AR323" i="23083" s="1"/>
  <c r="BD81" i="23086"/>
  <c r="AR8" i="23083"/>
  <c r="AR127" i="23083"/>
  <c r="AR202" i="23083" s="1"/>
  <c r="AR191" i="23083"/>
  <c r="AR72" i="23083"/>
  <c r="AQ5" i="23083"/>
  <c r="AR292" i="23083"/>
  <c r="AR88" i="23083"/>
  <c r="AR90" i="23083" s="1"/>
  <c r="AR285" i="23083" s="1"/>
  <c r="AR289" i="23083" s="1"/>
  <c r="AR172" i="23083"/>
  <c r="AR174" i="23083" s="1"/>
  <c r="AR299" i="23083"/>
  <c r="AQ319" i="23083"/>
  <c r="AR297" i="23083"/>
  <c r="AR298" i="23083" s="1"/>
  <c r="AR300" i="23083" s="1"/>
  <c r="AQ320" i="23083"/>
  <c r="AR24" i="23083"/>
  <c r="BE92" i="23086"/>
  <c r="BD144" i="23086"/>
  <c r="BD147" i="23086" s="1"/>
  <c r="BD72" i="23086"/>
  <c r="BD80" i="23086"/>
  <c r="AR75" i="23083" l="1"/>
  <c r="AQ8" i="23083"/>
  <c r="AQ77" i="23083" s="1"/>
  <c r="AR203" i="23083"/>
  <c r="AR215" i="23083"/>
  <c r="AR78" i="23083"/>
  <c r="AR11" i="23083"/>
  <c r="AR51" i="23083"/>
  <c r="AR79" i="23083"/>
  <c r="AR214" i="23083"/>
  <c r="AR325" i="23083"/>
  <c r="AR212" i="23083"/>
  <c r="AR208" i="23083"/>
  <c r="AR68" i="23083"/>
  <c r="AR213" i="23083"/>
  <c r="AR77" i="23083"/>
  <c r="AR326" i="23083"/>
  <c r="AR76" i="23083"/>
  <c r="AR199" i="23083"/>
  <c r="AR200" i="23083" s="1"/>
  <c r="AR204" i="23083"/>
  <c r="AR92" i="23083"/>
  <c r="AR107" i="23083" s="1"/>
  <c r="AR109" i="23083" s="1"/>
  <c r="AQ321" i="23083"/>
  <c r="AR69" i="23083"/>
  <c r="AR82" i="23083"/>
  <c r="AR30" i="23083"/>
  <c r="AR223" i="23083"/>
  <c r="AR209" i="23083"/>
  <c r="BD92" i="23086"/>
  <c r="BT188" i="23140"/>
  <c r="BR188" i="23140"/>
  <c r="BQ188" i="23140"/>
  <c r="BP188" i="23140"/>
  <c r="BO188" i="23140"/>
  <c r="BM188" i="23140"/>
  <c r="BL188" i="23140"/>
  <c r="BK188" i="23140"/>
  <c r="BH188" i="23140"/>
  <c r="BG188" i="23140"/>
  <c r="BF188" i="23140"/>
  <c r="BE188" i="23140"/>
  <c r="BC188" i="23140"/>
  <c r="BB188" i="23140"/>
  <c r="BA188" i="23140"/>
  <c r="AZ188" i="23140"/>
  <c r="AW188" i="23140"/>
  <c r="AV188" i="23140"/>
  <c r="AU188" i="23140"/>
  <c r="AR188" i="23140"/>
  <c r="AQ188" i="23140"/>
  <c r="AP188" i="23140"/>
  <c r="BR33" i="23141"/>
  <c r="BR24" i="23141"/>
  <c r="AG62" i="23083"/>
  <c r="AF62" i="23083"/>
  <c r="AD62" i="23083"/>
  <c r="M62" i="23083"/>
  <c r="L62" i="23083"/>
  <c r="G62" i="23083"/>
  <c r="F62" i="23083"/>
  <c r="B340" i="23083"/>
  <c r="B346" i="23083" s="1"/>
  <c r="B339" i="23083"/>
  <c r="B345" i="23083" s="1"/>
  <c r="B338" i="23083"/>
  <c r="B344" i="23083" s="1"/>
  <c r="B337" i="23083"/>
  <c r="B343" i="23083" s="1"/>
  <c r="AQ68" i="23083" l="1"/>
  <c r="AQ325" i="23083"/>
  <c r="AQ11" i="23083"/>
  <c r="AQ75" i="23083"/>
  <c r="AQ76" i="23083"/>
  <c r="AQ323" i="23083"/>
  <c r="AR327" i="23083"/>
  <c r="AR70" i="23083"/>
  <c r="AR131" i="23083"/>
  <c r="AR34" i="23083"/>
  <c r="AR135" i="23083"/>
  <c r="BR178" i="23140"/>
  <c r="BI219" i="23140"/>
  <c r="BF219" i="23140"/>
  <c r="BA219" i="23140"/>
  <c r="AZ219" i="23140"/>
  <c r="BG219" i="23140"/>
  <c r="BC219" i="23140"/>
  <c r="BB219" i="23140" l="1"/>
  <c r="BH219" i="23140"/>
  <c r="AR71" i="23083"/>
  <c r="AR36" i="23083"/>
  <c r="BH193" i="23086"/>
  <c r="BG193" i="23086"/>
  <c r="BF193" i="23086"/>
  <c r="BE193" i="23086"/>
  <c r="BD193" i="23086"/>
  <c r="BC193" i="23086"/>
  <c r="BB193" i="23086"/>
  <c r="BA193" i="23086"/>
  <c r="AZ193" i="23086"/>
  <c r="AY193" i="23086"/>
  <c r="AX193" i="23086"/>
  <c r="AW193" i="23086"/>
  <c r="AV193" i="23086"/>
  <c r="AU193" i="23086"/>
  <c r="AT193" i="23086"/>
  <c r="AS193" i="23086"/>
  <c r="AR193" i="23086"/>
  <c r="AQ193" i="23086"/>
  <c r="BB144" i="23086"/>
  <c r="BB147" i="23086" s="1"/>
  <c r="AZ144" i="23086"/>
  <c r="AZ147" i="23086" s="1"/>
  <c r="AY144" i="23086"/>
  <c r="AY147" i="23086" s="1"/>
  <c r="AW144" i="23086"/>
  <c r="AW147" i="23086" s="1"/>
  <c r="AV144" i="23086"/>
  <c r="AV147" i="23086" s="1"/>
  <c r="AT144" i="23086"/>
  <c r="AT147" i="23086" s="1"/>
  <c r="AS144" i="23086"/>
  <c r="AS147" i="23086" s="1"/>
  <c r="AQ144" i="23086"/>
  <c r="AQ147" i="23086" s="1"/>
  <c r="AP144" i="23086"/>
  <c r="AP147" i="23086" s="1"/>
  <c r="AN144" i="23086"/>
  <c r="AN147" i="23086" s="1"/>
  <c r="BC144" i="23086"/>
  <c r="BC147" i="23086" s="1"/>
  <c r="B153" i="23086"/>
  <c r="B152" i="23086"/>
  <c r="B151" i="23086"/>
  <c r="B150" i="23086"/>
  <c r="B184" i="23086"/>
  <c r="B182" i="23086"/>
  <c r="B181" i="23086"/>
  <c r="B180" i="23086"/>
  <c r="B179" i="23086"/>
  <c r="B177" i="23086"/>
  <c r="B176" i="23086"/>
  <c r="B174" i="23086"/>
  <c r="B173" i="23086"/>
  <c r="B172" i="23086"/>
  <c r="AR40" i="23083" l="1"/>
  <c r="BI197" i="23140"/>
  <c r="BC156" i="23086" s="1"/>
  <c r="BG197" i="23140"/>
  <c r="BA156" i="23086" s="1"/>
  <c r="BF197" i="23140"/>
  <c r="AZ156" i="23086" s="1"/>
  <c r="BD197" i="23140"/>
  <c r="AX156" i="23086" s="1"/>
  <c r="BC197" i="23140"/>
  <c r="AW156" i="23086" s="1"/>
  <c r="BC199" i="23140"/>
  <c r="BD199" i="23140"/>
  <c r="BF199" i="23140"/>
  <c r="BG199" i="23140"/>
  <c r="BI199" i="23140"/>
  <c r="BA196" i="23140"/>
  <c r="BD196" i="23140" s="1"/>
  <c r="BG196" i="23140" s="1"/>
  <c r="BJ196" i="23140" s="1"/>
  <c r="BM196" i="23140" s="1"/>
  <c r="BP196" i="23140" s="1"/>
  <c r="BS196" i="23140" s="1"/>
  <c r="AZ196" i="23140"/>
  <c r="BC196" i="23140" s="1"/>
  <c r="BF196" i="23140" s="1"/>
  <c r="BI196" i="23140" s="1"/>
  <c r="BL196" i="23140" s="1"/>
  <c r="BO196" i="23140" s="1"/>
  <c r="BR196" i="23140" s="1"/>
  <c r="BB195" i="23140"/>
  <c r="BE195" i="23140" s="1"/>
  <c r="BH195" i="23140" s="1"/>
  <c r="BK195" i="23140" s="1"/>
  <c r="BN195" i="23140" s="1"/>
  <c r="BQ195" i="23140" s="1"/>
  <c r="BT195" i="23140" s="1"/>
  <c r="BA195" i="23140"/>
  <c r="BD195" i="23140" s="1"/>
  <c r="BG195" i="23140" s="1"/>
  <c r="BJ195" i="23140" s="1"/>
  <c r="BM195" i="23140" s="1"/>
  <c r="BP195" i="23140" s="1"/>
  <c r="BS195" i="23140" s="1"/>
  <c r="AZ195" i="23140"/>
  <c r="BC195" i="23140" s="1"/>
  <c r="BF195" i="23140" s="1"/>
  <c r="BI195" i="23140" s="1"/>
  <c r="BL195" i="23140" s="1"/>
  <c r="BO195" i="23140" s="1"/>
  <c r="BR195" i="23140" s="1"/>
  <c r="BB196" i="23140"/>
  <c r="BE196" i="23140" s="1"/>
  <c r="BH196" i="23140" s="1"/>
  <c r="BK196" i="23140" s="1"/>
  <c r="BN196" i="23140" s="1"/>
  <c r="BQ196" i="23140" s="1"/>
  <c r="BT196" i="23140" s="1"/>
  <c r="A154" i="23141"/>
  <c r="A153" i="23141"/>
  <c r="A152" i="23141"/>
  <c r="BT148" i="23141"/>
  <c r="BU148" i="23141" s="1"/>
  <c r="BR148" i="23141"/>
  <c r="BQ148" i="23141"/>
  <c r="BP148" i="23141"/>
  <c r="BP149" i="23141" s="1"/>
  <c r="BO148" i="23141"/>
  <c r="BO149" i="23141" s="1"/>
  <c r="BO162" i="23141" s="1"/>
  <c r="BM148" i="23141"/>
  <c r="BM149" i="23141" s="1"/>
  <c r="BL148" i="23141"/>
  <c r="BK148" i="23141"/>
  <c r="BH148" i="23141"/>
  <c r="BH149" i="23141" s="1"/>
  <c r="BG148" i="23141"/>
  <c r="BF148" i="23141"/>
  <c r="BE148" i="23141"/>
  <c r="BC148" i="23141"/>
  <c r="BC149" i="23141" s="1"/>
  <c r="BC162" i="23141" s="1"/>
  <c r="BB148" i="23141"/>
  <c r="BB149" i="23141" s="1"/>
  <c r="BB162" i="23141" s="1"/>
  <c r="BA148" i="23141"/>
  <c r="BA149" i="23141" s="1"/>
  <c r="AZ148" i="23141"/>
  <c r="AW148" i="23141"/>
  <c r="AW149" i="23141" s="1"/>
  <c r="AV148" i="23141"/>
  <c r="AV149" i="23141" s="1"/>
  <c r="AU148" i="23141"/>
  <c r="AQ148" i="23141"/>
  <c r="AQ149" i="23141" s="1"/>
  <c r="AQ162" i="23141" s="1"/>
  <c r="AP148" i="23141"/>
  <c r="AP149" i="23141" s="1"/>
  <c r="AP162" i="23141" s="1"/>
  <c r="AO148" i="23141"/>
  <c r="AO149" i="23141" s="1"/>
  <c r="AS144" i="23141"/>
  <c r="AR144" i="23141"/>
  <c r="AQ144" i="23141"/>
  <c r="CQ142" i="23141"/>
  <c r="CP142" i="23141"/>
  <c r="CO142" i="23141"/>
  <c r="CN142" i="23141"/>
  <c r="CL142" i="23141"/>
  <c r="CK142" i="23141"/>
  <c r="CJ142" i="23141"/>
  <c r="CI142" i="23141"/>
  <c r="CG142" i="23141"/>
  <c r="CF142" i="23141"/>
  <c r="CE142" i="23141"/>
  <c r="CD142" i="23141"/>
  <c r="CB142" i="23141"/>
  <c r="CA142" i="23141"/>
  <c r="BZ142" i="23141"/>
  <c r="BY142" i="23141"/>
  <c r="BW142" i="23141"/>
  <c r="BV142" i="23141"/>
  <c r="AW142" i="23141"/>
  <c r="AV142" i="23141"/>
  <c r="AU142" i="23141"/>
  <c r="AS142" i="23141"/>
  <c r="AR142" i="23141"/>
  <c r="AQ142" i="23141"/>
  <c r="BT141" i="23141"/>
  <c r="BR141" i="23141"/>
  <c r="BQ141" i="23141"/>
  <c r="BP141" i="23141"/>
  <c r="BO141" i="23141"/>
  <c r="BM141" i="23141"/>
  <c r="BL141" i="23141"/>
  <c r="BK141" i="23141"/>
  <c r="BJ141" i="23141"/>
  <c r="BH141" i="23141"/>
  <c r="BG141" i="23141"/>
  <c r="BF141" i="23141"/>
  <c r="BB141" i="23141"/>
  <c r="BA141" i="23141"/>
  <c r="AW141" i="23141"/>
  <c r="AV141" i="23141"/>
  <c r="AU141" i="23141"/>
  <c r="AS141" i="23141"/>
  <c r="AR141" i="23141"/>
  <c r="AQ141" i="23141"/>
  <c r="BT140" i="23141"/>
  <c r="BR140" i="23141"/>
  <c r="BQ140" i="23141"/>
  <c r="BP140" i="23141"/>
  <c r="BO140" i="23141"/>
  <c r="BM140" i="23141"/>
  <c r="BL140" i="23141"/>
  <c r="BH140" i="23141"/>
  <c r="BG140" i="23141"/>
  <c r="BF140" i="23141"/>
  <c r="BE140" i="23141"/>
  <c r="BC140" i="23141"/>
  <c r="BB140" i="23141"/>
  <c r="BA140" i="23141"/>
  <c r="AW140" i="23141"/>
  <c r="AV140" i="23141"/>
  <c r="AR140" i="23141"/>
  <c r="AQ140" i="23141"/>
  <c r="BP139" i="23141"/>
  <c r="BO139" i="23141"/>
  <c r="BE139" i="23141"/>
  <c r="BC139" i="23141"/>
  <c r="BB139" i="23141"/>
  <c r="BA139" i="23141"/>
  <c r="AW139" i="23141"/>
  <c r="AV139" i="23141"/>
  <c r="AU139" i="23141"/>
  <c r="AS139" i="23141"/>
  <c r="AR139" i="23141"/>
  <c r="AQ139" i="23141"/>
  <c r="A129" i="23141"/>
  <c r="CQ122" i="23141"/>
  <c r="CP122" i="23141"/>
  <c r="CO122" i="23141"/>
  <c r="CN122" i="23141"/>
  <c r="CL122" i="23141"/>
  <c r="CK122" i="23141"/>
  <c r="CJ122" i="23141"/>
  <c r="CI122" i="23141"/>
  <c r="CG122" i="23141"/>
  <c r="CF122" i="23141"/>
  <c r="CE122" i="23141"/>
  <c r="CD122" i="23141"/>
  <c r="CB122" i="23141"/>
  <c r="CA122" i="23141"/>
  <c r="BZ122" i="23141"/>
  <c r="AW122" i="23141"/>
  <c r="AV122" i="23141"/>
  <c r="AU122" i="23141"/>
  <c r="BT121" i="23141"/>
  <c r="BR121" i="23141"/>
  <c r="BQ121" i="23141"/>
  <c r="BP121" i="23141"/>
  <c r="BO121" i="23141"/>
  <c r="BM121" i="23141"/>
  <c r="BL121" i="23141"/>
  <c r="BK121" i="23141"/>
  <c r="BJ121" i="23141"/>
  <c r="BG121" i="23141"/>
  <c r="BF121" i="23141"/>
  <c r="BE121" i="23141"/>
  <c r="BB121" i="23141"/>
  <c r="BA121" i="23141"/>
  <c r="AZ121" i="23141"/>
  <c r="AW121" i="23141"/>
  <c r="AV121" i="23141"/>
  <c r="AU121" i="23141"/>
  <c r="BT120" i="23141"/>
  <c r="BR120" i="23141"/>
  <c r="BQ120" i="23141"/>
  <c r="BP120" i="23141"/>
  <c r="BM120" i="23141"/>
  <c r="BL120" i="23141"/>
  <c r="BK120" i="23141"/>
  <c r="BH120" i="23141"/>
  <c r="BG120" i="23141"/>
  <c r="BF120" i="23141"/>
  <c r="BE120" i="23141"/>
  <c r="BB120" i="23141"/>
  <c r="BA120" i="23141"/>
  <c r="AZ120" i="23141"/>
  <c r="AW120" i="23141"/>
  <c r="AV120" i="23141"/>
  <c r="AU120" i="23141"/>
  <c r="A120" i="23141"/>
  <c r="A140" i="23141" s="1"/>
  <c r="BT119" i="23141"/>
  <c r="BP119" i="23141"/>
  <c r="BG119" i="23141"/>
  <c r="BE119" i="23141"/>
  <c r="BB119" i="23141"/>
  <c r="BA119" i="23141"/>
  <c r="AZ119" i="23141"/>
  <c r="AW119" i="23141"/>
  <c r="AV119" i="23141"/>
  <c r="AU119" i="23141"/>
  <c r="A119" i="23141"/>
  <c r="A139" i="23141" s="1"/>
  <c r="A118" i="23141"/>
  <c r="A138" i="23141" s="1"/>
  <c r="A116" i="23141"/>
  <c r="A136" i="23141" s="1"/>
  <c r="A115" i="23141"/>
  <c r="A135" i="23141" s="1"/>
  <c r="A114" i="23141"/>
  <c r="A134" i="23141" s="1"/>
  <c r="CQ113" i="23141"/>
  <c r="CP113" i="23141"/>
  <c r="CO113" i="23141"/>
  <c r="CN113" i="23141"/>
  <c r="A113" i="23141"/>
  <c r="A133" i="23141" s="1"/>
  <c r="A112" i="23141"/>
  <c r="A132" i="23141" s="1"/>
  <c r="A111" i="23141"/>
  <c r="A131" i="23141" s="1"/>
  <c r="A110" i="23141"/>
  <c r="A130" i="23141" s="1"/>
  <c r="A108" i="23141"/>
  <c r="A128" i="23141" s="1"/>
  <c r="A107" i="23141"/>
  <c r="A127" i="23141" s="1"/>
  <c r="CG104" i="23141"/>
  <c r="CF104" i="23141"/>
  <c r="CE104" i="23141"/>
  <c r="CJ104" i="23141" s="1"/>
  <c r="CO103" i="23141"/>
  <c r="CK103" i="23141"/>
  <c r="CL103" i="23141" s="1"/>
  <c r="CL101" i="23141" s="1"/>
  <c r="BZ103" i="23141"/>
  <c r="CB102" i="23141"/>
  <c r="CA102" i="23141"/>
  <c r="BZ102" i="23141"/>
  <c r="BW102" i="23141"/>
  <c r="BV102" i="23141"/>
  <c r="BU102" i="23141"/>
  <c r="CN101" i="23141"/>
  <c r="CJ101" i="23141"/>
  <c r="CI101" i="23141"/>
  <c r="BY101" i="23141"/>
  <c r="BW101" i="23141"/>
  <c r="BV101" i="23141"/>
  <c r="BU101" i="23141"/>
  <c r="A99" i="23141"/>
  <c r="A124" i="23141" s="1"/>
  <c r="A144" i="23141" s="1"/>
  <c r="A98" i="23141"/>
  <c r="A123" i="23141" s="1"/>
  <c r="A143" i="23141" s="1"/>
  <c r="A97" i="23141"/>
  <c r="A122" i="23141" s="1"/>
  <c r="A142" i="23141" s="1"/>
  <c r="A96" i="23141"/>
  <c r="A121" i="23141" s="1"/>
  <c r="A141" i="23141" s="1"/>
  <c r="CD94" i="23141"/>
  <c r="CI94" i="23141" s="1"/>
  <c r="CN94" i="23141" s="1"/>
  <c r="CB94" i="23141"/>
  <c r="CG94" i="23141" s="1"/>
  <c r="CL94" i="23141" s="1"/>
  <c r="CA94" i="23141"/>
  <c r="CF94" i="23141" s="1"/>
  <c r="CK94" i="23141" s="1"/>
  <c r="CP94" i="23141" s="1"/>
  <c r="BZ94" i="23141"/>
  <c r="CE94" i="23141" s="1"/>
  <c r="CJ94" i="23141" s="1"/>
  <c r="CO94" i="23141" s="1"/>
  <c r="BS81" i="23141"/>
  <c r="BN81" i="23141"/>
  <c r="BS80" i="23141"/>
  <c r="BN80" i="23141"/>
  <c r="BE80" i="23141"/>
  <c r="BI80" i="23141" s="1"/>
  <c r="BD80" i="23141"/>
  <c r="BD81" i="23141" s="1"/>
  <c r="BC80" i="23141"/>
  <c r="BC81" i="23141" s="1"/>
  <c r="BB80" i="23141"/>
  <c r="BB81" i="23141" s="1"/>
  <c r="BA80" i="23141"/>
  <c r="BA81" i="23141" s="1"/>
  <c r="AZ80" i="23141"/>
  <c r="AZ81" i="23141" s="1"/>
  <c r="BU79" i="23141"/>
  <c r="CZ77" i="23141"/>
  <c r="CY77" i="23141"/>
  <c r="CX77" i="23141"/>
  <c r="CW77" i="23141"/>
  <c r="CZ76" i="23141"/>
  <c r="CY76" i="23141"/>
  <c r="CX76" i="23141"/>
  <c r="CW76" i="23141"/>
  <c r="CZ75" i="23141"/>
  <c r="CY75" i="23141"/>
  <c r="CX75" i="23141"/>
  <c r="CW75" i="23141"/>
  <c r="CX73" i="23141"/>
  <c r="CW73" i="23141"/>
  <c r="CY72" i="23141"/>
  <c r="CX72" i="23141"/>
  <c r="CW72" i="23141"/>
  <c r="CR72" i="23141"/>
  <c r="DI72" i="23141" s="1"/>
  <c r="CM72" i="23141"/>
  <c r="DH72" i="23141" s="1"/>
  <c r="CH72" i="23141"/>
  <c r="DG72" i="23141" s="1"/>
  <c r="CC72" i="23141"/>
  <c r="DF72" i="23141" s="1"/>
  <c r="BX72" i="23141"/>
  <c r="DE72" i="23141" s="1"/>
  <c r="BS72" i="23141"/>
  <c r="DD72" i="23141" s="1"/>
  <c r="BN72" i="23141"/>
  <c r="DC72" i="23141" s="1"/>
  <c r="BI72" i="23141"/>
  <c r="DB72" i="23141" s="1"/>
  <c r="BD72" i="23141"/>
  <c r="DA72" i="23141" s="1"/>
  <c r="AY72" i="23141"/>
  <c r="CZ72" i="23141" s="1"/>
  <c r="CX71" i="23141"/>
  <c r="CW71" i="23141"/>
  <c r="BT69" i="23141"/>
  <c r="BR69" i="23141"/>
  <c r="BO69" i="23141"/>
  <c r="BM69" i="23141"/>
  <c r="BJ69" i="23141"/>
  <c r="BE69" i="23141"/>
  <c r="BI69" i="23141" s="1"/>
  <c r="DB69" i="23141" s="1"/>
  <c r="BB69" i="23141"/>
  <c r="BA69" i="23141"/>
  <c r="AZ69" i="23141"/>
  <c r="AW69" i="23141"/>
  <c r="AV69" i="23141"/>
  <c r="AU69" i="23141"/>
  <c r="DA68" i="23141"/>
  <c r="BS68" i="23141"/>
  <c r="DD68" i="23141" s="1"/>
  <c r="BN68" i="23141"/>
  <c r="DC68" i="23141" s="1"/>
  <c r="BI68" i="23141"/>
  <c r="DB68" i="23141" s="1"/>
  <c r="AX68" i="23141"/>
  <c r="DI66" i="23141"/>
  <c r="DH66" i="23141"/>
  <c r="DG66" i="23141"/>
  <c r="DF66" i="23141"/>
  <c r="DE66" i="23141"/>
  <c r="DD66" i="23141"/>
  <c r="BN66" i="23141"/>
  <c r="DC66" i="23141" s="1"/>
  <c r="BI66" i="23141"/>
  <c r="DB66" i="23141" s="1"/>
  <c r="BD66" i="23141"/>
  <c r="DA66" i="23141" s="1"/>
  <c r="AY66" i="23141"/>
  <c r="AT66" i="23141"/>
  <c r="AO66" i="23141"/>
  <c r="BP65" i="23141"/>
  <c r="BS65" i="23141" s="1"/>
  <c r="BK65" i="23141"/>
  <c r="BN65" i="23141" s="1"/>
  <c r="DC65" i="23141" s="1"/>
  <c r="BH65" i="23141"/>
  <c r="BI65" i="23141" s="1"/>
  <c r="DB65" i="23141" s="1"/>
  <c r="BC65" i="23141"/>
  <c r="BD65" i="23141" s="1"/>
  <c r="DA65" i="23141" s="1"/>
  <c r="AX65" i="23141"/>
  <c r="AY65" i="23141" s="1"/>
  <c r="CW64" i="23141"/>
  <c r="CW63" i="23141"/>
  <c r="CW62" i="23141"/>
  <c r="CR62" i="23141"/>
  <c r="DI62" i="23141" s="1"/>
  <c r="CM62" i="23141"/>
  <c r="DH62" i="23141" s="1"/>
  <c r="CH62" i="23141"/>
  <c r="DG62" i="23141" s="1"/>
  <c r="CC62" i="23141"/>
  <c r="DF62" i="23141" s="1"/>
  <c r="BX62" i="23141"/>
  <c r="DE62" i="23141" s="1"/>
  <c r="BS62" i="23141"/>
  <c r="DD62" i="23141" s="1"/>
  <c r="BN62" i="23141"/>
  <c r="DC62" i="23141" s="1"/>
  <c r="BI62" i="23141"/>
  <c r="DB62" i="23141" s="1"/>
  <c r="BD62" i="23141"/>
  <c r="DA62" i="23141" s="1"/>
  <c r="AY62" i="23141"/>
  <c r="CZ62" i="23141" s="1"/>
  <c r="AO62" i="23141"/>
  <c r="CW61" i="23141"/>
  <c r="CR61" i="23141"/>
  <c r="DI61" i="23141" s="1"/>
  <c r="CM61" i="23141"/>
  <c r="DH61" i="23141" s="1"/>
  <c r="CH61" i="23141"/>
  <c r="DG61" i="23141" s="1"/>
  <c r="CC61" i="23141"/>
  <c r="DF61" i="23141" s="1"/>
  <c r="BX61" i="23141"/>
  <c r="DE61" i="23141" s="1"/>
  <c r="BS61" i="23141"/>
  <c r="DD61" i="23141" s="1"/>
  <c r="BN61" i="23141"/>
  <c r="DC61" i="23141" s="1"/>
  <c r="BI61" i="23141"/>
  <c r="DB61" i="23141" s="1"/>
  <c r="BC61" i="23141"/>
  <c r="BD61" i="23141" s="1"/>
  <c r="DA61" i="23141" s="1"/>
  <c r="AY61" i="23141"/>
  <c r="CZ61" i="23141" s="1"/>
  <c r="AO61" i="23141"/>
  <c r="CW60" i="23141"/>
  <c r="CX58" i="23141"/>
  <c r="CW58" i="23141"/>
  <c r="BS58" i="23141"/>
  <c r="BN58" i="23141"/>
  <c r="BI58" i="23141"/>
  <c r="DB58" i="23141" s="1"/>
  <c r="BC58" i="23141"/>
  <c r="AX58" i="23141"/>
  <c r="AY58" i="23141" s="1"/>
  <c r="CZ58" i="23141" s="1"/>
  <c r="AS58" i="23141"/>
  <c r="AT58" i="23141" s="1"/>
  <c r="CW57" i="23141"/>
  <c r="CX56" i="23141"/>
  <c r="CW56" i="23141"/>
  <c r="CR56" i="23141"/>
  <c r="CM56" i="23141"/>
  <c r="DH56" i="23141" s="1"/>
  <c r="CH56" i="23141"/>
  <c r="CC56" i="23141"/>
  <c r="BT56" i="23141"/>
  <c r="BR56" i="23141"/>
  <c r="BQ56" i="23141"/>
  <c r="BP56" i="23141"/>
  <c r="BO56" i="23141"/>
  <c r="BM56" i="23141"/>
  <c r="BL56" i="23141"/>
  <c r="BK56" i="23141"/>
  <c r="BJ56" i="23141"/>
  <c r="BH56" i="23141"/>
  <c r="BG56" i="23141"/>
  <c r="BF56" i="23141"/>
  <c r="BE56" i="23141"/>
  <c r="BB56" i="23141"/>
  <c r="BA56" i="23141"/>
  <c r="AZ56" i="23141"/>
  <c r="AX56" i="23141"/>
  <c r="AT56" i="23141"/>
  <c r="CY56" i="23141" s="1"/>
  <c r="CX55" i="23141"/>
  <c r="CW55" i="23141"/>
  <c r="BS55" i="23141"/>
  <c r="BN55" i="23141"/>
  <c r="DC55" i="23141" s="1"/>
  <c r="BI55" i="23141"/>
  <c r="DB55" i="23141" s="1"/>
  <c r="BC55" i="23141"/>
  <c r="BD55" i="23141" s="1"/>
  <c r="BD69" i="23141" s="1"/>
  <c r="AX55" i="23141"/>
  <c r="AX69" i="23141" s="1"/>
  <c r="AT55" i="23141"/>
  <c r="CW54" i="23141"/>
  <c r="CW53" i="23141"/>
  <c r="CW52" i="23141"/>
  <c r="CR52" i="23141"/>
  <c r="DI52" i="23141" s="1"/>
  <c r="CM52" i="23141"/>
  <c r="DH52" i="23141" s="1"/>
  <c r="CH52" i="23141"/>
  <c r="DG52" i="23141" s="1"/>
  <c r="CC52" i="23141"/>
  <c r="DF52" i="23141" s="1"/>
  <c r="BT52" i="23141"/>
  <c r="BX52" i="23141" s="1"/>
  <c r="DE52" i="23141" s="1"/>
  <c r="BQ52" i="23141"/>
  <c r="BO52" i="23141"/>
  <c r="BL52" i="23141"/>
  <c r="BG52" i="23141"/>
  <c r="CW51" i="23141"/>
  <c r="AO51" i="23141"/>
  <c r="CX51" i="23141" s="1"/>
  <c r="CW50" i="23141"/>
  <c r="CW49" i="23141"/>
  <c r="BT49" i="23141"/>
  <c r="BP49" i="23141"/>
  <c r="BO49" i="23141"/>
  <c r="BK49" i="23141"/>
  <c r="BE49" i="23141"/>
  <c r="BB49" i="23141"/>
  <c r="AZ49" i="23141"/>
  <c r="AW49" i="23141"/>
  <c r="AV49" i="23141"/>
  <c r="AU49" i="23141"/>
  <c r="AO49" i="23141"/>
  <c r="CX49" i="23141" s="1"/>
  <c r="CW48" i="23141"/>
  <c r="BT48" i="23141"/>
  <c r="BP48" i="23141"/>
  <c r="BO48" i="23141"/>
  <c r="BM48" i="23141"/>
  <c r="BK48" i="23141"/>
  <c r="BG48" i="23141"/>
  <c r="BE48" i="23141"/>
  <c r="BC48" i="23141"/>
  <c r="BB48" i="23141"/>
  <c r="BA48" i="23141"/>
  <c r="AZ48" i="23141"/>
  <c r="AW48" i="23141"/>
  <c r="AV48" i="23141"/>
  <c r="AU48" i="23141"/>
  <c r="AR48" i="23141"/>
  <c r="AQ48" i="23141"/>
  <c r="AP48" i="23141"/>
  <c r="AO48" i="23141"/>
  <c r="CX47" i="23141"/>
  <c r="CW47" i="23141"/>
  <c r="BS47" i="23141"/>
  <c r="BS188" i="23140" s="1"/>
  <c r="BJ47" i="23141"/>
  <c r="BJ188" i="23140" s="1"/>
  <c r="BD219" i="23140" s="1"/>
  <c r="BE219" i="23140" s="1"/>
  <c r="BI47" i="23141"/>
  <c r="BI188" i="23140" s="1"/>
  <c r="BD47" i="23141"/>
  <c r="BD188" i="23140" s="1"/>
  <c r="AX47" i="23141"/>
  <c r="AX188" i="23140" s="1"/>
  <c r="AS47" i="23141"/>
  <c r="AS188" i="23140" s="1"/>
  <c r="CX46" i="23141"/>
  <c r="CW46" i="23141"/>
  <c r="BR46" i="23141"/>
  <c r="BR48" i="23141" s="1"/>
  <c r="BQ46" i="23141"/>
  <c r="BQ49" i="23141" s="1"/>
  <c r="BL46" i="23141"/>
  <c r="BL48" i="23141" s="1"/>
  <c r="BJ46" i="23141"/>
  <c r="BJ49" i="23141" s="1"/>
  <c r="BH46" i="23141"/>
  <c r="BF46" i="23141"/>
  <c r="BF49" i="23141" s="1"/>
  <c r="BD46" i="23141"/>
  <c r="DA46" i="23141" s="1"/>
  <c r="AX46" i="23141"/>
  <c r="AY46" i="23141" s="1"/>
  <c r="AT46" i="23141"/>
  <c r="CW45" i="23141"/>
  <c r="CR44" i="23141"/>
  <c r="CM44" i="23141"/>
  <c r="CH44" i="23141"/>
  <c r="CC44" i="23141"/>
  <c r="BX44" i="23141"/>
  <c r="BP44" i="23141"/>
  <c r="BK44" i="23141"/>
  <c r="BK52" i="23141" s="1"/>
  <c r="BJ44" i="23141"/>
  <c r="BJ52" i="23141" s="1"/>
  <c r="BF44" i="23141"/>
  <c r="BF52" i="23141" s="1"/>
  <c r="BE44" i="23141"/>
  <c r="BB44" i="23141"/>
  <c r="BB52" i="23141" s="1"/>
  <c r="BA44" i="23141"/>
  <c r="BA52" i="23141" s="1"/>
  <c r="AZ44" i="23141"/>
  <c r="AW44" i="23141"/>
  <c r="AW52" i="23141" s="1"/>
  <c r="AV44" i="23141"/>
  <c r="AV52" i="23141" s="1"/>
  <c r="AU44" i="23141"/>
  <c r="AU52" i="23141" s="1"/>
  <c r="AO44" i="23141"/>
  <c r="AO52" i="23141" s="1"/>
  <c r="CX52" i="23141" s="1"/>
  <c r="BT43" i="23141"/>
  <c r="BT185" i="23140" s="1"/>
  <c r="BQ43" i="23141"/>
  <c r="BQ185" i="23140" s="1"/>
  <c r="BP43" i="23141"/>
  <c r="BO43" i="23141"/>
  <c r="BL43" i="23141"/>
  <c r="BL185" i="23140" s="1"/>
  <c r="BK43" i="23141"/>
  <c r="BK185" i="23140" s="1"/>
  <c r="BJ43" i="23141"/>
  <c r="BG43" i="23141"/>
  <c r="BF43" i="23141"/>
  <c r="BF185" i="23140" s="1"/>
  <c r="BE43" i="23141"/>
  <c r="BE185" i="23140" s="1"/>
  <c r="BB43" i="23141"/>
  <c r="BB185" i="23140" s="1"/>
  <c r="BA43" i="23141"/>
  <c r="AZ43" i="23141"/>
  <c r="AZ185" i="23140" s="1"/>
  <c r="AW43" i="23141"/>
  <c r="AV43" i="23141"/>
  <c r="AV185" i="23140" s="1"/>
  <c r="AU43" i="23141"/>
  <c r="BT42" i="23141"/>
  <c r="BT186" i="23140" s="1"/>
  <c r="BQ42" i="23141"/>
  <c r="BQ186" i="23140" s="1"/>
  <c r="BP42" i="23141"/>
  <c r="BP186" i="23140" s="1"/>
  <c r="BO42" i="23141"/>
  <c r="BO186" i="23140" s="1"/>
  <c r="BL42" i="23141"/>
  <c r="BL186" i="23140" s="1"/>
  <c r="BK42" i="23141"/>
  <c r="BK186" i="23140" s="1"/>
  <c r="BG42" i="23141"/>
  <c r="BF42" i="23141"/>
  <c r="BE42" i="23141"/>
  <c r="BE186" i="23140" s="1"/>
  <c r="BB42" i="23141"/>
  <c r="BB186" i="23140" s="1"/>
  <c r="BA42" i="23141"/>
  <c r="AZ42" i="23141"/>
  <c r="AZ186" i="23140" s="1"/>
  <c r="AW42" i="23141"/>
  <c r="AW186" i="23140" s="1"/>
  <c r="AV42" i="23141"/>
  <c r="AV186" i="23140" s="1"/>
  <c r="AU42" i="23141"/>
  <c r="AU186" i="23140" s="1"/>
  <c r="AR42" i="23141"/>
  <c r="AR186" i="23140" s="1"/>
  <c r="AQ42" i="23141"/>
  <c r="AQ186" i="23140" s="1"/>
  <c r="AP42" i="23141"/>
  <c r="AP186" i="23140" s="1"/>
  <c r="AO42" i="23141"/>
  <c r="CR41" i="23141"/>
  <c r="CM41" i="23141"/>
  <c r="CH41" i="23141"/>
  <c r="CC41" i="23141"/>
  <c r="BX41" i="23141"/>
  <c r="BL41" i="23141"/>
  <c r="BG41" i="23141"/>
  <c r="BA41" i="23141"/>
  <c r="BD41" i="23141" s="1"/>
  <c r="AY41" i="23141"/>
  <c r="AS41" i="23141"/>
  <c r="AS49" i="23141" s="1"/>
  <c r="AR41" i="23141"/>
  <c r="AR49" i="23141" s="1"/>
  <c r="AQ41" i="23141"/>
  <c r="AQ49" i="23141" s="1"/>
  <c r="AP41" i="23141"/>
  <c r="AP49" i="23141" s="1"/>
  <c r="BS40" i="23141"/>
  <c r="BN40" i="23141"/>
  <c r="BI40" i="23141"/>
  <c r="BD40" i="23141"/>
  <c r="AX40" i="23141"/>
  <c r="AY40" i="23141" s="1"/>
  <c r="AT40" i="23141"/>
  <c r="CW39" i="23141"/>
  <c r="BT39" i="23141"/>
  <c r="BT179" i="23140" s="1"/>
  <c r="BR39" i="23141"/>
  <c r="BR179" i="23140" s="1"/>
  <c r="BQ39" i="23141"/>
  <c r="BQ179" i="23140" s="1"/>
  <c r="BP39" i="23141"/>
  <c r="BP179" i="23140" s="1"/>
  <c r="BO39" i="23141"/>
  <c r="BO179" i="23140" s="1"/>
  <c r="BM39" i="23141"/>
  <c r="BM179" i="23140" s="1"/>
  <c r="BL39" i="23141"/>
  <c r="BL179" i="23140" s="1"/>
  <c r="BK39" i="23141"/>
  <c r="BK179" i="23140" s="1"/>
  <c r="BJ39" i="23141"/>
  <c r="BJ179" i="23140" s="1"/>
  <c r="BH39" i="23141"/>
  <c r="BH179" i="23140" s="1"/>
  <c r="BG39" i="23141"/>
  <c r="BG179" i="23140" s="1"/>
  <c r="BF39" i="23141"/>
  <c r="BF179" i="23140" s="1"/>
  <c r="BE39" i="23141"/>
  <c r="BE179" i="23140" s="1"/>
  <c r="BC39" i="23141"/>
  <c r="BC179" i="23140" s="1"/>
  <c r="BB39" i="23141"/>
  <c r="BB179" i="23140" s="1"/>
  <c r="BA39" i="23141"/>
  <c r="BA179" i="23140" s="1"/>
  <c r="AZ39" i="23141"/>
  <c r="AZ179" i="23140" s="1"/>
  <c r="AW39" i="23141"/>
  <c r="AW179" i="23140" s="1"/>
  <c r="AV39" i="23141"/>
  <c r="AV179" i="23140" s="1"/>
  <c r="AU39" i="23141"/>
  <c r="AU179" i="23140" s="1"/>
  <c r="AS39" i="23141"/>
  <c r="AS179" i="23140" s="1"/>
  <c r="AR39" i="23141"/>
  <c r="AR179" i="23140" s="1"/>
  <c r="AQ39" i="23141"/>
  <c r="AQ179" i="23140" s="1"/>
  <c r="AP39" i="23141"/>
  <c r="AP179" i="23140" s="1"/>
  <c r="AO39" i="23141"/>
  <c r="CX39" i="23141" s="1"/>
  <c r="CR38" i="23141"/>
  <c r="CM38" i="23141"/>
  <c r="CH38" i="23141"/>
  <c r="CC38" i="23141"/>
  <c r="BX38" i="23141"/>
  <c r="BS38" i="23141"/>
  <c r="BN38" i="23141"/>
  <c r="BI38" i="23141"/>
  <c r="BD38" i="23141"/>
  <c r="AY38" i="23141"/>
  <c r="AT38" i="23141"/>
  <c r="BS37" i="23141"/>
  <c r="BN37" i="23141"/>
  <c r="BI37" i="23141"/>
  <c r="BD37" i="23141"/>
  <c r="AX37" i="23141"/>
  <c r="AY37" i="23141" s="1"/>
  <c r="AT37" i="23141"/>
  <c r="BS36" i="23141"/>
  <c r="BN36" i="23141"/>
  <c r="BI36" i="23141"/>
  <c r="BD36" i="23141"/>
  <c r="AY36" i="23141"/>
  <c r="AT36" i="23141"/>
  <c r="CR35" i="23141"/>
  <c r="CM35" i="23141"/>
  <c r="CH35" i="23141"/>
  <c r="CC35" i="23141"/>
  <c r="BX35" i="23141"/>
  <c r="BS35" i="23141"/>
  <c r="BN35" i="23141"/>
  <c r="BI35" i="23141"/>
  <c r="BD35" i="23141"/>
  <c r="AY35" i="23141"/>
  <c r="AT35" i="23141"/>
  <c r="BS34" i="23141"/>
  <c r="BN34" i="23141"/>
  <c r="BI34" i="23141"/>
  <c r="BD34" i="23141"/>
  <c r="AX34" i="23141"/>
  <c r="AT34" i="23141"/>
  <c r="CW33" i="23141"/>
  <c r="BT33" i="23141"/>
  <c r="BT178" i="23140" s="1"/>
  <c r="BQ33" i="23141"/>
  <c r="BQ178" i="23140" s="1"/>
  <c r="BP33" i="23141"/>
  <c r="BP178" i="23140" s="1"/>
  <c r="BO33" i="23141"/>
  <c r="BO178" i="23140" s="1"/>
  <c r="BM33" i="23141"/>
  <c r="BL33" i="23141"/>
  <c r="BL178" i="23140" s="1"/>
  <c r="BK33" i="23141"/>
  <c r="BJ33" i="23141"/>
  <c r="BJ178" i="23140" s="1"/>
  <c r="BH33" i="23141"/>
  <c r="BG33" i="23141"/>
  <c r="BG178" i="23140" s="1"/>
  <c r="BF33" i="23141"/>
  <c r="BF178" i="23140" s="1"/>
  <c r="BE33" i="23141"/>
  <c r="BE178" i="23140" s="1"/>
  <c r="BC33" i="23141"/>
  <c r="BB33" i="23141"/>
  <c r="BB178" i="23140" s="1"/>
  <c r="BA33" i="23141"/>
  <c r="BA178" i="23140" s="1"/>
  <c r="AZ33" i="23141"/>
  <c r="AZ178" i="23140" s="1"/>
  <c r="AW33" i="23141"/>
  <c r="AW178" i="23140" s="1"/>
  <c r="AV33" i="23141"/>
  <c r="AV178" i="23140" s="1"/>
  <c r="AU33" i="23141"/>
  <c r="AU178" i="23140" s="1"/>
  <c r="AS33" i="23141"/>
  <c r="AR33" i="23141"/>
  <c r="AQ33" i="23141"/>
  <c r="AP33" i="23141"/>
  <c r="AO33" i="23141"/>
  <c r="CR32" i="23141"/>
  <c r="CM32" i="23141"/>
  <c r="CH32" i="23141"/>
  <c r="CC32" i="23141"/>
  <c r="BX32" i="23141"/>
  <c r="BS32" i="23141"/>
  <c r="BN32" i="23141"/>
  <c r="BI32" i="23141"/>
  <c r="BD32" i="23141"/>
  <c r="AY32" i="23141"/>
  <c r="AT32" i="23141"/>
  <c r="BS31" i="23141"/>
  <c r="BN31" i="23141"/>
  <c r="BI31" i="23141"/>
  <c r="BD31" i="23141"/>
  <c r="AX31" i="23141"/>
  <c r="AT31" i="23141"/>
  <c r="BS30" i="23141"/>
  <c r="BN30" i="23141"/>
  <c r="BI30" i="23141"/>
  <c r="BD30" i="23141"/>
  <c r="AY30" i="23141"/>
  <c r="AT30" i="23141"/>
  <c r="CR29" i="23141"/>
  <c r="CM29" i="23141"/>
  <c r="CH29" i="23141"/>
  <c r="CC29" i="23141"/>
  <c r="BX29" i="23141"/>
  <c r="BS29" i="23141"/>
  <c r="BN29" i="23141"/>
  <c r="BI29" i="23141"/>
  <c r="BD29" i="23141"/>
  <c r="AY29" i="23141"/>
  <c r="AT29" i="23141"/>
  <c r="BS28" i="23141"/>
  <c r="BN28" i="23141"/>
  <c r="BI28" i="23141"/>
  <c r="BD28" i="23141"/>
  <c r="AX28" i="23141"/>
  <c r="AT28" i="23141"/>
  <c r="CW27" i="23141"/>
  <c r="CW26" i="23141"/>
  <c r="CR25" i="23141"/>
  <c r="CM25" i="23141"/>
  <c r="CH25" i="23141"/>
  <c r="CC25" i="23141"/>
  <c r="BX25" i="23141"/>
  <c r="BS25" i="23141"/>
  <c r="BN25" i="23141"/>
  <c r="BI25" i="23141"/>
  <c r="BD25" i="23141"/>
  <c r="AY25" i="23141"/>
  <c r="AT25" i="23141"/>
  <c r="BM24" i="23141"/>
  <c r="BH24" i="23141"/>
  <c r="BI24" i="23141" s="1"/>
  <c r="BC24" i="23141"/>
  <c r="AX24" i="23141"/>
  <c r="AS24" i="23141"/>
  <c r="AS43" i="23141" s="1"/>
  <c r="AS185" i="23140" s="1"/>
  <c r="AR24" i="23141"/>
  <c r="AQ24" i="23141"/>
  <c r="AP24" i="23141"/>
  <c r="CR23" i="23141"/>
  <c r="CM23" i="23141"/>
  <c r="CH23" i="23141"/>
  <c r="CC23" i="23141"/>
  <c r="BX23" i="23141"/>
  <c r="BR23" i="23141"/>
  <c r="BS23" i="23141" s="1"/>
  <c r="BM23" i="23141"/>
  <c r="BM52" i="23141" s="1"/>
  <c r="BH23" i="23141"/>
  <c r="BH52" i="23141" s="1"/>
  <c r="BC23" i="23141"/>
  <c r="AX23" i="23141"/>
  <c r="AY23" i="23141" s="1"/>
  <c r="AS23" i="23141"/>
  <c r="AR23" i="23141"/>
  <c r="AQ23" i="23141"/>
  <c r="AP23" i="23141"/>
  <c r="BR22" i="23141"/>
  <c r="BM22" i="23141"/>
  <c r="BN22" i="23141" s="1"/>
  <c r="BH22" i="23141"/>
  <c r="BI22" i="23141" s="1"/>
  <c r="BC22" i="23141"/>
  <c r="AX22" i="23141"/>
  <c r="AY22" i="23141" s="1"/>
  <c r="AT22" i="23141"/>
  <c r="CR21" i="23141"/>
  <c r="CM21" i="23141"/>
  <c r="CH21" i="23141"/>
  <c r="CC21" i="23141"/>
  <c r="BX21" i="23141"/>
  <c r="BS21" i="23141"/>
  <c r="BN21" i="23141"/>
  <c r="BI21" i="23141"/>
  <c r="BC21" i="23141"/>
  <c r="BC49" i="23141" s="1"/>
  <c r="AX21" i="23141"/>
  <c r="AY21" i="23141" s="1"/>
  <c r="AT21" i="23141"/>
  <c r="BT20" i="23141"/>
  <c r="BT26" i="23141" s="1"/>
  <c r="BT176" i="23140" s="1"/>
  <c r="BR20" i="23141"/>
  <c r="BQ20" i="23141"/>
  <c r="BQ26" i="23141" s="1"/>
  <c r="BQ176" i="23140" s="1"/>
  <c r="BP20" i="23141"/>
  <c r="BP26" i="23141" s="1"/>
  <c r="BP176" i="23140" s="1"/>
  <c r="BO20" i="23141"/>
  <c r="BO26" i="23141" s="1"/>
  <c r="BO176" i="23140" s="1"/>
  <c r="BM20" i="23141"/>
  <c r="BL20" i="23141"/>
  <c r="BL26" i="23141" s="1"/>
  <c r="BL176" i="23140" s="1"/>
  <c r="BK20" i="23141"/>
  <c r="BK26" i="23141" s="1"/>
  <c r="BK176" i="23140" s="1"/>
  <c r="BJ20" i="23141"/>
  <c r="BJ26" i="23141" s="1"/>
  <c r="BJ176" i="23140" s="1"/>
  <c r="BH20" i="23141"/>
  <c r="BG20" i="23141"/>
  <c r="BG26" i="23141" s="1"/>
  <c r="BG176" i="23140" s="1"/>
  <c r="BF20" i="23141"/>
  <c r="BF26" i="23141" s="1"/>
  <c r="BF176" i="23140" s="1"/>
  <c r="BE20" i="23141"/>
  <c r="BE26" i="23141" s="1"/>
  <c r="BE176" i="23140" s="1"/>
  <c r="BC20" i="23141"/>
  <c r="BB20" i="23141"/>
  <c r="BB26" i="23141" s="1"/>
  <c r="BB176" i="23140" s="1"/>
  <c r="BA20" i="23141"/>
  <c r="BA26" i="23141" s="1"/>
  <c r="BA176" i="23140" s="1"/>
  <c r="AZ20" i="23141"/>
  <c r="AZ26" i="23141" s="1"/>
  <c r="AZ176" i="23140" s="1"/>
  <c r="AW20" i="23141"/>
  <c r="AW26" i="23141" s="1"/>
  <c r="AW176" i="23140" s="1"/>
  <c r="AV20" i="23141"/>
  <c r="AV26" i="23141" s="1"/>
  <c r="AV176" i="23140" s="1"/>
  <c r="AU20" i="23141"/>
  <c r="AU26" i="23141" s="1"/>
  <c r="AU176" i="23140" s="1"/>
  <c r="AS20" i="23141"/>
  <c r="AQ20" i="23141"/>
  <c r="AP20" i="23141"/>
  <c r="AO20" i="23141"/>
  <c r="AO26" i="23141" s="1"/>
  <c r="BS19" i="23141"/>
  <c r="BN19" i="23141"/>
  <c r="BI19" i="23141"/>
  <c r="BD19" i="23141"/>
  <c r="AX19" i="23141"/>
  <c r="AR19" i="23141"/>
  <c r="AR148" i="23141" s="1"/>
  <c r="BS18" i="23141"/>
  <c r="BN18" i="23141"/>
  <c r="BI18" i="23141"/>
  <c r="BD18" i="23141"/>
  <c r="AX18" i="23141"/>
  <c r="AY18" i="23141" s="1"/>
  <c r="AT18" i="23141"/>
  <c r="BS17" i="23141"/>
  <c r="BN17" i="23141"/>
  <c r="BI17" i="23141"/>
  <c r="BD17" i="23141"/>
  <c r="AX17" i="23141"/>
  <c r="AT17" i="23141"/>
  <c r="BR175" i="23140"/>
  <c r="BQ175" i="23140"/>
  <c r="BP175" i="23140"/>
  <c r="BO175" i="23140"/>
  <c r="BM175" i="23140"/>
  <c r="BK175" i="23140"/>
  <c r="BJ175" i="23140"/>
  <c r="BH175" i="23140"/>
  <c r="BG175" i="23140"/>
  <c r="BF175" i="23140"/>
  <c r="BE175" i="23140"/>
  <c r="BB175" i="23140"/>
  <c r="BA175" i="23140"/>
  <c r="CW14" i="23141"/>
  <c r="BT102" i="23141"/>
  <c r="BT104" i="23141" s="1"/>
  <c r="BY104" i="23141" s="1"/>
  <c r="BR102" i="23141"/>
  <c r="BR104" i="23141" s="1"/>
  <c r="BQ102" i="23141"/>
  <c r="BQ104" i="23141" s="1"/>
  <c r="BP102" i="23141"/>
  <c r="BP104" i="23141" s="1"/>
  <c r="BO102" i="23141"/>
  <c r="BO104" i="23141" s="1"/>
  <c r="BM102" i="23141"/>
  <c r="BM104" i="23141" s="1"/>
  <c r="BL102" i="23141"/>
  <c r="BL104" i="23141" s="1"/>
  <c r="BK102" i="23141"/>
  <c r="BK104" i="23141" s="1"/>
  <c r="BJ102" i="23141"/>
  <c r="BJ104" i="23141" s="1"/>
  <c r="BH102" i="23141"/>
  <c r="BH104" i="23141" s="1"/>
  <c r="BG102" i="23141"/>
  <c r="BG104" i="23141" s="1"/>
  <c r="BF102" i="23141"/>
  <c r="BF104" i="23141" s="1"/>
  <c r="BE102" i="23141"/>
  <c r="BE104" i="23141" s="1"/>
  <c r="BC102" i="23141"/>
  <c r="BC104" i="23141" s="1"/>
  <c r="BB102" i="23141"/>
  <c r="BB104" i="23141" s="1"/>
  <c r="BA102" i="23141"/>
  <c r="BA104" i="23141" s="1"/>
  <c r="AZ102" i="23141"/>
  <c r="AZ104" i="23141" s="1"/>
  <c r="AW102" i="23141"/>
  <c r="AW104" i="23141" s="1"/>
  <c r="AV102" i="23141"/>
  <c r="AV104" i="23141" s="1"/>
  <c r="AU102" i="23141"/>
  <c r="AU104" i="23141" s="1"/>
  <c r="AQ102" i="23141"/>
  <c r="AQ104" i="23141" s="1"/>
  <c r="AP102" i="23141"/>
  <c r="AP104" i="23141" s="1"/>
  <c r="AO102" i="23141"/>
  <c r="AO104" i="23141" s="1"/>
  <c r="BT101" i="23141"/>
  <c r="BT103" i="23141" s="1"/>
  <c r="BR101" i="23141"/>
  <c r="BR103" i="23141" s="1"/>
  <c r="BP101" i="23141"/>
  <c r="BP103" i="23141" s="1"/>
  <c r="BO101" i="23141"/>
  <c r="BO103" i="23141" s="1"/>
  <c r="BM101" i="23141"/>
  <c r="BM103" i="23141" s="1"/>
  <c r="BK101" i="23141"/>
  <c r="BK103" i="23141" s="1"/>
  <c r="BJ101" i="23141"/>
  <c r="BJ103" i="23141" s="1"/>
  <c r="BH101" i="23141"/>
  <c r="BH103" i="23141" s="1"/>
  <c r="BF101" i="23141"/>
  <c r="BF103" i="23141" s="1"/>
  <c r="BE101" i="23141"/>
  <c r="BE103" i="23141" s="1"/>
  <c r="BB101" i="23141"/>
  <c r="BB103" i="23141" s="1"/>
  <c r="BA101" i="23141"/>
  <c r="BA103" i="23141" s="1"/>
  <c r="AZ101" i="23141"/>
  <c r="AZ103" i="23141" s="1"/>
  <c r="AW101" i="23141"/>
  <c r="AW103" i="23141" s="1"/>
  <c r="AV101" i="23141"/>
  <c r="AV103" i="23141" s="1"/>
  <c r="CX11" i="23141"/>
  <c r="CW11" i="23141"/>
  <c r="CX10" i="23141"/>
  <c r="CW10" i="23141"/>
  <c r="CR190" i="23140"/>
  <c r="CR191" i="23140" s="1"/>
  <c r="CQ190" i="23140"/>
  <c r="CQ191" i="23140" s="1"/>
  <c r="CP190" i="23140"/>
  <c r="CP191" i="23140" s="1"/>
  <c r="CO190" i="23140"/>
  <c r="CO191" i="23140" s="1"/>
  <c r="CN190" i="23140"/>
  <c r="CN191" i="23140" s="1"/>
  <c r="CM190" i="23140"/>
  <c r="CM191" i="23140" s="1"/>
  <c r="CL190" i="23140"/>
  <c r="CL191" i="23140" s="1"/>
  <c r="CK190" i="23140"/>
  <c r="CK191" i="23140" s="1"/>
  <c r="CJ190" i="23140"/>
  <c r="CJ191" i="23140" s="1"/>
  <c r="CI190" i="23140"/>
  <c r="CI191" i="23140" s="1"/>
  <c r="CH190" i="23140"/>
  <c r="CH191" i="23140" s="1"/>
  <c r="CG190" i="23140"/>
  <c r="CG191" i="23140" s="1"/>
  <c r="CF190" i="23140"/>
  <c r="CF191" i="23140" s="1"/>
  <c r="CE190" i="23140"/>
  <c r="CE191" i="23140" s="1"/>
  <c r="CD190" i="23140"/>
  <c r="CD191" i="23140" s="1"/>
  <c r="CC190" i="23140"/>
  <c r="CC191" i="23140" s="1"/>
  <c r="CB190" i="23140"/>
  <c r="CB191" i="23140" s="1"/>
  <c r="CA190" i="23140"/>
  <c r="CA191" i="23140" s="1"/>
  <c r="BZ190" i="23140"/>
  <c r="BZ191" i="23140" s="1"/>
  <c r="BY190" i="23140"/>
  <c r="BY191" i="23140" s="1"/>
  <c r="BX190" i="23140"/>
  <c r="BX191" i="23140" s="1"/>
  <c r="BW190" i="23140"/>
  <c r="BW191" i="23140" s="1"/>
  <c r="BV190" i="23140"/>
  <c r="BV191" i="23140" s="1"/>
  <c r="BU190" i="23140"/>
  <c r="BU191" i="23140" s="1"/>
  <c r="BT190" i="23140"/>
  <c r="BT191" i="23140" s="1"/>
  <c r="BS190" i="23140"/>
  <c r="BS191" i="23140" s="1"/>
  <c r="BR190" i="23140"/>
  <c r="BR191" i="23140" s="1"/>
  <c r="BQ190" i="23140"/>
  <c r="BQ191" i="23140" s="1"/>
  <c r="BP190" i="23140"/>
  <c r="BP191" i="23140" s="1"/>
  <c r="BO190" i="23140"/>
  <c r="BO191" i="23140" s="1"/>
  <c r="BN190" i="23140"/>
  <c r="BN191" i="23140" s="1"/>
  <c r="BM190" i="23140"/>
  <c r="BM191" i="23140" s="1"/>
  <c r="BL190" i="23140"/>
  <c r="BL191" i="23140" s="1"/>
  <c r="BK190" i="23140"/>
  <c r="BK191" i="23140" s="1"/>
  <c r="BJ190" i="23140"/>
  <c r="BJ191" i="23140" s="1"/>
  <c r="BI190" i="23140"/>
  <c r="BI191" i="23140" s="1"/>
  <c r="BH190" i="23140"/>
  <c r="BH191" i="23140" s="1"/>
  <c r="BG190" i="23140"/>
  <c r="BG191" i="23140" s="1"/>
  <c r="BF190" i="23140"/>
  <c r="BF191" i="23140" s="1"/>
  <c r="BE190" i="23140"/>
  <c r="BE191" i="23140" s="1"/>
  <c r="BD190" i="23140"/>
  <c r="BD191" i="23140" s="1"/>
  <c r="BC190" i="23140"/>
  <c r="BC191" i="23140" s="1"/>
  <c r="BB190" i="23140"/>
  <c r="BB191" i="23140" s="1"/>
  <c r="BA190" i="23140"/>
  <c r="BA191" i="23140" s="1"/>
  <c r="AZ190" i="23140"/>
  <c r="AZ191" i="23140" s="1"/>
  <c r="AY190" i="23140"/>
  <c r="AY191" i="23140" s="1"/>
  <c r="AX190" i="23140"/>
  <c r="AX191" i="23140" s="1"/>
  <c r="AW190" i="23140"/>
  <c r="AW191" i="23140" s="1"/>
  <c r="AV190" i="23140"/>
  <c r="AV191" i="23140" s="1"/>
  <c r="AU190" i="23140"/>
  <c r="AU191" i="23140" s="1"/>
  <c r="AT190" i="23140"/>
  <c r="AT191" i="23140" s="1"/>
  <c r="AS190" i="23140"/>
  <c r="AS191" i="23140" s="1"/>
  <c r="AR190" i="23140"/>
  <c r="AR191" i="23140" s="1"/>
  <c r="AQ190" i="23140"/>
  <c r="AQ191" i="23140" s="1"/>
  <c r="AP190" i="23140"/>
  <c r="AP191" i="23140" s="1"/>
  <c r="BT171" i="23140"/>
  <c r="BS171" i="23140"/>
  <c r="BQ171" i="23140"/>
  <c r="BP171" i="23140"/>
  <c r="BO171" i="23140"/>
  <c r="BN171" i="23140"/>
  <c r="BL171" i="23140"/>
  <c r="BK171" i="23140"/>
  <c r="BJ171" i="23140"/>
  <c r="BI171" i="23140"/>
  <c r="BG171" i="23140"/>
  <c r="BF171" i="23140"/>
  <c r="BE171" i="23140"/>
  <c r="BB171" i="23140"/>
  <c r="BA171" i="23140"/>
  <c r="AT171" i="23140"/>
  <c r="A171" i="23140"/>
  <c r="BT170" i="23140"/>
  <c r="BS170" i="23140"/>
  <c r="BQ170" i="23140"/>
  <c r="BP170" i="23140"/>
  <c r="BO170" i="23140"/>
  <c r="BN170" i="23140"/>
  <c r="BL170" i="23140"/>
  <c r="BK170" i="23140"/>
  <c r="BJ170" i="23140"/>
  <c r="BI170" i="23140"/>
  <c r="BG170" i="23140"/>
  <c r="BF170" i="23140"/>
  <c r="BE170" i="23140"/>
  <c r="BB170" i="23140"/>
  <c r="BA170" i="23140"/>
  <c r="AT170" i="23140"/>
  <c r="A170" i="23140"/>
  <c r="BT169" i="23140"/>
  <c r="BS169" i="23140"/>
  <c r="BQ169" i="23140"/>
  <c r="BP169" i="23140"/>
  <c r="BO169" i="23140"/>
  <c r="BN169" i="23140"/>
  <c r="BL169" i="23140"/>
  <c r="BK169" i="23140"/>
  <c r="BJ169" i="23140"/>
  <c r="BI169" i="23140"/>
  <c r="BG169" i="23140"/>
  <c r="BF169" i="23140"/>
  <c r="BE169" i="23140"/>
  <c r="BB169" i="23140"/>
  <c r="BA169" i="23140"/>
  <c r="AT169" i="23140"/>
  <c r="A164" i="23140"/>
  <c r="A169" i="23140" s="1"/>
  <c r="BR161" i="23140"/>
  <c r="BM161" i="23140"/>
  <c r="BH161" i="23140"/>
  <c r="BC161" i="23140"/>
  <c r="AY161" i="23140"/>
  <c r="BR160" i="23140"/>
  <c r="BM160" i="23140"/>
  <c r="BH160" i="23140"/>
  <c r="BC160" i="23140"/>
  <c r="AY160" i="23140"/>
  <c r="AY170" i="23140" s="1"/>
  <c r="BR159" i="23140"/>
  <c r="BM159" i="23140"/>
  <c r="BH159" i="23140"/>
  <c r="BC159" i="23140"/>
  <c r="AY159" i="23140"/>
  <c r="AY169" i="23140" s="1"/>
  <c r="BN148" i="23140"/>
  <c r="BI148" i="23140"/>
  <c r="BD148" i="23140"/>
  <c r="AY148" i="23140"/>
  <c r="BN147" i="23140"/>
  <c r="BI147" i="23140"/>
  <c r="BD147" i="23140"/>
  <c r="AY147" i="23140"/>
  <c r="BN146" i="23140"/>
  <c r="BI146" i="23140"/>
  <c r="BD146" i="23140"/>
  <c r="AY146" i="23140"/>
  <c r="BM143" i="23140"/>
  <c r="BN143" i="23140" s="1"/>
  <c r="BH143" i="23140"/>
  <c r="BI143" i="23140" s="1"/>
  <c r="BC143" i="23140"/>
  <c r="BD143" i="23140" s="1"/>
  <c r="AX143" i="23140"/>
  <c r="AW143" i="23140"/>
  <c r="AW153" i="23140" s="1"/>
  <c r="BN140" i="23140"/>
  <c r="BD140" i="23140"/>
  <c r="AY140" i="23140"/>
  <c r="CW134" i="23140"/>
  <c r="CW130" i="23140"/>
  <c r="AP131" i="23140"/>
  <c r="AP132" i="23140" s="1"/>
  <c r="BR126" i="23140"/>
  <c r="BP126" i="23140"/>
  <c r="BM126" i="23140"/>
  <c r="BK126" i="23140"/>
  <c r="BP64" i="23140" s="1"/>
  <c r="BH126" i="23140"/>
  <c r="BM64" i="23140" s="1"/>
  <c r="BM75" i="23140" s="1"/>
  <c r="BG126" i="23140"/>
  <c r="BL64" i="23140" s="1"/>
  <c r="BL68" i="23140" s="1"/>
  <c r="BL78" i="23140" s="1"/>
  <c r="BF126" i="23140"/>
  <c r="BK64" i="23140" s="1"/>
  <c r="AV126" i="23140"/>
  <c r="AQ126" i="23140"/>
  <c r="AV64" i="23140" s="1"/>
  <c r="AV75" i="23140" s="1"/>
  <c r="AV76" i="23140" s="1"/>
  <c r="AP126" i="23140"/>
  <c r="AU64" i="23140" s="1"/>
  <c r="AU68" i="23140" s="1"/>
  <c r="BT119" i="23140"/>
  <c r="BR119" i="23140"/>
  <c r="BQ119" i="23140"/>
  <c r="BP119" i="23140"/>
  <c r="BO119" i="23140"/>
  <c r="BM119" i="23140"/>
  <c r="BL119" i="23140"/>
  <c r="BK119" i="23140"/>
  <c r="BJ119" i="23140"/>
  <c r="BH119" i="23140"/>
  <c r="BG119" i="23140"/>
  <c r="BF119" i="23140"/>
  <c r="BE119" i="23140"/>
  <c r="BC119" i="23140"/>
  <c r="BB119" i="23140"/>
  <c r="BA119" i="23140"/>
  <c r="BT113" i="23140"/>
  <c r="BR113" i="23140"/>
  <c r="BQ113" i="23140"/>
  <c r="BP113" i="23140"/>
  <c r="BO113" i="23140"/>
  <c r="BM113" i="23140"/>
  <c r="BL113" i="23140"/>
  <c r="BK113" i="23140"/>
  <c r="BJ113" i="23140"/>
  <c r="BH113" i="23140"/>
  <c r="BG113" i="23140"/>
  <c r="BF113" i="23140"/>
  <c r="BE113" i="23140"/>
  <c r="BC113" i="23140"/>
  <c r="BB113" i="23140"/>
  <c r="BT112" i="23140"/>
  <c r="BR112" i="23140"/>
  <c r="BQ112" i="23140"/>
  <c r="BP112" i="23140"/>
  <c r="BO112" i="23140"/>
  <c r="BM112" i="23140"/>
  <c r="BL112" i="23140"/>
  <c r="BK112" i="23140"/>
  <c r="BJ112" i="23140"/>
  <c r="BH112" i="23140"/>
  <c r="BG112" i="23140"/>
  <c r="BF112" i="23140"/>
  <c r="BC112" i="23140"/>
  <c r="AX112" i="23140"/>
  <c r="BD111" i="23140"/>
  <c r="AY111" i="23140"/>
  <c r="AT111" i="23140"/>
  <c r="CX109" i="23140"/>
  <c r="CW109" i="23140"/>
  <c r="BF96" i="23140"/>
  <c r="BF115" i="23140" s="1"/>
  <c r="CX88" i="23140"/>
  <c r="CW88" i="23140"/>
  <c r="CY82" i="23140"/>
  <c r="CX82" i="23140"/>
  <c r="CW82" i="23140"/>
  <c r="CY78" i="23140"/>
  <c r="CX78" i="23140"/>
  <c r="CW78" i="23140"/>
  <c r="CB78" i="23140"/>
  <c r="CG78" i="23140" s="1"/>
  <c r="CL78" i="23140" s="1"/>
  <c r="CQ78" i="23140" s="1"/>
  <c r="CQ76" i="23140"/>
  <c r="CP76" i="23140"/>
  <c r="CO76" i="23140"/>
  <c r="CN76" i="23140"/>
  <c r="CL76" i="23140"/>
  <c r="CK76" i="23140"/>
  <c r="CJ76" i="23140"/>
  <c r="CI76" i="23140"/>
  <c r="CG76" i="23140"/>
  <c r="CF76" i="23140"/>
  <c r="CE76" i="23140"/>
  <c r="CD76" i="23140"/>
  <c r="BT76" i="23140"/>
  <c r="BR76" i="23140"/>
  <c r="BQ76" i="23140"/>
  <c r="BP76" i="23140"/>
  <c r="BO76" i="23140"/>
  <c r="BM76" i="23140"/>
  <c r="BL76" i="23140"/>
  <c r="BK76" i="23140"/>
  <c r="BJ76" i="23140"/>
  <c r="BG76" i="23140"/>
  <c r="BF76" i="23140"/>
  <c r="CY68" i="23140"/>
  <c r="CX68" i="23140"/>
  <c r="CW68" i="23140"/>
  <c r="CR66" i="23140"/>
  <c r="CM66" i="23140"/>
  <c r="CH66" i="23140"/>
  <c r="CB66" i="23140"/>
  <c r="CA66" i="23140"/>
  <c r="CA76" i="23140" s="1"/>
  <c r="BZ66" i="23140"/>
  <c r="BY66" i="23140"/>
  <c r="BY76" i="23140" s="1"/>
  <c r="BW66" i="23140"/>
  <c r="BV66" i="23140"/>
  <c r="BV76" i="23140" s="1"/>
  <c r="BU66" i="23140"/>
  <c r="BU76" i="23140" s="1"/>
  <c r="BS66" i="23140"/>
  <c r="BN66" i="23140"/>
  <c r="BI66" i="23140"/>
  <c r="BD66" i="23140"/>
  <c r="BE66" i="23140" s="1"/>
  <c r="CR65" i="23140"/>
  <c r="CM65" i="23140"/>
  <c r="CH65" i="23140"/>
  <c r="CC65" i="23140"/>
  <c r="BX65" i="23140"/>
  <c r="BS65" i="23140"/>
  <c r="BN65" i="23140"/>
  <c r="BI65" i="23140"/>
  <c r="AY65" i="23140"/>
  <c r="BT59" i="23140"/>
  <c r="BR59" i="23140"/>
  <c r="BW49" i="23140" s="1"/>
  <c r="BQ59" i="23140"/>
  <c r="BP59" i="23140"/>
  <c r="BU49" i="23140" s="1"/>
  <c r="BU59" i="23140" s="1"/>
  <c r="BO59" i="23140"/>
  <c r="BT51" i="23140" s="1"/>
  <c r="BM59" i="23140"/>
  <c r="BR50" i="23140" s="1"/>
  <c r="BL59" i="23140"/>
  <c r="BK59" i="23140"/>
  <c r="BJ59" i="23140"/>
  <c r="BO51" i="23140" s="1"/>
  <c r="BH59" i="23140"/>
  <c r="BM50" i="23140" s="1"/>
  <c r="BG59" i="23140"/>
  <c r="BL50" i="23140" s="1"/>
  <c r="BF59" i="23140"/>
  <c r="BK51" i="23140" s="1"/>
  <c r="CY57" i="23140"/>
  <c r="CX57" i="23140"/>
  <c r="CW57" i="23140"/>
  <c r="BT57" i="23140"/>
  <c r="BR57" i="23140"/>
  <c r="BQ57" i="23140"/>
  <c r="BP57" i="23140"/>
  <c r="BO57" i="23140"/>
  <c r="BM57" i="23140"/>
  <c r="BL57" i="23140"/>
  <c r="BK57" i="23140"/>
  <c r="BJ57" i="23140"/>
  <c r="BH57" i="23140"/>
  <c r="BG57" i="23140"/>
  <c r="BF57" i="23140"/>
  <c r="BE57" i="23140"/>
  <c r="BE59" i="23140" s="1"/>
  <c r="BJ51" i="23140" s="1"/>
  <c r="BC57" i="23140"/>
  <c r="BB57" i="23140"/>
  <c r="BB59" i="23140" s="1"/>
  <c r="BA57" i="23140"/>
  <c r="AZ57" i="23140"/>
  <c r="AZ59" i="23140" s="1"/>
  <c r="BE50" i="23140" s="1"/>
  <c r="AX57" i="23140"/>
  <c r="BC50" i="23140" s="1"/>
  <c r="AW57" i="23140"/>
  <c r="BR53" i="23140"/>
  <c r="BQ53" i="23140"/>
  <c r="BP53" i="23140"/>
  <c r="BO53" i="23140"/>
  <c r="BM53" i="23140"/>
  <c r="BL53" i="23140"/>
  <c r="BK53" i="23140"/>
  <c r="BJ53" i="23140"/>
  <c r="BH53" i="23140"/>
  <c r="BG53" i="23140"/>
  <c r="BF53" i="23140"/>
  <c r="BE53" i="23140"/>
  <c r="BC53" i="23140"/>
  <c r="BB53" i="23140"/>
  <c r="BA53" i="23140"/>
  <c r="AZ53" i="23140"/>
  <c r="AX53" i="23140"/>
  <c r="AW53" i="23140"/>
  <c r="AV53" i="23140"/>
  <c r="AU53" i="23140"/>
  <c r="BT52" i="23140"/>
  <c r="BR52" i="23140"/>
  <c r="BQ52" i="23140"/>
  <c r="BP52" i="23140"/>
  <c r="BO52" i="23140"/>
  <c r="BM52" i="23140"/>
  <c r="BL52" i="23140"/>
  <c r="BK52" i="23140"/>
  <c r="BJ52" i="23140"/>
  <c r="BH52" i="23140"/>
  <c r="BG52" i="23140"/>
  <c r="BF52" i="23140"/>
  <c r="BE52" i="23140"/>
  <c r="BC52" i="23140"/>
  <c r="BA52" i="23140"/>
  <c r="AZ52" i="23140"/>
  <c r="AX52" i="23140"/>
  <c r="AW52" i="23140"/>
  <c r="AV52" i="23140"/>
  <c r="AQ52" i="23140"/>
  <c r="AP52" i="23140"/>
  <c r="BH51" i="23140"/>
  <c r="BH50" i="23140"/>
  <c r="BA50" i="23140"/>
  <c r="AZ50" i="23140"/>
  <c r="AV50" i="23140"/>
  <c r="AU50" i="23140"/>
  <c r="AQ50" i="23140"/>
  <c r="AP50" i="23140"/>
  <c r="CX49" i="23140"/>
  <c r="CW49" i="23140"/>
  <c r="BS49" i="23140"/>
  <c r="BS57" i="23140" s="1"/>
  <c r="BN49" i="23140"/>
  <c r="BI49" i="23140"/>
  <c r="DB49" i="23140" s="1"/>
  <c r="BD49" i="23140"/>
  <c r="DA49" i="23140" s="1"/>
  <c r="AY49" i="23140"/>
  <c r="AR49" i="23140"/>
  <c r="AR52" i="23140" s="1"/>
  <c r="BH46" i="23140"/>
  <c r="BG46" i="23140"/>
  <c r="BF46" i="23140"/>
  <c r="BE46" i="23140"/>
  <c r="BT45" i="23140"/>
  <c r="BP45" i="23140"/>
  <c r="BO45" i="23140"/>
  <c r="BK45" i="23140"/>
  <c r="BJ45" i="23140"/>
  <c r="BH45" i="23140"/>
  <c r="BG45" i="23140"/>
  <c r="BF45" i="23140"/>
  <c r="BB45" i="23140"/>
  <c r="BA45" i="23140"/>
  <c r="AZ45" i="23140"/>
  <c r="AX45" i="23140"/>
  <c r="AW45" i="23140"/>
  <c r="BT44" i="23140"/>
  <c r="BR44" i="23140"/>
  <c r="BP44" i="23140"/>
  <c r="BO44" i="23140"/>
  <c r="BM44" i="23140"/>
  <c r="BK44" i="23140"/>
  <c r="BJ44" i="23140"/>
  <c r="BG44" i="23140"/>
  <c r="BF44" i="23140"/>
  <c r="BE44" i="23140"/>
  <c r="BB44" i="23140"/>
  <c r="BA44" i="23140"/>
  <c r="CX43" i="23140"/>
  <c r="CW43" i="23140"/>
  <c r="BQ43" i="23140"/>
  <c r="BL43" i="23140"/>
  <c r="BK46" i="23140" s="1"/>
  <c r="BI43" i="23140"/>
  <c r="BC43" i="23140"/>
  <c r="AQ43" i="23140"/>
  <c r="AQ29" i="23140" s="1"/>
  <c r="AQ56" i="23140" s="1"/>
  <c r="AP43" i="23140"/>
  <c r="AP29" i="23140" s="1"/>
  <c r="CZ41" i="23140"/>
  <c r="CY41" i="23140"/>
  <c r="CX41" i="23140"/>
  <c r="CW41" i="23140"/>
  <c r="CY39" i="23140"/>
  <c r="CX39" i="23140"/>
  <c r="CW39" i="23140"/>
  <c r="BT39" i="23140"/>
  <c r="BT41" i="23140" s="1"/>
  <c r="BR39" i="23140"/>
  <c r="BR41" i="23140" s="1"/>
  <c r="BQ39" i="23140"/>
  <c r="BQ41" i="23140" s="1"/>
  <c r="BP39" i="23140"/>
  <c r="BO39" i="23140"/>
  <c r="BM39" i="23140"/>
  <c r="BL39" i="23140"/>
  <c r="BL41" i="23140" s="1"/>
  <c r="BK39" i="23140"/>
  <c r="BJ39" i="23140"/>
  <c r="BJ41" i="23140" s="1"/>
  <c r="BH39" i="23140"/>
  <c r="BH41" i="23140" s="1"/>
  <c r="BM35" i="23140" s="1"/>
  <c r="BG39" i="23140"/>
  <c r="BF39" i="23140"/>
  <c r="BF41" i="23140" s="1"/>
  <c r="BK36" i="23140" s="1"/>
  <c r="BE39" i="23140"/>
  <c r="BE41" i="23140" s="1"/>
  <c r="BB39" i="23140"/>
  <c r="BB41" i="23140" s="1"/>
  <c r="BA39" i="23140"/>
  <c r="AZ39" i="23140"/>
  <c r="AW39" i="23140"/>
  <c r="BS37" i="23140"/>
  <c r="BN37" i="23140"/>
  <c r="BI37" i="23140"/>
  <c r="BR35" i="23140"/>
  <c r="BA35" i="23140"/>
  <c r="AV35" i="23140"/>
  <c r="CX34" i="23140"/>
  <c r="CW34" i="23140"/>
  <c r="BS34" i="23140"/>
  <c r="DD34" i="23140" s="1"/>
  <c r="BN34" i="23140"/>
  <c r="DC34" i="23140" s="1"/>
  <c r="BI34" i="23140"/>
  <c r="DB34" i="23140" s="1"/>
  <c r="BC34" i="23140"/>
  <c r="BD34" i="23140" s="1"/>
  <c r="AU34" i="23140"/>
  <c r="AU35" i="23140" s="1"/>
  <c r="AR34" i="23140"/>
  <c r="CW29" i="23140"/>
  <c r="BT29" i="23140"/>
  <c r="BT26" i="23140" s="1"/>
  <c r="BR29" i="23140"/>
  <c r="BR26" i="23140" s="1"/>
  <c r="BP29" i="23140"/>
  <c r="BP26" i="23140" s="1"/>
  <c r="BO29" i="23140"/>
  <c r="BM29" i="23140"/>
  <c r="BK29" i="23140"/>
  <c r="BK26" i="23140" s="1"/>
  <c r="BJ29" i="23140"/>
  <c r="BJ47" i="23140" s="1"/>
  <c r="BH29" i="23140"/>
  <c r="BH26" i="23140" s="1"/>
  <c r="BG29" i="23140"/>
  <c r="BF29" i="23140"/>
  <c r="BF26" i="23140" s="1"/>
  <c r="BE29" i="23140"/>
  <c r="BE26" i="23140" s="1"/>
  <c r="BB29" i="23140"/>
  <c r="BB26" i="23140" s="1"/>
  <c r="BA29" i="23140"/>
  <c r="AZ29" i="23140"/>
  <c r="AZ26" i="23140" s="1"/>
  <c r="AX29" i="23140"/>
  <c r="AX47" i="23140" s="1"/>
  <c r="AW29" i="23140"/>
  <c r="AV29" i="23140"/>
  <c r="AV26" i="23140" s="1"/>
  <c r="AO29" i="23140"/>
  <c r="BR21" i="23140"/>
  <c r="BQ21" i="23140"/>
  <c r="BP21" i="23140"/>
  <c r="BM21" i="23140"/>
  <c r="BR12" i="23140" s="1"/>
  <c r="BL21" i="23140"/>
  <c r="BK21" i="23140"/>
  <c r="BP12" i="23140" s="1"/>
  <c r="BH21" i="23140"/>
  <c r="BG21" i="23140"/>
  <c r="BL13" i="23140" s="1"/>
  <c r="BF21" i="23140"/>
  <c r="BK13" i="23140" s="1"/>
  <c r="BR18" i="23140"/>
  <c r="BQ18" i="23140"/>
  <c r="BP18" i="23140"/>
  <c r="BM18" i="23140"/>
  <c r="BL18" i="23140"/>
  <c r="BK18" i="23140"/>
  <c r="BH18" i="23140"/>
  <c r="BG18" i="23140"/>
  <c r="BF18" i="23140"/>
  <c r="BB18" i="23140"/>
  <c r="BS16" i="23140"/>
  <c r="BN16" i="23140"/>
  <c r="BI16" i="23140"/>
  <c r="BP15" i="23140"/>
  <c r="BO15" i="23140"/>
  <c r="BK15" i="23140"/>
  <c r="BJ15" i="23140"/>
  <c r="BF15" i="23140"/>
  <c r="BE15" i="23140"/>
  <c r="BT14" i="23140"/>
  <c r="BR14" i="23140"/>
  <c r="BQ14" i="23140"/>
  <c r="BP14" i="23140"/>
  <c r="BO14" i="23140"/>
  <c r="BM14" i="23140"/>
  <c r="BL14" i="23140"/>
  <c r="BK14" i="23140"/>
  <c r="BJ14" i="23140"/>
  <c r="BH14" i="23140"/>
  <c r="BG14" i="23140"/>
  <c r="BF14" i="23140"/>
  <c r="BA14" i="23140"/>
  <c r="AW14" i="23140"/>
  <c r="BH13" i="23140"/>
  <c r="BH12" i="23140"/>
  <c r="BA12" i="23140"/>
  <c r="BC11" i="23140"/>
  <c r="AU11" i="23140"/>
  <c r="AZ12" i="23140" s="1"/>
  <c r="AA6" i="23140"/>
  <c r="AF6" i="23140" s="1"/>
  <c r="AK6" i="23140" s="1"/>
  <c r="AP6" i="23140" s="1"/>
  <c r="AU6" i="23140" s="1"/>
  <c r="AZ6" i="23140" s="1"/>
  <c r="BE6" i="23140" s="1"/>
  <c r="BJ6" i="23140" s="1"/>
  <c r="BO6" i="23140" s="1"/>
  <c r="BT6" i="23140" s="1"/>
  <c r="BY6" i="23140" s="1"/>
  <c r="CD6" i="23140" s="1"/>
  <c r="CI6" i="23140" s="1"/>
  <c r="CN6" i="23140" s="1"/>
  <c r="G6" i="23140"/>
  <c r="L6" i="23140" s="1"/>
  <c r="AZ96" i="23140" l="1"/>
  <c r="BP19" i="23140"/>
  <c r="AR178" i="23140"/>
  <c r="AR42" i="23083"/>
  <c r="AR259" i="23083"/>
  <c r="AR53" i="23083"/>
  <c r="AR52" i="23083"/>
  <c r="AQ178" i="23140"/>
  <c r="BH178" i="23140"/>
  <c r="BA205" i="23140"/>
  <c r="AP178" i="23140"/>
  <c r="BM178" i="23140"/>
  <c r="BG204" i="23140" s="1"/>
  <c r="BA163" i="23086" s="1"/>
  <c r="AN337" i="23083" s="1"/>
  <c r="BC178" i="23140"/>
  <c r="BA204" i="23140" s="1"/>
  <c r="BK178" i="23140"/>
  <c r="AS178" i="23140"/>
  <c r="BJ42" i="23141"/>
  <c r="BJ186" i="23140" s="1"/>
  <c r="BF205" i="23140"/>
  <c r="AZ164" i="23086" s="1"/>
  <c r="BG96" i="23140"/>
  <c r="BG103" i="23140" s="1"/>
  <c r="BT96" i="23140"/>
  <c r="BT115" i="23140" s="1"/>
  <c r="AQ26" i="23141"/>
  <c r="AQ176" i="23140" s="1"/>
  <c r="BI46" i="23141"/>
  <c r="BI119" i="23141" s="1"/>
  <c r="AX14" i="23141"/>
  <c r="AX219" i="23140"/>
  <c r="AW219" i="23140"/>
  <c r="BC205" i="23140"/>
  <c r="AW164" i="23086" s="1"/>
  <c r="BG205" i="23140"/>
  <c r="AW51" i="23141"/>
  <c r="AW151" i="23141" s="1"/>
  <c r="AW185" i="23140"/>
  <c r="BG51" i="23141"/>
  <c r="BG154" i="23141" s="1"/>
  <c r="BG185" i="23140"/>
  <c r="BI204" i="23140"/>
  <c r="BO51" i="23141"/>
  <c r="BO151" i="23141" s="1"/>
  <c r="BO185" i="23140"/>
  <c r="BP51" i="23141"/>
  <c r="BP153" i="23141" s="1"/>
  <c r="BP185" i="23140"/>
  <c r="BC204" i="23140"/>
  <c r="AW163" i="23086" s="1"/>
  <c r="AJ337" i="23083" s="1"/>
  <c r="BF50" i="23141"/>
  <c r="BF160" i="23141" s="1"/>
  <c r="BF186" i="23140"/>
  <c r="BJ51" i="23141"/>
  <c r="BJ151" i="23141" s="1"/>
  <c r="BJ185" i="23140"/>
  <c r="BA50" i="23141"/>
  <c r="BA160" i="23141" s="1"/>
  <c r="BA186" i="23140"/>
  <c r="AU51" i="23141"/>
  <c r="AU152" i="23141" s="1"/>
  <c r="AU185" i="23140"/>
  <c r="AZ205" i="23140"/>
  <c r="BD205" i="23140"/>
  <c r="AX164" i="23086" s="1"/>
  <c r="AK338" i="23083" s="1"/>
  <c r="AK344" i="23083" s="1"/>
  <c r="BI205" i="23140"/>
  <c r="BG50" i="23141"/>
  <c r="BG160" i="23141" s="1"/>
  <c r="BG186" i="23140"/>
  <c r="BA51" i="23141"/>
  <c r="BA152" i="23141" s="1"/>
  <c r="BA185" i="23140"/>
  <c r="BI148" i="23141"/>
  <c r="BI149" i="23141" s="1"/>
  <c r="BI162" i="23141" s="1"/>
  <c r="AY47" i="23141"/>
  <c r="AY188" i="23140" s="1"/>
  <c r="BF48" i="23141"/>
  <c r="CE102" i="23141"/>
  <c r="DD47" i="23141"/>
  <c r="BA172" i="23086"/>
  <c r="BC172" i="23086"/>
  <c r="BT27" i="23141"/>
  <c r="BT177" i="23140" s="1"/>
  <c r="BT175" i="23140"/>
  <c r="BS148" i="23141"/>
  <c r="BS149" i="23141" s="1"/>
  <c r="BS162" i="23141" s="1"/>
  <c r="BU39" i="23141"/>
  <c r="AZ94" i="23141"/>
  <c r="AZ175" i="23140"/>
  <c r="BV39" i="23141"/>
  <c r="AZ172" i="23086"/>
  <c r="BL27" i="23141"/>
  <c r="BL177" i="23140" s="1"/>
  <c r="BL175" i="23140"/>
  <c r="BD148" i="23141"/>
  <c r="BD149" i="23141" s="1"/>
  <c r="BD162" i="23141" s="1"/>
  <c r="BW39" i="23141"/>
  <c r="CB39" i="23141" s="1"/>
  <c r="BE88" i="23141"/>
  <c r="AW18" i="23140"/>
  <c r="BB12" i="23140" s="1"/>
  <c r="BO18" i="23140"/>
  <c r="BH170" i="23140"/>
  <c r="BF198" i="23140"/>
  <c r="AZ157" i="23086" s="1"/>
  <c r="BI198" i="23140"/>
  <c r="BC157" i="23086" s="1"/>
  <c r="BC158" i="23086" s="1"/>
  <c r="BD158" i="23086" s="1"/>
  <c r="BP31" i="23140"/>
  <c r="BE21" i="23140"/>
  <c r="BE23" i="23140" s="1"/>
  <c r="BE197" i="23140"/>
  <c r="AY156" i="23086" s="1"/>
  <c r="BM171" i="23140"/>
  <c r="AQ131" i="23140"/>
  <c r="AQ132" i="23140" s="1"/>
  <c r="BT50" i="23140"/>
  <c r="BT55" i="23140" s="1"/>
  <c r="BM127" i="23140"/>
  <c r="BM169" i="23140"/>
  <c r="BR170" i="23140"/>
  <c r="AZ18" i="23140"/>
  <c r="BP47" i="23140"/>
  <c r="BA107" i="23140"/>
  <c r="BH96" i="23140"/>
  <c r="BH115" i="23140" s="1"/>
  <c r="BD112" i="23140"/>
  <c r="BI144" i="23140"/>
  <c r="BS56" i="23141"/>
  <c r="DD56" i="23141" s="1"/>
  <c r="BE81" i="23141"/>
  <c r="BI81" i="23141" s="1"/>
  <c r="BM170" i="23140"/>
  <c r="AZ102" i="23140"/>
  <c r="BB85" i="23141"/>
  <c r="BM51" i="23140"/>
  <c r="BM55" i="23140" s="1"/>
  <c r="BQ58" i="23140"/>
  <c r="BM14" i="23141"/>
  <c r="BN56" i="23141"/>
  <c r="DC56" i="23141" s="1"/>
  <c r="CK101" i="23141"/>
  <c r="BA18" i="23140"/>
  <c r="BB14" i="23140" s="1"/>
  <c r="AZ46" i="23140"/>
  <c r="BC44" i="23140"/>
  <c r="BC29" i="23140"/>
  <c r="BC26" i="23140" s="1"/>
  <c r="BC46" i="23140"/>
  <c r="BC45" i="23140"/>
  <c r="BD43" i="23140"/>
  <c r="DA43" i="23140" s="1"/>
  <c r="BH22" i="23140"/>
  <c r="BM13" i="23140"/>
  <c r="BP50" i="23140"/>
  <c r="BP51" i="23140"/>
  <c r="CX62" i="23141"/>
  <c r="AP62" i="23141"/>
  <c r="AT62" i="23141" s="1"/>
  <c r="CY62" i="23141" s="1"/>
  <c r="CJ102" i="23141"/>
  <c r="CO104" i="23141"/>
  <c r="CO102" i="23141" s="1"/>
  <c r="BH17" i="23140"/>
  <c r="BG20" i="23140"/>
  <c r="BK40" i="23140"/>
  <c r="BB50" i="23140"/>
  <c r="BT60" i="23140"/>
  <c r="CQ94" i="23141"/>
  <c r="BH144" i="23140"/>
  <c r="BT14" i="23141"/>
  <c r="BT54" i="23141" s="1"/>
  <c r="BT57" i="23141" s="1"/>
  <c r="CG102" i="23141"/>
  <c r="CL104" i="23141"/>
  <c r="CQ104" i="23141" s="1"/>
  <c r="CQ102" i="23141" s="1"/>
  <c r="BN64" i="23140"/>
  <c r="BM68" i="23140"/>
  <c r="BM70" i="23140" s="1"/>
  <c r="BA102" i="23140"/>
  <c r="BB107" i="23140"/>
  <c r="BZ101" i="23141"/>
  <c r="CA103" i="23141"/>
  <c r="CB103" i="23141" s="1"/>
  <c r="BG101" i="23141"/>
  <c r="BG103" i="23141" s="1"/>
  <c r="BG14" i="23141"/>
  <c r="BG54" i="23141" s="1"/>
  <c r="BG57" i="23141" s="1"/>
  <c r="BJ26" i="23140"/>
  <c r="AW31" i="23140"/>
  <c r="BL29" i="23140"/>
  <c r="BL26" i="23140" s="1"/>
  <c r="BF58" i="23140"/>
  <c r="BB96" i="23140"/>
  <c r="BH102" i="23140"/>
  <c r="BR171" i="23140"/>
  <c r="AO101" i="23141"/>
  <c r="AO103" i="23141" s="1"/>
  <c r="AO14" i="23141"/>
  <c r="CX14" i="23141" s="1"/>
  <c r="BA14" i="23141"/>
  <c r="BA54" i="23141" s="1"/>
  <c r="BA57" i="23141" s="1"/>
  <c r="AP65" i="23141"/>
  <c r="CY55" i="23141"/>
  <c r="CX61" i="23141"/>
  <c r="AP61" i="23141"/>
  <c r="AT61" i="23141" s="1"/>
  <c r="CY61" i="23141" s="1"/>
  <c r="AQ65" i="23141"/>
  <c r="BJ31" i="23140"/>
  <c r="BL51" i="23140"/>
  <c r="BL55" i="23140" s="1"/>
  <c r="BL96" i="23140"/>
  <c r="BL115" i="23140" s="1"/>
  <c r="BC101" i="23140"/>
  <c r="BO96" i="23140"/>
  <c r="BO103" i="23140" s="1"/>
  <c r="AZ107" i="23140"/>
  <c r="BH169" i="23140"/>
  <c r="BB14" i="23141"/>
  <c r="AT24" i="23141"/>
  <c r="AP43" i="23141"/>
  <c r="AV14" i="23141"/>
  <c r="AV54" i="23141" s="1"/>
  <c r="AV57" i="23141" s="1"/>
  <c r="AR20" i="23141"/>
  <c r="AR26" i="23141" s="1"/>
  <c r="AR176" i="23140" s="1"/>
  <c r="AT23" i="23141"/>
  <c r="BD48" i="23141"/>
  <c r="DA48" i="23141" s="1"/>
  <c r="BD39" i="23141"/>
  <c r="BD179" i="23140" s="1"/>
  <c r="BN69" i="23141"/>
  <c r="DC69" i="23141" s="1"/>
  <c r="BH199" i="23140"/>
  <c r="BH14" i="23141"/>
  <c r="AP26" i="23141"/>
  <c r="AP176" i="23140" s="1"/>
  <c r="AT39" i="23141"/>
  <c r="AT179" i="23140" s="1"/>
  <c r="BI39" i="23141"/>
  <c r="BN39" i="23141"/>
  <c r="BS39" i="23141"/>
  <c r="BS179" i="23140" s="1"/>
  <c r="AZ113" i="23141"/>
  <c r="AX39" i="23141"/>
  <c r="AX179" i="23140" s="1"/>
  <c r="AX205" i="23140" s="1"/>
  <c r="BS33" i="23141"/>
  <c r="BD44" i="23141"/>
  <c r="BN33" i="23141"/>
  <c r="BQ45" i="23141"/>
  <c r="BQ180" i="23140" s="1"/>
  <c r="BD20" i="23141"/>
  <c r="BM162" i="23141"/>
  <c r="BM26" i="23141"/>
  <c r="BO130" i="23141" s="1"/>
  <c r="AZ52" i="23141"/>
  <c r="BT149" i="23141"/>
  <c r="BU149" i="23141" s="1"/>
  <c r="BU162" i="23141" s="1"/>
  <c r="BD21" i="23141"/>
  <c r="BD49" i="23141" s="1"/>
  <c r="BR26" i="23141"/>
  <c r="BR85" i="23141" s="1"/>
  <c r="BI23" i="23141"/>
  <c r="BK45" i="23141"/>
  <c r="BK180" i="23140" s="1"/>
  <c r="BN44" i="23141"/>
  <c r="BA49" i="23141"/>
  <c r="BF27" i="23141"/>
  <c r="BC26" i="23141"/>
  <c r="BJ27" i="23141"/>
  <c r="BJ177" i="23140" s="1"/>
  <c r="BL45" i="23141"/>
  <c r="BL180" i="23140" s="1"/>
  <c r="BF45" i="23141"/>
  <c r="BF180" i="23140" s="1"/>
  <c r="AT19" i="23141"/>
  <c r="AT20" i="23141" s="1"/>
  <c r="BN23" i="23141"/>
  <c r="AO162" i="23141"/>
  <c r="BP75" i="23140"/>
  <c r="BP68" i="23140"/>
  <c r="BG50" i="23140"/>
  <c r="BG51" i="23140"/>
  <c r="BQ36" i="23140"/>
  <c r="BQ35" i="23140"/>
  <c r="BQ40" i="23140"/>
  <c r="BJ18" i="23140"/>
  <c r="BK20" i="23140" s="1"/>
  <c r="BA96" i="23140"/>
  <c r="BA103" i="23140" s="1"/>
  <c r="AV127" i="23140"/>
  <c r="BQ42" i="23140"/>
  <c r="BR20" i="23140"/>
  <c r="AW154" i="23140"/>
  <c r="BD198" i="23140"/>
  <c r="AX157" i="23086" s="1"/>
  <c r="BD11" i="23140"/>
  <c r="DA11" i="23140" s="1"/>
  <c r="BL19" i="23140"/>
  <c r="BJ35" i="23140"/>
  <c r="BJ50" i="23140"/>
  <c r="BJ55" i="23140" s="1"/>
  <c r="BL12" i="23140"/>
  <c r="BL17" i="23140" s="1"/>
  <c r="BR64" i="23140"/>
  <c r="BR75" i="23140" s="1"/>
  <c r="AW102" i="23140"/>
  <c r="BP127" i="23140"/>
  <c r="BM12" i="23140"/>
  <c r="BT18" i="23140"/>
  <c r="BT20" i="23140" s="1"/>
  <c r="BU64" i="23140"/>
  <c r="BU68" i="23140" s="1"/>
  <c r="BU71" i="23140" s="1"/>
  <c r="BC96" i="23140"/>
  <c r="BC98" i="23140" s="1"/>
  <c r="BL101" i="23140"/>
  <c r="CP131" i="23140"/>
  <c r="BH171" i="23140"/>
  <c r="BC198" i="23140"/>
  <c r="AW157" i="23086" s="1"/>
  <c r="AW158" i="23086" s="1"/>
  <c r="BH197" i="23140"/>
  <c r="BB156" i="23086" s="1"/>
  <c r="BN54" i="23140"/>
  <c r="BH23" i="23140"/>
  <c r="BY49" i="23140"/>
  <c r="BY59" i="23140" s="1"/>
  <c r="BY60" i="23140" s="1"/>
  <c r="BK50" i="23140"/>
  <c r="BK55" i="23140" s="1"/>
  <c r="BA64" i="23140"/>
  <c r="BA68" i="23140" s="1"/>
  <c r="BA71" i="23140" s="1"/>
  <c r="BA72" i="23140" s="1"/>
  <c r="BE96" i="23140"/>
  <c r="BE97" i="23140" s="1"/>
  <c r="BK96" i="23140"/>
  <c r="BK115" i="23140" s="1"/>
  <c r="BQ96" i="23140"/>
  <c r="BQ115" i="23140" s="1"/>
  <c r="BQ116" i="23140" s="1"/>
  <c r="BE199" i="23140"/>
  <c r="BT21" i="23140"/>
  <c r="BT23" i="23140" s="1"/>
  <c r="BK41" i="23140"/>
  <c r="BP36" i="23140" s="1"/>
  <c r="BF101" i="23140"/>
  <c r="BI54" i="23140"/>
  <c r="BE18" i="23140"/>
  <c r="BF20" i="23140" s="1"/>
  <c r="BL23" i="23140"/>
  <c r="BS54" i="23140"/>
  <c r="BM45" i="23140"/>
  <c r="BH58" i="23140"/>
  <c r="BP58" i="23140"/>
  <c r="AW96" i="23140"/>
  <c r="AW103" i="23140" s="1"/>
  <c r="BF103" i="23140"/>
  <c r="AY119" i="23140"/>
  <c r="BD169" i="23140"/>
  <c r="BB126" i="23140"/>
  <c r="BG127" i="23140" s="1"/>
  <c r="BG36" i="23140"/>
  <c r="BA31" i="23140"/>
  <c r="DC49" i="23140"/>
  <c r="BN59" i="23140"/>
  <c r="BN11" i="23140" s="1"/>
  <c r="BN18" i="23140" s="1"/>
  <c r="BA75" i="23140"/>
  <c r="BA76" i="23140" s="1"/>
  <c r="BP13" i="23140"/>
  <c r="BP17" i="23140" s="1"/>
  <c r="AZ41" i="23140"/>
  <c r="BE42" i="23140" s="1"/>
  <c r="BV49" i="23140"/>
  <c r="BX49" i="23140" s="1"/>
  <c r="BX59" i="23140" s="1"/>
  <c r="BQ60" i="23140"/>
  <c r="BK75" i="23140"/>
  <c r="BK68" i="23140"/>
  <c r="BK71" i="23140" s="1"/>
  <c r="BR127" i="23140"/>
  <c r="BS127" i="23140" s="1"/>
  <c r="BW64" i="23140"/>
  <c r="BW75" i="23140" s="1"/>
  <c r="BG41" i="23140"/>
  <c r="BL71" i="23140" s="1"/>
  <c r="BG40" i="23140"/>
  <c r="AR50" i="23140"/>
  <c r="AS49" i="23140"/>
  <c r="AQ53" i="23140" s="1"/>
  <c r="BE51" i="23140"/>
  <c r="BE55" i="23140" s="1"/>
  <c r="BM22" i="23140"/>
  <c r="BR13" i="23140"/>
  <c r="BR17" i="23140" s="1"/>
  <c r="BM23" i="23140"/>
  <c r="BM30" i="23140"/>
  <c r="BM26" i="23140"/>
  <c r="BR45" i="23140"/>
  <c r="BQ29" i="23140"/>
  <c r="BQ166" i="23140" s="1"/>
  <c r="BO41" i="23140"/>
  <c r="BT35" i="23140" s="1"/>
  <c r="BO40" i="23140"/>
  <c r="AQ45" i="23140"/>
  <c r="BL60" i="23140"/>
  <c r="BQ51" i="23140"/>
  <c r="BQ50" i="23140"/>
  <c r="BJ107" i="23140"/>
  <c r="BH106" i="23140"/>
  <c r="BG32" i="23140"/>
  <c r="BG30" i="23140"/>
  <c r="BG26" i="23140"/>
  <c r="BI26" i="23140" s="1"/>
  <c r="AV14" i="23140"/>
  <c r="BR22" i="23140"/>
  <c r="BO36" i="23140"/>
  <c r="BJ21" i="23140"/>
  <c r="BO35" i="23140"/>
  <c r="AX11" i="23140"/>
  <c r="AW15" i="23140" s="1"/>
  <c r="BK19" i="23140"/>
  <c r="DB43" i="23140"/>
  <c r="BI29" i="23140"/>
  <c r="BI164" i="23140" s="1"/>
  <c r="BK58" i="23140"/>
  <c r="BK12" i="23140"/>
  <c r="BK17" i="23140" s="1"/>
  <c r="BB21" i="23140"/>
  <c r="BG12" i="23140" s="1"/>
  <c r="BQ12" i="23140"/>
  <c r="BL22" i="23140"/>
  <c r="BQ13" i="23140"/>
  <c r="BE30" i="23140"/>
  <c r="BA197" i="23140"/>
  <c r="AU156" i="23086" s="1"/>
  <c r="BC39" i="23140"/>
  <c r="BD39" i="23140" s="1"/>
  <c r="AZ197" i="23140"/>
  <c r="AT156" i="23086" s="1"/>
  <c r="BG35" i="23140"/>
  <c r="BI39" i="23140"/>
  <c r="DB39" i="23140" s="1"/>
  <c r="AV96" i="23140"/>
  <c r="AX102" i="23140"/>
  <c r="AX96" i="23140"/>
  <c r="AZ98" i="23140" s="1"/>
  <c r="BJ96" i="23140"/>
  <c r="BJ115" i="23140" s="1"/>
  <c r="BP102" i="23140"/>
  <c r="BP96" i="23140"/>
  <c r="AW107" i="23140"/>
  <c r="BC106" i="23140"/>
  <c r="BC107" i="23140"/>
  <c r="BP107" i="23140"/>
  <c r="BO106" i="23140"/>
  <c r="BA106" i="23140"/>
  <c r="BM144" i="23140"/>
  <c r="AW155" i="23140"/>
  <c r="BG198" i="23140"/>
  <c r="BA157" i="23086" s="1"/>
  <c r="BQ20" i="23140"/>
  <c r="BR51" i="23140"/>
  <c r="BR55" i="23140" s="1"/>
  <c r="BJ58" i="23140"/>
  <c r="BE58" i="23140"/>
  <c r="AZ103" i="23140"/>
  <c r="AW150" i="23140"/>
  <c r="BD170" i="23140"/>
  <c r="BA199" i="23140"/>
  <c r="BH131" i="23140"/>
  <c r="BC14" i="23140"/>
  <c r="BQ19" i="23140"/>
  <c r="BH55" i="23140"/>
  <c r="BC58" i="23140"/>
  <c r="AW131" i="23140"/>
  <c r="BC131" i="23140"/>
  <c r="BO131" i="23140"/>
  <c r="AW151" i="23140"/>
  <c r="AZ199" i="23140"/>
  <c r="BP131" i="23140"/>
  <c r="BA15" i="23140"/>
  <c r="BB40" i="23140"/>
  <c r="BA46" i="23140"/>
  <c r="AY57" i="23140"/>
  <c r="BJ60" i="23140"/>
  <c r="BP60" i="23140"/>
  <c r="BB101" i="23140"/>
  <c r="BH101" i="23140"/>
  <c r="BT101" i="23140"/>
  <c r="BG106" i="23140"/>
  <c r="AR131" i="23140"/>
  <c r="AR132" i="23140" s="1"/>
  <c r="AW152" i="23140"/>
  <c r="BN144" i="23140"/>
  <c r="AW130" i="23141"/>
  <c r="BL130" i="23141"/>
  <c r="BL110" i="23141"/>
  <c r="BL85" i="23141"/>
  <c r="AZ110" i="23141"/>
  <c r="AZ85" i="23141"/>
  <c r="AZ27" i="23141"/>
  <c r="AZ177" i="23140" s="1"/>
  <c r="BA130" i="23141"/>
  <c r="BA110" i="23141"/>
  <c r="BA85" i="23141"/>
  <c r="BA27" i="23141"/>
  <c r="BA177" i="23140" s="1"/>
  <c r="BJ110" i="23141"/>
  <c r="BJ85" i="23141"/>
  <c r="BM129" i="23141"/>
  <c r="BM109" i="23141"/>
  <c r="BM94" i="23141"/>
  <c r="BM95" i="23141"/>
  <c r="BM96" i="23141"/>
  <c r="AX148" i="23141"/>
  <c r="AY19" i="23141"/>
  <c r="AX20" i="23141"/>
  <c r="AX26" i="23141" s="1"/>
  <c r="AX176" i="23140" s="1"/>
  <c r="AX201" i="23140" s="1"/>
  <c r="BE110" i="23141"/>
  <c r="BE85" i="23141"/>
  <c r="BK130" i="23141"/>
  <c r="BK110" i="23141"/>
  <c r="BK85" i="23141"/>
  <c r="BN24" i="23141"/>
  <c r="BG130" i="23141"/>
  <c r="BG110" i="23141"/>
  <c r="BG85" i="23141"/>
  <c r="BP130" i="23141"/>
  <c r="BP110" i="23141"/>
  <c r="BP85" i="23141"/>
  <c r="AY31" i="23141"/>
  <c r="AS132" i="23141"/>
  <c r="BM132" i="23141"/>
  <c r="BM112" i="23141"/>
  <c r="BM87" i="23141"/>
  <c r="AY34" i="23141"/>
  <c r="AY39" i="23141" s="1"/>
  <c r="AY179" i="23140" s="1"/>
  <c r="AV113" i="23141"/>
  <c r="AV133" i="23141"/>
  <c r="BR41" i="23141"/>
  <c r="AU157" i="23141"/>
  <c r="AU158" i="23141"/>
  <c r="AU159" i="23141"/>
  <c r="AU156" i="23141"/>
  <c r="AX42" i="23141"/>
  <c r="AX156" i="23141" s="1"/>
  <c r="AU45" i="23141"/>
  <c r="AU180" i="23140" s="1"/>
  <c r="BL51" i="23141"/>
  <c r="BP52" i="23141"/>
  <c r="BS44" i="23141"/>
  <c r="AY55" i="23141"/>
  <c r="BD121" i="23141" s="1"/>
  <c r="BH142" i="23141"/>
  <c r="BH97" i="23141"/>
  <c r="BA129" i="23141"/>
  <c r="BA95" i="23141"/>
  <c r="BA94" i="23141"/>
  <c r="BA96" i="23141"/>
  <c r="BG129" i="23141"/>
  <c r="BG109" i="23141"/>
  <c r="BG95" i="23141"/>
  <c r="BG94" i="23141"/>
  <c r="BG96" i="23141"/>
  <c r="BK51" i="23141"/>
  <c r="BM43" i="23141"/>
  <c r="AW14" i="23141"/>
  <c r="BO14" i="23141"/>
  <c r="BO129" i="23141"/>
  <c r="BO95" i="23141"/>
  <c r="BO96" i="23141"/>
  <c r="BO94" i="23141"/>
  <c r="BO109" i="23141"/>
  <c r="AS26" i="23141"/>
  <c r="AS176" i="23140" s="1"/>
  <c r="BS20" i="23141"/>
  <c r="AY24" i="23141"/>
  <c r="BI48" i="23141"/>
  <c r="BI33" i="23141"/>
  <c r="BI178" i="23140" s="1"/>
  <c r="AU112" i="23141"/>
  <c r="AU132" i="23141"/>
  <c r="BA132" i="23141"/>
  <c r="BA112" i="23141"/>
  <c r="BA87" i="23141"/>
  <c r="BG132" i="23141"/>
  <c r="BG112" i="23141"/>
  <c r="BG87" i="23141"/>
  <c r="BT112" i="23141"/>
  <c r="BT132" i="23141"/>
  <c r="BT87" i="23141"/>
  <c r="BU33" i="23141"/>
  <c r="AW133" i="23141"/>
  <c r="AW113" i="23141"/>
  <c r="BF88" i="23141"/>
  <c r="AO157" i="23141"/>
  <c r="AO159" i="23141"/>
  <c r="AO156" i="23141"/>
  <c r="AO158" i="23141"/>
  <c r="AO45" i="23141"/>
  <c r="BF158" i="23141"/>
  <c r="BF157" i="23141"/>
  <c r="BF159" i="23141"/>
  <c r="BF156" i="23141"/>
  <c r="BH43" i="23141"/>
  <c r="BE51" i="23141"/>
  <c r="BE154" i="23141" s="1"/>
  <c r="BE52" i="23141"/>
  <c r="BI52" i="23141" s="1"/>
  <c r="DB52" i="23141" s="1"/>
  <c r="BI44" i="23141"/>
  <c r="AO50" i="23141"/>
  <c r="AO53" i="23141" s="1"/>
  <c r="CX53" i="23141" s="1"/>
  <c r="BA142" i="23141"/>
  <c r="BA122" i="23141"/>
  <c r="BA97" i="23141"/>
  <c r="BC56" i="23141"/>
  <c r="BD56" i="23141" s="1"/>
  <c r="BO110" i="23141"/>
  <c r="BO85" i="23141"/>
  <c r="AX48" i="23141"/>
  <c r="AY28" i="23141"/>
  <c r="BC133" i="23141"/>
  <c r="BL158" i="23141"/>
  <c r="BL157" i="23141"/>
  <c r="BL159" i="23141"/>
  <c r="BL156" i="23141"/>
  <c r="BS121" i="23141"/>
  <c r="DD55" i="23141"/>
  <c r="CY58" i="23141"/>
  <c r="BJ14" i="23141"/>
  <c r="BP14" i="23141"/>
  <c r="BJ109" i="23141"/>
  <c r="BJ96" i="23141"/>
  <c r="BJ129" i="23141"/>
  <c r="BP129" i="23141"/>
  <c r="BP109" i="23141"/>
  <c r="BP94" i="23141"/>
  <c r="BP95" i="23141"/>
  <c r="BP96" i="23141"/>
  <c r="AX101" i="23141"/>
  <c r="AX103" i="23141" s="1"/>
  <c r="AY17" i="23141"/>
  <c r="BT110" i="23141"/>
  <c r="BT85" i="23141"/>
  <c r="AP44" i="23141"/>
  <c r="AP52" i="23141" s="1"/>
  <c r="BS24" i="23141"/>
  <c r="CX26" i="23141"/>
  <c r="CX33" i="23141"/>
  <c r="AV112" i="23141"/>
  <c r="AV132" i="23141"/>
  <c r="BB132" i="23141"/>
  <c r="BB112" i="23141"/>
  <c r="BB87" i="23141"/>
  <c r="BH132" i="23141"/>
  <c r="BH112" i="23141"/>
  <c r="BH87" i="23141"/>
  <c r="AQ133" i="23141"/>
  <c r="BM88" i="23141"/>
  <c r="BT133" i="23141"/>
  <c r="BT113" i="23141"/>
  <c r="BT88" i="23141"/>
  <c r="BY39" i="23141"/>
  <c r="BA45" i="23141"/>
  <c r="BA180" i="23140" s="1"/>
  <c r="BG157" i="23141"/>
  <c r="BG158" i="23141"/>
  <c r="BG159" i="23141"/>
  <c r="BG156" i="23141"/>
  <c r="BF51" i="23141"/>
  <c r="AX44" i="23141"/>
  <c r="AX52" i="23141" s="1"/>
  <c r="BL50" i="23141"/>
  <c r="BL160" i="23141" s="1"/>
  <c r="BB142" i="23141"/>
  <c r="BB97" i="23141"/>
  <c r="BB122" i="23141"/>
  <c r="BQ130" i="23141"/>
  <c r="BQ110" i="23141"/>
  <c r="BQ85" i="23141"/>
  <c r="BH42" i="23141"/>
  <c r="BF130" i="23141"/>
  <c r="BF110" i="23141"/>
  <c r="BF85" i="23141"/>
  <c r="BE132" i="23141"/>
  <c r="BE112" i="23141"/>
  <c r="BE87" i="23141"/>
  <c r="AT119" i="23141"/>
  <c r="CY46" i="23141"/>
  <c r="BY122" i="23141"/>
  <c r="BU142" i="23141"/>
  <c r="BT142" i="23141"/>
  <c r="BT122" i="23141"/>
  <c r="BT97" i="23141"/>
  <c r="BX56" i="23141"/>
  <c r="CC122" i="23141" s="1"/>
  <c r="BE14" i="23141"/>
  <c r="BK14" i="23141"/>
  <c r="BB130" i="23141"/>
  <c r="BB110" i="23141"/>
  <c r="BH26" i="23141"/>
  <c r="BS22" i="23141"/>
  <c r="BC52" i="23141"/>
  <c r="BD23" i="23141"/>
  <c r="AQ43" i="23141"/>
  <c r="AQ185" i="23140" s="1"/>
  <c r="BD24" i="23141"/>
  <c r="BO27" i="23141"/>
  <c r="AY49" i="23141"/>
  <c r="BJ132" i="23141"/>
  <c r="BJ112" i="23141"/>
  <c r="BJ87" i="23141"/>
  <c r="BP132" i="23141"/>
  <c r="BP112" i="23141"/>
  <c r="BP87" i="23141"/>
  <c r="BH113" i="23141"/>
  <c r="BH133" i="23141"/>
  <c r="BH88" i="23141"/>
  <c r="AZ158" i="23141"/>
  <c r="AZ157" i="23141"/>
  <c r="AZ159" i="23141"/>
  <c r="AZ156" i="23141"/>
  <c r="BQ51" i="23141"/>
  <c r="BQ154" i="23141" s="1"/>
  <c r="AQ44" i="23141"/>
  <c r="AQ52" i="23141" s="1"/>
  <c r="BN52" i="23141"/>
  <c r="DC52" i="23141" s="1"/>
  <c r="AZ45" i="23141"/>
  <c r="AZ180" i="23140" s="1"/>
  <c r="BR119" i="23141"/>
  <c r="BT139" i="23141"/>
  <c r="BR139" i="23141"/>
  <c r="BR94" i="23141"/>
  <c r="AU50" i="23141"/>
  <c r="AU160" i="23141" s="1"/>
  <c r="BR52" i="23141"/>
  <c r="BI56" i="23141"/>
  <c r="CR122" i="23141"/>
  <c r="DC58" i="23141"/>
  <c r="AR132" i="23141"/>
  <c r="AZ141" i="23141"/>
  <c r="AX121" i="23141"/>
  <c r="AX141" i="23141"/>
  <c r="BG142" i="23141"/>
  <c r="BG122" i="23141"/>
  <c r="BG97" i="23141"/>
  <c r="CD104" i="23141"/>
  <c r="BY102" i="23141"/>
  <c r="AZ14" i="23141"/>
  <c r="BF14" i="23141"/>
  <c r="BR14" i="23141"/>
  <c r="AZ96" i="23141"/>
  <c r="AZ95" i="23141"/>
  <c r="BF129" i="23141"/>
  <c r="BF96" i="23141"/>
  <c r="BF109" i="23141"/>
  <c r="BF95" i="23141"/>
  <c r="BL129" i="23141"/>
  <c r="BL96" i="23141"/>
  <c r="BL109" i="23141"/>
  <c r="BL95" i="23141"/>
  <c r="BR129" i="23141"/>
  <c r="BR96" i="23141"/>
  <c r="BR109" i="23141"/>
  <c r="BR95" i="23141"/>
  <c r="BN20" i="23141"/>
  <c r="AV130" i="23141"/>
  <c r="BI20" i="23141"/>
  <c r="BD22" i="23141"/>
  <c r="BC42" i="23141"/>
  <c r="AR43" i="23141"/>
  <c r="AR185" i="23140" s="1"/>
  <c r="BG27" i="23141"/>
  <c r="BP27" i="23141"/>
  <c r="BP177" i="23140" s="1"/>
  <c r="AT33" i="23141"/>
  <c r="AX33" i="23141"/>
  <c r="BD33" i="23141"/>
  <c r="BK132" i="23141"/>
  <c r="BK112" i="23141"/>
  <c r="BK87" i="23141"/>
  <c r="BQ132" i="23141"/>
  <c r="BQ112" i="23141"/>
  <c r="BQ87" i="23141"/>
  <c r="BB133" i="23141"/>
  <c r="BB113" i="23141"/>
  <c r="BB88" i="23141"/>
  <c r="BO133" i="23141"/>
  <c r="BO113" i="23141"/>
  <c r="BO88" i="23141"/>
  <c r="AT41" i="23141"/>
  <c r="BG49" i="23141"/>
  <c r="BG45" i="23141"/>
  <c r="BG180" i="23140" s="1"/>
  <c r="BI41" i="23141"/>
  <c r="BA157" i="23141"/>
  <c r="BA159" i="23141"/>
  <c r="BA156" i="23141"/>
  <c r="BA158" i="23141"/>
  <c r="BR42" i="23141"/>
  <c r="AS51" i="23141"/>
  <c r="BC43" i="23141"/>
  <c r="AZ51" i="23141"/>
  <c r="AZ154" i="23141" s="1"/>
  <c r="BR43" i="23141"/>
  <c r="BR185" i="23140" s="1"/>
  <c r="AR44" i="23141"/>
  <c r="AS44" i="23141" s="1"/>
  <c r="AS52" i="23141" s="1"/>
  <c r="BE45" i="23141"/>
  <c r="BE180" i="23140" s="1"/>
  <c r="BH139" i="23141"/>
  <c r="BM119" i="23141"/>
  <c r="BH119" i="23141"/>
  <c r="BH94" i="23141"/>
  <c r="BH49" i="23141"/>
  <c r="BH48" i="23141"/>
  <c r="BS46" i="23141"/>
  <c r="BS48" i="23141" s="1"/>
  <c r="DA47" i="23141"/>
  <c r="CX48" i="23141"/>
  <c r="AX49" i="23141"/>
  <c r="AZ50" i="23141"/>
  <c r="AZ160" i="23141" s="1"/>
  <c r="BM122" i="23141"/>
  <c r="BM142" i="23141"/>
  <c r="BM97" i="23141"/>
  <c r="DI56" i="23141"/>
  <c r="DD58" i="23141"/>
  <c r="BE96" i="23141"/>
  <c r="BE109" i="23141"/>
  <c r="BE95" i="23141"/>
  <c r="BE94" i="23141"/>
  <c r="BK96" i="23141"/>
  <c r="BK109" i="23141"/>
  <c r="BK129" i="23141"/>
  <c r="BK95" i="23141"/>
  <c r="BQ129" i="23141"/>
  <c r="BQ96" i="23141"/>
  <c r="BQ109" i="23141"/>
  <c r="BQ95" i="23141"/>
  <c r="AX102" i="23141"/>
  <c r="AX104" i="23141" s="1"/>
  <c r="AR149" i="23141"/>
  <c r="AR162" i="23141" s="1"/>
  <c r="BB27" i="23141"/>
  <c r="BB177" i="23140" s="1"/>
  <c r="AQ132" i="23141"/>
  <c r="AW132" i="23141"/>
  <c r="AW112" i="23141"/>
  <c r="BC132" i="23141"/>
  <c r="BO132" i="23141"/>
  <c r="BO112" i="23141"/>
  <c r="AR133" i="23141"/>
  <c r="BJ133" i="23141"/>
  <c r="BJ88" i="23141"/>
  <c r="BJ113" i="23141"/>
  <c r="BP133" i="23141"/>
  <c r="BP113" i="23141"/>
  <c r="BP88" i="23141"/>
  <c r="AP157" i="23141"/>
  <c r="AP159" i="23141"/>
  <c r="AP156" i="23141"/>
  <c r="AP158" i="23141"/>
  <c r="AV157" i="23141"/>
  <c r="AV159" i="23141"/>
  <c r="AV156" i="23141"/>
  <c r="AV158" i="23141"/>
  <c r="BB157" i="23141"/>
  <c r="BB159" i="23141"/>
  <c r="BB156" i="23141"/>
  <c r="BB158" i="23141"/>
  <c r="BT157" i="23141"/>
  <c r="BU157" i="23141" s="1"/>
  <c r="BT159" i="23141"/>
  <c r="BU159" i="23141" s="1"/>
  <c r="BT156" i="23141"/>
  <c r="BT158" i="23141"/>
  <c r="BU158" i="23141" s="1"/>
  <c r="BV158" i="23141" s="1"/>
  <c r="AZ139" i="23141"/>
  <c r="AX139" i="23141"/>
  <c r="AX119" i="23141"/>
  <c r="BC119" i="23141"/>
  <c r="BJ139" i="23141"/>
  <c r="BK139" i="23141"/>
  <c r="BO119" i="23141"/>
  <c r="BJ119" i="23141"/>
  <c r="BJ94" i="23141"/>
  <c r="BI120" i="23141"/>
  <c r="AP50" i="23141"/>
  <c r="AP160" i="23141" s="1"/>
  <c r="AV50" i="23141"/>
  <c r="BB50" i="23141"/>
  <c r="BT50" i="23141"/>
  <c r="BE141" i="23141"/>
  <c r="BC141" i="23141"/>
  <c r="BC121" i="23141"/>
  <c r="BH121" i="23141"/>
  <c r="BC69" i="23141"/>
  <c r="DA69" i="23141" s="1"/>
  <c r="AT122" i="23141"/>
  <c r="BO142" i="23141"/>
  <c r="BO97" i="23141"/>
  <c r="BO122" i="23141"/>
  <c r="DD65" i="23141"/>
  <c r="BS69" i="23141"/>
  <c r="DD69" i="23141" s="1"/>
  <c r="BK94" i="23141"/>
  <c r="AS133" i="23141"/>
  <c r="BE133" i="23141"/>
  <c r="BE113" i="23141"/>
  <c r="BK133" i="23141"/>
  <c r="BK113" i="23141"/>
  <c r="BK88" i="23141"/>
  <c r="BQ133" i="23141"/>
  <c r="BQ113" i="23141"/>
  <c r="BQ88" i="23141"/>
  <c r="AQ159" i="23141"/>
  <c r="AQ156" i="23141"/>
  <c r="AQ157" i="23141"/>
  <c r="AQ158" i="23141"/>
  <c r="AW159" i="23141"/>
  <c r="AW156" i="23141"/>
  <c r="AW158" i="23141"/>
  <c r="AW157" i="23141"/>
  <c r="BO159" i="23141"/>
  <c r="BO156" i="23141"/>
  <c r="BO157" i="23141"/>
  <c r="BO158" i="23141"/>
  <c r="AV45" i="23141"/>
  <c r="AV180" i="23140" s="1"/>
  <c r="BB45" i="23141"/>
  <c r="BB180" i="23140" s="1"/>
  <c r="BT45" i="23141"/>
  <c r="BT180" i="23140" s="1"/>
  <c r="AY119" i="23141"/>
  <c r="BM139" i="23141"/>
  <c r="BL139" i="23141"/>
  <c r="BL119" i="23141"/>
  <c r="AU140" i="23141"/>
  <c r="AS140" i="23141"/>
  <c r="AS148" i="23141"/>
  <c r="BJ148" i="23141"/>
  <c r="BO120" i="23141"/>
  <c r="BK140" i="23141"/>
  <c r="BJ140" i="23141"/>
  <c r="BJ120" i="23141"/>
  <c r="BJ95" i="23141"/>
  <c r="BL49" i="23141"/>
  <c r="AQ50" i="23141"/>
  <c r="AQ160" i="23141" s="1"/>
  <c r="AW50" i="23141"/>
  <c r="AW160" i="23141" s="1"/>
  <c r="BO50" i="23141"/>
  <c r="AX142" i="23141"/>
  <c r="AX122" i="23141"/>
  <c r="BJ142" i="23141"/>
  <c r="BJ122" i="23141"/>
  <c r="BJ97" i="23141"/>
  <c r="BP142" i="23141"/>
  <c r="BU122" i="23141"/>
  <c r="BP122" i="23141"/>
  <c r="BP97" i="23141"/>
  <c r="BU80" i="23141"/>
  <c r="BV79" i="23141"/>
  <c r="BW79" i="23141" s="1"/>
  <c r="BY79" i="23141" s="1"/>
  <c r="BL94" i="23141"/>
  <c r="AZ88" i="23141"/>
  <c r="BF133" i="23141"/>
  <c r="BF113" i="23141"/>
  <c r="BL133" i="23141"/>
  <c r="BL113" i="23141"/>
  <c r="BL88" i="23141"/>
  <c r="BR133" i="23141"/>
  <c r="BR113" i="23141"/>
  <c r="BR88" i="23141"/>
  <c r="BM41" i="23141"/>
  <c r="AR159" i="23141"/>
  <c r="AR156" i="23141"/>
  <c r="AR158" i="23141"/>
  <c r="AR157" i="23141"/>
  <c r="BP159" i="23141"/>
  <c r="BP156" i="23141"/>
  <c r="BP158" i="23141"/>
  <c r="BP157" i="23141"/>
  <c r="AW45" i="23141"/>
  <c r="AW180" i="23140" s="1"/>
  <c r="BO45" i="23141"/>
  <c r="BO180" i="23140" s="1"/>
  <c r="BD119" i="23141"/>
  <c r="BN46" i="23141"/>
  <c r="AT47" i="23141"/>
  <c r="AT188" i="23140" s="1"/>
  <c r="BN47" i="23141"/>
  <c r="BN188" i="23140" s="1"/>
  <c r="BJ48" i="23141"/>
  <c r="AR50" i="23141"/>
  <c r="AR160" i="23141" s="1"/>
  <c r="BP50" i="23141"/>
  <c r="AO152" i="23141"/>
  <c r="AO153" i="23141"/>
  <c r="AO151" i="23141"/>
  <c r="AO154" i="23141"/>
  <c r="BI121" i="23141"/>
  <c r="AY56" i="23141"/>
  <c r="BE122" i="23141"/>
  <c r="BE97" i="23141"/>
  <c r="BK142" i="23141"/>
  <c r="BK122" i="23141"/>
  <c r="BK97" i="23141"/>
  <c r="BQ142" i="23141"/>
  <c r="BQ122" i="23141"/>
  <c r="BQ97" i="23141"/>
  <c r="BV122" i="23141"/>
  <c r="CH122" i="23141"/>
  <c r="DF56" i="23141"/>
  <c r="BD58" i="23141"/>
  <c r="BO87" i="23141"/>
  <c r="BB129" i="23141"/>
  <c r="BB96" i="23141"/>
  <c r="BB95" i="23141"/>
  <c r="BB94" i="23141"/>
  <c r="BH129" i="23141"/>
  <c r="BH96" i="23141"/>
  <c r="BH95" i="23141"/>
  <c r="BT129" i="23141"/>
  <c r="BT96" i="23141"/>
  <c r="BT95" i="23141"/>
  <c r="BT109" i="23141"/>
  <c r="BT94" i="23141"/>
  <c r="BE27" i="23141"/>
  <c r="BE177" i="23140" s="1"/>
  <c r="BK27" i="23141"/>
  <c r="BQ27" i="23141"/>
  <c r="BQ177" i="23140" s="1"/>
  <c r="AZ112" i="23141"/>
  <c r="AZ87" i="23141"/>
  <c r="BF132" i="23141"/>
  <c r="BF112" i="23141"/>
  <c r="BF87" i="23141"/>
  <c r="BL112" i="23141"/>
  <c r="BL132" i="23141"/>
  <c r="BL87" i="23141"/>
  <c r="BR132" i="23141"/>
  <c r="BR112" i="23141"/>
  <c r="BR87" i="23141"/>
  <c r="AU113" i="23141"/>
  <c r="AU133" i="23141"/>
  <c r="BA133" i="23141"/>
  <c r="BA113" i="23141"/>
  <c r="BA88" i="23141"/>
  <c r="BG133" i="23141"/>
  <c r="BG113" i="23141"/>
  <c r="BG88" i="23141"/>
  <c r="BM133" i="23141"/>
  <c r="BM113" i="23141"/>
  <c r="AS42" i="23141"/>
  <c r="AS186" i="23140" s="1"/>
  <c r="BE158" i="23141"/>
  <c r="BE157" i="23141"/>
  <c r="BE159" i="23141"/>
  <c r="BE156" i="23141"/>
  <c r="BK158" i="23141"/>
  <c r="BK159" i="23141"/>
  <c r="BK156" i="23141"/>
  <c r="BK157" i="23141"/>
  <c r="BQ158" i="23141"/>
  <c r="BQ157" i="23141"/>
  <c r="BQ159" i="23141"/>
  <c r="BQ156" i="23141"/>
  <c r="AX43" i="23141"/>
  <c r="AX51" i="23141" s="1"/>
  <c r="BP45" i="23141"/>
  <c r="BP180" i="23140" s="1"/>
  <c r="BG139" i="23141"/>
  <c r="BF119" i="23141"/>
  <c r="BK119" i="23141"/>
  <c r="BF139" i="23141"/>
  <c r="BF94" i="23141"/>
  <c r="BQ139" i="23141"/>
  <c r="BQ119" i="23141"/>
  <c r="BQ94" i="23141"/>
  <c r="CZ46" i="23141"/>
  <c r="AZ140" i="23141"/>
  <c r="AX140" i="23141"/>
  <c r="BC120" i="23141"/>
  <c r="AX120" i="23141"/>
  <c r="DB47" i="23141"/>
  <c r="AS48" i="23141"/>
  <c r="BQ48" i="23141"/>
  <c r="BE50" i="23141"/>
  <c r="BK50" i="23141"/>
  <c r="BQ50" i="23141"/>
  <c r="BQ160" i="23141" s="1"/>
  <c r="AV51" i="23141"/>
  <c r="BB51" i="23141"/>
  <c r="BT51" i="23141"/>
  <c r="BT154" i="23141" s="1"/>
  <c r="AT121" i="23141"/>
  <c r="AT69" i="23141"/>
  <c r="AR65" i="23141"/>
  <c r="BN121" i="23141"/>
  <c r="DA55" i="23141"/>
  <c r="AZ142" i="23141"/>
  <c r="AZ122" i="23141"/>
  <c r="AZ97" i="23141"/>
  <c r="BF122" i="23141"/>
  <c r="BF142" i="23141"/>
  <c r="BF97" i="23141"/>
  <c r="BL142" i="23141"/>
  <c r="BL122" i="23141"/>
  <c r="BL97" i="23141"/>
  <c r="BR122" i="23141"/>
  <c r="BW122" i="23141"/>
  <c r="BR142" i="23141"/>
  <c r="BR97" i="23141"/>
  <c r="CM122" i="23141"/>
  <c r="DG56" i="23141"/>
  <c r="AS65" i="23141"/>
  <c r="CO101" i="23141"/>
  <c r="CP103" i="23141"/>
  <c r="CK104" i="23141"/>
  <c r="CF102" i="23141"/>
  <c r="BE149" i="23141"/>
  <c r="BE162" i="23141" s="1"/>
  <c r="BK149" i="23141"/>
  <c r="BK162" i="23141" s="1"/>
  <c r="BR149" i="23141"/>
  <c r="BR162" i="23141" s="1"/>
  <c r="BL149" i="23141"/>
  <c r="BL162" i="23141" s="1"/>
  <c r="AW162" i="23141"/>
  <c r="BQ149" i="23141"/>
  <c r="BQ162" i="23141" s="1"/>
  <c r="AZ149" i="23141"/>
  <c r="AZ162" i="23141" s="1"/>
  <c r="BF149" i="23141"/>
  <c r="BF162" i="23141" s="1"/>
  <c r="BA162" i="23141"/>
  <c r="AU149" i="23141"/>
  <c r="AU162" i="23141" s="1"/>
  <c r="BG149" i="23141"/>
  <c r="BG162" i="23141" s="1"/>
  <c r="BV148" i="23141"/>
  <c r="AV162" i="23141"/>
  <c r="BH162" i="23141"/>
  <c r="BP162" i="23141"/>
  <c r="BC15" i="23140"/>
  <c r="BP22" i="23140"/>
  <c r="AP56" i="23140"/>
  <c r="BF164" i="23140"/>
  <c r="BF166" i="23140"/>
  <c r="BF165" i="23140"/>
  <c r="BF120" i="23140"/>
  <c r="BF47" i="23140"/>
  <c r="BF56" i="23140"/>
  <c r="BL20" i="23140"/>
  <c r="BM20" i="23140"/>
  <c r="BQ23" i="23140"/>
  <c r="BQ22" i="23140"/>
  <c r="BR23" i="23140"/>
  <c r="BO165" i="23140"/>
  <c r="BO164" i="23140"/>
  <c r="BO166" i="23140"/>
  <c r="BO47" i="23140"/>
  <c r="BO31" i="23140"/>
  <c r="BO56" i="23140"/>
  <c r="BO26" i="23140"/>
  <c r="BO30" i="23140"/>
  <c r="BE14" i="23140"/>
  <c r="AZ15" i="23140"/>
  <c r="BH20" i="23140"/>
  <c r="BR19" i="23140"/>
  <c r="BK22" i="23140"/>
  <c r="AV165" i="23140"/>
  <c r="AV164" i="23140"/>
  <c r="AV166" i="23140"/>
  <c r="AV56" i="23140"/>
  <c r="AV47" i="23140"/>
  <c r="AV30" i="23140"/>
  <c r="BB166" i="23140"/>
  <c r="BB165" i="23140"/>
  <c r="BB164" i="23140"/>
  <c r="BB56" i="23140"/>
  <c r="BB47" i="23140"/>
  <c r="BB31" i="23140"/>
  <c r="BB30" i="23140"/>
  <c r="BF31" i="23140"/>
  <c r="BF32" i="23140"/>
  <c r="BM19" i="23140"/>
  <c r="AW165" i="23140"/>
  <c r="AW164" i="23140"/>
  <c r="AW166" i="23140"/>
  <c r="AW56" i="23140"/>
  <c r="AW47" i="23140"/>
  <c r="AW26" i="23140"/>
  <c r="AX31" i="23140"/>
  <c r="AQ31" i="23140"/>
  <c r="BH32" i="23140"/>
  <c r="BB15" i="23140"/>
  <c r="BC18" i="23140"/>
  <c r="BH19" i="23140"/>
  <c r="BG23" i="23140"/>
  <c r="AO166" i="23140"/>
  <c r="AO165" i="23140"/>
  <c r="AO164" i="23140"/>
  <c r="AO47" i="23140"/>
  <c r="AO56" i="23140"/>
  <c r="CX29" i="23140"/>
  <c r="BR166" i="23140"/>
  <c r="BR165" i="23140"/>
  <c r="BR120" i="23140"/>
  <c r="BR56" i="23140"/>
  <c r="BR47" i="23140"/>
  <c r="BR30" i="23140"/>
  <c r="BF30" i="23140"/>
  <c r="BT30" i="23140"/>
  <c r="BA166" i="23140"/>
  <c r="BA165" i="23140"/>
  <c r="BA164" i="23140"/>
  <c r="BA47" i="23140"/>
  <c r="BA56" i="23140"/>
  <c r="BH166" i="23140"/>
  <c r="BH165" i="23140"/>
  <c r="BH164" i="23140"/>
  <c r="BH47" i="23140"/>
  <c r="BH56" i="23140"/>
  <c r="BT166" i="23140"/>
  <c r="BT165" i="23140"/>
  <c r="BT164" i="23140"/>
  <c r="BT56" i="23140"/>
  <c r="BT47" i="23140"/>
  <c r="BA41" i="23140"/>
  <c r="AU126" i="23140"/>
  <c r="AU82" i="23140"/>
  <c r="AU43" i="23140"/>
  <c r="AX34" i="23140"/>
  <c r="AZ35" i="23140"/>
  <c r="BT126" i="23140"/>
  <c r="AP47" i="23140"/>
  <c r="BA26" i="23140"/>
  <c r="BE164" i="23140"/>
  <c r="BE166" i="23140"/>
  <c r="BE165" i="23140"/>
  <c r="BE56" i="23140"/>
  <c r="BE32" i="23140"/>
  <c r="BE47" i="23140"/>
  <c r="BK164" i="23140"/>
  <c r="BK166" i="23140"/>
  <c r="BK165" i="23140"/>
  <c r="BK56" i="23140"/>
  <c r="BK120" i="23140"/>
  <c r="BK47" i="23140"/>
  <c r="BA30" i="23140"/>
  <c r="BH31" i="23140"/>
  <c r="BK35" i="23140"/>
  <c r="BK38" i="23140" s="1"/>
  <c r="BS35" i="23140"/>
  <c r="BM36" i="23140"/>
  <c r="BM38" i="23140" s="1"/>
  <c r="BE126" i="23140"/>
  <c r="BJ36" i="23140"/>
  <c r="AQ47" i="23140"/>
  <c r="AR126" i="23140"/>
  <c r="AW64" i="23140" s="1"/>
  <c r="AW35" i="23140"/>
  <c r="DA34" i="23140"/>
  <c r="AW126" i="23140"/>
  <c r="BB35" i="23140"/>
  <c r="BS39" i="23140"/>
  <c r="BQ126" i="23140"/>
  <c r="BO46" i="23140"/>
  <c r="BQ45" i="23140"/>
  <c r="BQ46" i="23140"/>
  <c r="BS43" i="23140"/>
  <c r="BQ44" i="23140"/>
  <c r="BR46" i="23140"/>
  <c r="BP46" i="23140"/>
  <c r="DD57" i="23140"/>
  <c r="AZ164" i="23140"/>
  <c r="AZ166" i="23140"/>
  <c r="AZ165" i="23140"/>
  <c r="AZ56" i="23140"/>
  <c r="AZ31" i="23140"/>
  <c r="AZ47" i="23140"/>
  <c r="BG166" i="23140"/>
  <c r="BG165" i="23140"/>
  <c r="BG164" i="23140"/>
  <c r="BG47" i="23140"/>
  <c r="BG56" i="23140"/>
  <c r="BG31" i="23140"/>
  <c r="BM166" i="23140"/>
  <c r="BM165" i="23140"/>
  <c r="BM164" i="23140"/>
  <c r="BM120" i="23140"/>
  <c r="BM47" i="23140"/>
  <c r="BM56" i="23140"/>
  <c r="BK30" i="23140"/>
  <c r="BK31" i="23140"/>
  <c r="BT31" i="23140"/>
  <c r="AS34" i="23140"/>
  <c r="AS126" i="23140" s="1"/>
  <c r="AX64" i="23140" s="1"/>
  <c r="BM41" i="23140"/>
  <c r="BR40" i="23140" s="1"/>
  <c r="BM40" i="23140"/>
  <c r="BP41" i="23140"/>
  <c r="BU60" i="23140"/>
  <c r="BZ49" i="23140"/>
  <c r="BL126" i="23140"/>
  <c r="BL44" i="23140"/>
  <c r="BN43" i="23140"/>
  <c r="BJ46" i="23140"/>
  <c r="BL45" i="23140"/>
  <c r="BM46" i="23140"/>
  <c r="AX56" i="23140"/>
  <c r="BZ76" i="23140"/>
  <c r="BS59" i="23140"/>
  <c r="BM58" i="23140"/>
  <c r="BR58" i="23140"/>
  <c r="BU57" i="23140"/>
  <c r="BU58" i="23140" s="1"/>
  <c r="DD49" i="23140"/>
  <c r="BG58" i="23140"/>
  <c r="BL58" i="23140"/>
  <c r="BJ126" i="23140"/>
  <c r="BJ42" i="23140"/>
  <c r="BB52" i="23140"/>
  <c r="BD57" i="23140"/>
  <c r="BA59" i="23140"/>
  <c r="BF60" i="23140" s="1"/>
  <c r="BH60" i="23140"/>
  <c r="BU52" i="23140"/>
  <c r="BW59" i="23140"/>
  <c r="BW57" i="23140"/>
  <c r="BW58" i="23140" s="1"/>
  <c r="BJ165" i="23140"/>
  <c r="BJ164" i="23140"/>
  <c r="BJ166" i="23140"/>
  <c r="BJ56" i="23140"/>
  <c r="BP165" i="23140"/>
  <c r="BP164" i="23140"/>
  <c r="BP166" i="23140"/>
  <c r="BP56" i="23140"/>
  <c r="BJ30" i="23140"/>
  <c r="BP30" i="23140"/>
  <c r="BJ40" i="23140"/>
  <c r="BN39" i="23140"/>
  <c r="AR43" i="23140"/>
  <c r="AS43" i="23140" s="1"/>
  <c r="BL46" i="23140"/>
  <c r="BI57" i="23140"/>
  <c r="BI59" i="23140"/>
  <c r="CZ49" i="23140"/>
  <c r="AV44" i="23140"/>
  <c r="BH44" i="23140"/>
  <c r="BE45" i="23140"/>
  <c r="BB46" i="23140"/>
  <c r="AW50" i="23140"/>
  <c r="BO50" i="23140"/>
  <c r="BO55" i="23140" s="1"/>
  <c r="BN57" i="23140"/>
  <c r="BS58" i="23140" s="1"/>
  <c r="BO60" i="23140"/>
  <c r="BR60" i="23140"/>
  <c r="AV68" i="23140"/>
  <c r="BO58" i="23140"/>
  <c r="BB58" i="23140"/>
  <c r="BT58" i="23140"/>
  <c r="BK60" i="23140"/>
  <c r="CB76" i="23140"/>
  <c r="BL82" i="23140"/>
  <c r="BW76" i="23140"/>
  <c r="CC66" i="23140"/>
  <c r="BE60" i="23140"/>
  <c r="BX66" i="23140"/>
  <c r="BL75" i="23140"/>
  <c r="BG60" i="23140"/>
  <c r="BM60" i="23140"/>
  <c r="BA120" i="23140"/>
  <c r="BH120" i="23140"/>
  <c r="BP120" i="23140"/>
  <c r="BE106" i="23140"/>
  <c r="BJ106" i="23140"/>
  <c r="BE107" i="23140"/>
  <c r="BK106" i="23140"/>
  <c r="BK107" i="23140"/>
  <c r="BP106" i="23140"/>
  <c r="BQ106" i="23140"/>
  <c r="BQ107" i="23140"/>
  <c r="BE101" i="23140"/>
  <c r="BF102" i="23140"/>
  <c r="BJ101" i="23140"/>
  <c r="BE102" i="23140"/>
  <c r="BK101" i="23140"/>
  <c r="BP101" i="23140"/>
  <c r="BL102" i="23140"/>
  <c r="BK102" i="23140"/>
  <c r="BQ102" i="23140"/>
  <c r="BQ101" i="23140"/>
  <c r="BL107" i="23140"/>
  <c r="BK127" i="23140"/>
  <c r="BA101" i="23140"/>
  <c r="BG101" i="23140"/>
  <c r="BF107" i="23140"/>
  <c r="BB106" i="23140"/>
  <c r="AY112" i="23140"/>
  <c r="BB120" i="23140"/>
  <c r="BJ120" i="23140"/>
  <c r="BC102" i="23140"/>
  <c r="BG107" i="23140"/>
  <c r="BF131" i="23140"/>
  <c r="BE131" i="23140"/>
  <c r="BL131" i="23140"/>
  <c r="BK131" i="23140"/>
  <c r="BT131" i="23140"/>
  <c r="BR131" i="23140"/>
  <c r="BQ131" i="23140"/>
  <c r="BC144" i="23140"/>
  <c r="AY143" i="23140"/>
  <c r="BD144" i="23140" s="1"/>
  <c r="BR164" i="23140"/>
  <c r="BR169" i="23140"/>
  <c r="AY171" i="23140"/>
  <c r="BD171" i="23140"/>
  <c r="BB102" i="23140"/>
  <c r="BO101" i="23140"/>
  <c r="BL106" i="23140"/>
  <c r="BH107" i="23140"/>
  <c r="BE120" i="23140"/>
  <c r="BT120" i="23140"/>
  <c r="BF106" i="23140"/>
  <c r="BT106" i="23140"/>
  <c r="AO132" i="23140"/>
  <c r="CX130" i="23140"/>
  <c r="AV131" i="23140"/>
  <c r="AU131" i="23140"/>
  <c r="BG131" i="23140"/>
  <c r="BM131" i="23140"/>
  <c r="CO131" i="23140"/>
  <c r="CN131" i="23140"/>
  <c r="CQ131" i="23140"/>
  <c r="DI130" i="23140"/>
  <c r="BJ102" i="23140"/>
  <c r="BG102" i="23140"/>
  <c r="AX107" i="23140"/>
  <c r="BG120" i="23140"/>
  <c r="BO120" i="23140"/>
  <c r="AS131" i="23140"/>
  <c r="AS132" i="23140" s="1"/>
  <c r="CL131" i="23140"/>
  <c r="DH130" i="23140"/>
  <c r="BJ131" i="23140"/>
  <c r="AW154" i="23141" l="1"/>
  <c r="DB46" i="23141"/>
  <c r="AW153" i="23141"/>
  <c r="BI49" i="23141"/>
  <c r="BJ50" i="23141"/>
  <c r="BJ53" i="23141" s="1"/>
  <c r="BP151" i="23141"/>
  <c r="BD178" i="23140"/>
  <c r="BO152" i="23141"/>
  <c r="AU138" i="23141"/>
  <c r="AT178" i="23140"/>
  <c r="BO154" i="23141"/>
  <c r="BO153" i="23141"/>
  <c r="AU153" i="23141"/>
  <c r="BO93" i="23141"/>
  <c r="AV110" i="23141"/>
  <c r="AU151" i="23141"/>
  <c r="BJ158" i="23141"/>
  <c r="BP93" i="23141"/>
  <c r="BU93" i="23141" s="1"/>
  <c r="BZ93" i="23141" s="1"/>
  <c r="BG138" i="23141"/>
  <c r="BM42" i="23141"/>
  <c r="BM159" i="23141" s="1"/>
  <c r="BB205" i="23140"/>
  <c r="AV164" i="23086" s="1"/>
  <c r="AI338" i="23083" s="1"/>
  <c r="AI344" i="23083" s="1"/>
  <c r="BP154" i="23141"/>
  <c r="BG153" i="23141"/>
  <c r="BJ156" i="23141"/>
  <c r="BP138" i="23141"/>
  <c r="BJ159" i="23141"/>
  <c r="BP152" i="23141"/>
  <c r="BW133" i="23141"/>
  <c r="BJ93" i="23141"/>
  <c r="BG97" i="23140"/>
  <c r="AR273" i="23083"/>
  <c r="AR262" i="23083"/>
  <c r="AR274" i="23083"/>
  <c r="AY219" i="23140"/>
  <c r="AZ204" i="23140"/>
  <c r="BB204" i="23140" s="1"/>
  <c r="BS178" i="23140"/>
  <c r="BD204" i="23140"/>
  <c r="AX163" i="23086" s="1"/>
  <c r="AK337" i="23083" s="1"/>
  <c r="AK343" i="23083" s="1"/>
  <c r="AU163" i="23086"/>
  <c r="AH337" i="23083" s="1"/>
  <c r="AH343" i="23083" s="1"/>
  <c r="BG109" i="23140"/>
  <c r="BG88" i="23140" s="1"/>
  <c r="BG53" i="23141"/>
  <c r="BF204" i="23140"/>
  <c r="AZ163" i="23086" s="1"/>
  <c r="AM337" i="23083" s="1"/>
  <c r="BJ152" i="23141"/>
  <c r="BN178" i="23140"/>
  <c r="BG98" i="23140"/>
  <c r="AX178" i="23140"/>
  <c r="AW204" i="23140" s="1"/>
  <c r="BT103" i="23140"/>
  <c r="BG115" i="23140"/>
  <c r="BG117" i="23140" s="1"/>
  <c r="BJ45" i="23141"/>
  <c r="BJ180" i="23140" s="1"/>
  <c r="BJ157" i="23141"/>
  <c r="BH205" i="23140"/>
  <c r="AX128" i="23141"/>
  <c r="AY148" i="23141"/>
  <c r="AY149" i="23141" s="1"/>
  <c r="AY162" i="23141" s="1"/>
  <c r="BG151" i="23141"/>
  <c r="BO118" i="23141"/>
  <c r="BG93" i="23141"/>
  <c r="BG152" i="23141"/>
  <c r="AX133" i="23141"/>
  <c r="AX185" i="23140"/>
  <c r="AX211" i="23140" s="1"/>
  <c r="BI56" i="23140"/>
  <c r="BR158" i="23141"/>
  <c r="BR186" i="23140"/>
  <c r="CA101" i="23141"/>
  <c r="BA153" i="23141"/>
  <c r="BN43" i="23141"/>
  <c r="BN185" i="23140" s="1"/>
  <c r="BM185" i="23140"/>
  <c r="BJ153" i="23141"/>
  <c r="AX158" i="23141"/>
  <c r="AX186" i="23140"/>
  <c r="AU110" i="23141"/>
  <c r="BC163" i="23086"/>
  <c r="AP337" i="23083" s="1"/>
  <c r="AP343" i="23083" s="1"/>
  <c r="AW205" i="23140"/>
  <c r="AY205" i="23140" s="1"/>
  <c r="BE205" i="23140"/>
  <c r="AY164" i="23086" s="1"/>
  <c r="BI43" i="23141"/>
  <c r="BI185" i="23140" s="1"/>
  <c r="BH185" i="23140"/>
  <c r="BA154" i="23141"/>
  <c r="CZ47" i="23141"/>
  <c r="BA93" i="23141"/>
  <c r="AU154" i="23141"/>
  <c r="BH158" i="23141"/>
  <c r="BH186" i="23140"/>
  <c r="BD214" i="23140" s="1"/>
  <c r="AK351" i="23083" s="1"/>
  <c r="AK352" i="23083" s="1"/>
  <c r="AT164" i="23086"/>
  <c r="AG338" i="23083" s="1"/>
  <c r="AG344" i="23083" s="1"/>
  <c r="BJ154" i="23141"/>
  <c r="BA151" i="23141"/>
  <c r="BD120" i="23141"/>
  <c r="BC156" i="23141"/>
  <c r="BC186" i="23140"/>
  <c r="BA214" i="23140" s="1"/>
  <c r="AH351" i="23083" s="1"/>
  <c r="AH352" i="23083" s="1"/>
  <c r="AW152" i="23141"/>
  <c r="AW163" i="23141" s="1"/>
  <c r="BA53" i="23141"/>
  <c r="DC39" i="23141"/>
  <c r="BN179" i="23140"/>
  <c r="AP51" i="23141"/>
  <c r="AP152" i="23141" s="1"/>
  <c r="AP185" i="23140"/>
  <c r="BI211" i="23140"/>
  <c r="BU133" i="23141"/>
  <c r="BD43" i="23141"/>
  <c r="BD185" i="23140" s="1"/>
  <c r="BC185" i="23140"/>
  <c r="BA211" i="23140" s="1"/>
  <c r="AX113" i="23141"/>
  <c r="AQ130" i="23141"/>
  <c r="BI113" i="23141"/>
  <c r="BI179" i="23140"/>
  <c r="BQ103" i="23140"/>
  <c r="BM132" i="23140"/>
  <c r="BI165" i="23140"/>
  <c r="AO54" i="23141"/>
  <c r="CX54" i="23141" s="1"/>
  <c r="AO27" i="23141"/>
  <c r="AO64" i="23141" s="1"/>
  <c r="BL32" i="23140"/>
  <c r="BJ32" i="23140"/>
  <c r="BL166" i="23140"/>
  <c r="BH98" i="23140"/>
  <c r="AO16" i="23141"/>
  <c r="AO87" i="23141" s="1"/>
  <c r="BT86" i="23141"/>
  <c r="BT130" i="23141"/>
  <c r="AY120" i="23141"/>
  <c r="BM27" i="23141"/>
  <c r="BM177" i="23140" s="1"/>
  <c r="BC164" i="23086"/>
  <c r="BC180" i="23086" s="1"/>
  <c r="BS122" i="23141"/>
  <c r="DD33" i="23141"/>
  <c r="BJ86" i="23141"/>
  <c r="BM85" i="23141"/>
  <c r="BS112" i="23141"/>
  <c r="DA49" i="23141"/>
  <c r="AN343" i="23083"/>
  <c r="AJ343" i="23083"/>
  <c r="AJ338" i="23083"/>
  <c r="AJ344" i="23083" s="1"/>
  <c r="AZ180" i="23086"/>
  <c r="AM338" i="23083"/>
  <c r="AM344" i="23083" s="1"/>
  <c r="BG64" i="23140"/>
  <c r="BG68" i="23140" s="1"/>
  <c r="BH109" i="23140"/>
  <c r="BH88" i="23140" s="1"/>
  <c r="AS50" i="23140"/>
  <c r="BK32" i="23140"/>
  <c r="BG55" i="23140"/>
  <c r="BG13" i="23140"/>
  <c r="BG17" i="23140" s="1"/>
  <c r="AS52" i="23140"/>
  <c r="BL164" i="23140"/>
  <c r="BL120" i="23140"/>
  <c r="BM122" i="23140" s="1"/>
  <c r="BH103" i="23140"/>
  <c r="BL31" i="23140"/>
  <c r="BL70" i="23140"/>
  <c r="BM31" i="23140"/>
  <c r="BL47" i="23140"/>
  <c r="BU69" i="23140"/>
  <c r="AU164" i="23086"/>
  <c r="AH338" i="23083" s="1"/>
  <c r="AH344" i="23083" s="1"/>
  <c r="DA39" i="23141"/>
  <c r="AZ158" i="23086"/>
  <c r="AZ173" i="23086"/>
  <c r="BL89" i="23141"/>
  <c r="BZ39" i="23141"/>
  <c r="BA115" i="23140"/>
  <c r="BF116" i="23140" s="1"/>
  <c r="BC120" i="23140"/>
  <c r="BE122" i="23140" s="1"/>
  <c r="BL135" i="23141"/>
  <c r="BM108" i="23141"/>
  <c r="BV133" i="23141"/>
  <c r="BA173" i="23086"/>
  <c r="BB172" i="23086"/>
  <c r="BC113" i="23141"/>
  <c r="AW201" i="23140"/>
  <c r="AQ160" i="23086" s="1"/>
  <c r="AW172" i="23086"/>
  <c r="BL111" i="23141"/>
  <c r="BG177" i="23140"/>
  <c r="BH128" i="23141"/>
  <c r="BR110" i="23141"/>
  <c r="BL97" i="23140"/>
  <c r="AX172" i="23086"/>
  <c r="BC130" i="23141"/>
  <c r="BC176" i="23140"/>
  <c r="BR130" i="23141"/>
  <c r="BR176" i="23140"/>
  <c r="BA158" i="23086"/>
  <c r="AX158" i="23086"/>
  <c r="BG64" i="23141"/>
  <c r="BG67" i="23141" s="1"/>
  <c r="BG183" i="23140" s="1"/>
  <c r="AZ132" i="23141"/>
  <c r="DB39" i="23141"/>
  <c r="BM54" i="23141"/>
  <c r="BM57" i="23141" s="1"/>
  <c r="BM60" i="23141" s="1"/>
  <c r="BM71" i="23140"/>
  <c r="BM73" i="23140" s="1"/>
  <c r="AX157" i="23141"/>
  <c r="BG128" i="23141"/>
  <c r="CY39" i="23141"/>
  <c r="AU130" i="23141"/>
  <c r="BF86" i="23141"/>
  <c r="BF177" i="23140"/>
  <c r="BM130" i="23141"/>
  <c r="BM176" i="23140"/>
  <c r="BO90" i="23141"/>
  <c r="BF97" i="23140"/>
  <c r="BQ109" i="23140"/>
  <c r="BQ88" i="23140" s="1"/>
  <c r="BL131" i="23141"/>
  <c r="BK177" i="23140"/>
  <c r="BT111" i="23141"/>
  <c r="BO177" i="23140"/>
  <c r="BM110" i="23141"/>
  <c r="BH176" i="23140"/>
  <c r="AT113" i="23141"/>
  <c r="BD113" i="23141"/>
  <c r="AR160" i="23086"/>
  <c r="BL86" i="23141"/>
  <c r="BL134" i="23141"/>
  <c r="AT26" i="23141"/>
  <c r="AT176" i="23140" s="1"/>
  <c r="DC33" i="23141"/>
  <c r="BN113" i="23141"/>
  <c r="BC173" i="23086"/>
  <c r="CA39" i="23141"/>
  <c r="BF23" i="23140"/>
  <c r="BB19" i="23140"/>
  <c r="BO19" i="23140"/>
  <c r="BF89" i="23141"/>
  <c r="BF115" i="23141"/>
  <c r="AZ64" i="23141"/>
  <c r="AZ91" i="23141" s="1"/>
  <c r="BP20" i="23140"/>
  <c r="BR132" i="23140"/>
  <c r="BC109" i="23140"/>
  <c r="BC88" i="23140" s="1"/>
  <c r="BO32" i="23140"/>
  <c r="BO20" i="23140"/>
  <c r="BP78" i="23140"/>
  <c r="BU78" i="23140" s="1"/>
  <c r="BF98" i="23140"/>
  <c r="BU75" i="23140"/>
  <c r="BU73" i="23140" s="1"/>
  <c r="AY11" i="23140"/>
  <c r="BG19" i="23140"/>
  <c r="BM17" i="23140"/>
  <c r="BM78" i="23140"/>
  <c r="BM82" i="23140" s="1"/>
  <c r="BM84" i="23140" s="1"/>
  <c r="BL56" i="23140"/>
  <c r="BK97" i="23140"/>
  <c r="BB127" i="23140"/>
  <c r="BG128" i="23140" s="1"/>
  <c r="BH30" i="23140"/>
  <c r="BP42" i="23140"/>
  <c r="BM32" i="23140"/>
  <c r="BL30" i="23140"/>
  <c r="BL165" i="23140"/>
  <c r="BR128" i="23140"/>
  <c r="BP128" i="23140"/>
  <c r="AX115" i="23140"/>
  <c r="BT42" i="23140"/>
  <c r="BN127" i="23140"/>
  <c r="BS128" i="23140" s="1"/>
  <c r="BI41" i="23140"/>
  <c r="BN35" i="23140" s="1"/>
  <c r="BG22" i="23140"/>
  <c r="AW109" i="23140"/>
  <c r="AW88" i="23140" s="1"/>
  <c r="BJ12" i="23140"/>
  <c r="BL117" i="23140"/>
  <c r="BB97" i="23140"/>
  <c r="BO126" i="23140"/>
  <c r="BO127" i="23140" s="1"/>
  <c r="AX109" i="23140"/>
  <c r="AX88" i="23140" s="1"/>
  <c r="BA98" i="23140"/>
  <c r="BQ98" i="23140"/>
  <c r="BB98" i="23140"/>
  <c r="BC41" i="23140"/>
  <c r="BH42" i="23140" s="1"/>
  <c r="AZ109" i="23140"/>
  <c r="AZ88" i="23140" s="1"/>
  <c r="CD49" i="23140"/>
  <c r="CD59" i="23140" s="1"/>
  <c r="CI49" i="23140" s="1"/>
  <c r="CI59" i="23140" s="1"/>
  <c r="BJ22" i="23140"/>
  <c r="BE198" i="23140"/>
  <c r="AY157" i="23086" s="1"/>
  <c r="BJ13" i="23140"/>
  <c r="BA109" i="23140"/>
  <c r="BA88" i="23140" s="1"/>
  <c r="BQ97" i="23140"/>
  <c r="BX57" i="23140"/>
  <c r="BQ56" i="23140"/>
  <c r="BB109" i="23140"/>
  <c r="BB88" i="23140" s="1"/>
  <c r="BP71" i="23140"/>
  <c r="BP73" i="23140" s="1"/>
  <c r="BA32" i="23140"/>
  <c r="BC164" i="23140"/>
  <c r="BE98" i="23140"/>
  <c r="BC31" i="23140"/>
  <c r="BC165" i="23140"/>
  <c r="AZ32" i="23140"/>
  <c r="BC32" i="23140"/>
  <c r="AW98" i="23140"/>
  <c r="BB103" i="23140"/>
  <c r="BC103" i="23140"/>
  <c r="BC115" i="23140"/>
  <c r="BH116" i="23140" s="1"/>
  <c r="BB115" i="23140"/>
  <c r="BE40" i="23140"/>
  <c r="AV103" i="23140"/>
  <c r="BL109" i="23140"/>
  <c r="BL88" i="23140" s="1"/>
  <c r="BA97" i="23140"/>
  <c r="BP97" i="23140"/>
  <c r="BS64" i="23140"/>
  <c r="BD26" i="23140"/>
  <c r="BC30" i="23140"/>
  <c r="BJ20" i="23140"/>
  <c r="BK98" i="23140"/>
  <c r="BS51" i="23140"/>
  <c r="BH198" i="23140"/>
  <c r="BB157" i="23086" s="1"/>
  <c r="BK103" i="23140"/>
  <c r="BR68" i="23140"/>
  <c r="BR71" i="23140" s="1"/>
  <c r="BC47" i="23140"/>
  <c r="BC56" i="23140"/>
  <c r="BB32" i="23140"/>
  <c r="BL98" i="23140"/>
  <c r="BC166" i="23140"/>
  <c r="BE31" i="23140"/>
  <c r="BP55" i="23140"/>
  <c r="BQ165" i="23140"/>
  <c r="BA108" i="23141"/>
  <c r="AV16" i="23141"/>
  <c r="AV175" i="23140" s="1"/>
  <c r="BJ103" i="23140"/>
  <c r="BR31" i="23140"/>
  <c r="BN26" i="23140"/>
  <c r="BQ120" i="23140"/>
  <c r="BQ122" i="23140" s="1"/>
  <c r="BQ31" i="23140"/>
  <c r="BP32" i="23140"/>
  <c r="CL102" i="23141"/>
  <c r="BK109" i="23140"/>
  <c r="BK88" i="23140" s="1"/>
  <c r="BP98" i="23140"/>
  <c r="BT97" i="23140"/>
  <c r="BQ47" i="23140"/>
  <c r="BQ164" i="23140"/>
  <c r="BD29" i="23140"/>
  <c r="BD47" i="23140" s="1"/>
  <c r="BR32" i="23140"/>
  <c r="DB29" i="23140"/>
  <c r="BQ32" i="23140"/>
  <c r="BT162" i="23141"/>
  <c r="BN48" i="23141"/>
  <c r="DC48" i="23141" s="1"/>
  <c r="BF64" i="23141"/>
  <c r="BF91" i="23141" s="1"/>
  <c r="BH97" i="23140"/>
  <c r="BI44" i="23140"/>
  <c r="BB20" i="23140"/>
  <c r="BJ109" i="23140"/>
  <c r="BJ88" i="23140" s="1"/>
  <c r="BI47" i="23140"/>
  <c r="BJ38" i="23140"/>
  <c r="BK23" i="23140"/>
  <c r="AV132" i="23140"/>
  <c r="BP109" i="23140"/>
  <c r="BP88" i="23140" s="1"/>
  <c r="BN60" i="23140"/>
  <c r="BS50" i="23140"/>
  <c r="BF40" i="23140"/>
  <c r="BO13" i="23140"/>
  <c r="BI166" i="23140"/>
  <c r="DC11" i="23140"/>
  <c r="BX79" i="23141"/>
  <c r="BB135" i="23141"/>
  <c r="BF135" i="23141"/>
  <c r="BF90" i="23141"/>
  <c r="BN122" i="23141"/>
  <c r="BO97" i="23140"/>
  <c r="BO115" i="23140"/>
  <c r="BT116" i="23140" s="1"/>
  <c r="BJ98" i="23140"/>
  <c r="BK73" i="23140"/>
  <c r="BF42" i="23140"/>
  <c r="BB128" i="23141"/>
  <c r="BB54" i="23141"/>
  <c r="BB57" i="23141" s="1"/>
  <c r="BB59" i="23141" s="1"/>
  <c r="BG108" i="23141"/>
  <c r="BA78" i="23140"/>
  <c r="BA82" i="23140" s="1"/>
  <c r="BQ64" i="23141"/>
  <c r="BQ91" i="23141" s="1"/>
  <c r="BQ89" i="23141"/>
  <c r="BQ90" i="23141"/>
  <c r="DD39" i="23141"/>
  <c r="BS113" i="23141"/>
  <c r="AW110" i="23141"/>
  <c r="AR130" i="23141"/>
  <c r="BB122" i="23140"/>
  <c r="BK42" i="23140"/>
  <c r="BP35" i="23140"/>
  <c r="BP38" i="23140" s="1"/>
  <c r="BP40" i="23140"/>
  <c r="AX54" i="23141"/>
  <c r="AX57" i="23141" s="1"/>
  <c r="AX60" i="23141" s="1"/>
  <c r="AX63" i="23141" s="1"/>
  <c r="BO38" i="23140"/>
  <c r="BQ38" i="23140"/>
  <c r="BL103" i="23140"/>
  <c r="BP132" i="23140"/>
  <c r="BJ19" i="23140"/>
  <c r="BK114" i="23141"/>
  <c r="BF114" i="23141"/>
  <c r="BL90" i="23141"/>
  <c r="BL64" i="23141"/>
  <c r="BP115" i="23141"/>
  <c r="AZ133" i="23141"/>
  <c r="BA115" i="23141"/>
  <c r="BK115" i="23141"/>
  <c r="BK64" i="23141"/>
  <c r="BK91" i="23141" s="1"/>
  <c r="BQ114" i="23141"/>
  <c r="BK89" i="23141"/>
  <c r="BD52" i="23141"/>
  <c r="DA52" i="23141" s="1"/>
  <c r="BG115" i="23141"/>
  <c r="AS151" i="23141"/>
  <c r="BQ115" i="23141"/>
  <c r="BK90" i="23141"/>
  <c r="AU53" i="23141"/>
  <c r="BT115" i="23141"/>
  <c r="BC157" i="23141"/>
  <c r="AZ90" i="23141"/>
  <c r="BL115" i="23141"/>
  <c r="AZ115" i="23141"/>
  <c r="BH156" i="23141"/>
  <c r="AX45" i="23141"/>
  <c r="AX180" i="23140" s="1"/>
  <c r="AX206" i="23140" s="1"/>
  <c r="BV149" i="23141"/>
  <c r="BV162" i="23141" s="1"/>
  <c r="AP45" i="23141"/>
  <c r="AP180" i="23140" s="1"/>
  <c r="BG135" i="23141"/>
  <c r="BQ53" i="23141"/>
  <c r="BE130" i="23141"/>
  <c r="BL53" i="23141"/>
  <c r="BA164" i="23141"/>
  <c r="BI26" i="23141"/>
  <c r="BI176" i="23140" s="1"/>
  <c r="BA138" i="23141"/>
  <c r="BE115" i="23141"/>
  <c r="BJ118" i="23141"/>
  <c r="BC110" i="23141"/>
  <c r="BF134" i="23141"/>
  <c r="BE64" i="23141"/>
  <c r="BQ135" i="23141"/>
  <c r="DB49" i="23141"/>
  <c r="BI42" i="23141"/>
  <c r="BP90" i="23141"/>
  <c r="BJ111" i="23141"/>
  <c r="AW53" i="23141"/>
  <c r="AY20" i="23141"/>
  <c r="AY26" i="23141" s="1"/>
  <c r="AY176" i="23140" s="1"/>
  <c r="BO64" i="23141"/>
  <c r="BO91" i="23141" s="1"/>
  <c r="BE103" i="23140"/>
  <c r="BE109" i="23140"/>
  <c r="BE88" i="23140" s="1"/>
  <c r="AS53" i="23140"/>
  <c r="AX14" i="23140"/>
  <c r="BT53" i="23140"/>
  <c r="BV59" i="23140"/>
  <c r="BV60" i="23140" s="1"/>
  <c r="AX50" i="23140"/>
  <c r="AX15" i="23140"/>
  <c r="BV57" i="23140"/>
  <c r="BV58" i="23140" s="1"/>
  <c r="AT49" i="23140"/>
  <c r="CY49" i="23140" s="1"/>
  <c r="AU15" i="23140"/>
  <c r="BW52" i="23140"/>
  <c r="BK132" i="23140"/>
  <c r="BF109" i="23140"/>
  <c r="BF88" i="23140" s="1"/>
  <c r="BE115" i="23140"/>
  <c r="BF117" i="23140" s="1"/>
  <c r="BY57" i="23140"/>
  <c r="BY58" i="23140" s="1"/>
  <c r="BU53" i="23140"/>
  <c r="AR53" i="23140"/>
  <c r="BJ97" i="23140"/>
  <c r="BY52" i="23140"/>
  <c r="AP53" i="23140"/>
  <c r="BW53" i="23140"/>
  <c r="DE49" i="23140"/>
  <c r="BV53" i="23140"/>
  <c r="BX50" i="23140"/>
  <c r="AZ14" i="23140"/>
  <c r="BB197" i="23140"/>
  <c r="AV156" i="23086" s="1"/>
  <c r="AY172" i="23086" s="1"/>
  <c r="BV52" i="23140"/>
  <c r="AU52" i="23140"/>
  <c r="BA198" i="23140"/>
  <c r="AU157" i="23086" s="1"/>
  <c r="AX173" i="23086" s="1"/>
  <c r="CZ57" i="23140"/>
  <c r="BD50" i="23140"/>
  <c r="BL35" i="23140"/>
  <c r="BG42" i="23140"/>
  <c r="BL36" i="23140"/>
  <c r="BG132" i="23140"/>
  <c r="BX60" i="23140"/>
  <c r="BB199" i="23140"/>
  <c r="AZ198" i="23140"/>
  <c r="AT157" i="23086" s="1"/>
  <c r="AT158" i="23086" s="1"/>
  <c r="BQ55" i="23140"/>
  <c r="BQ26" i="23140"/>
  <c r="BS26" i="23140" s="1"/>
  <c r="BQ30" i="23140"/>
  <c r="BA73" i="23140"/>
  <c r="BL40" i="23140"/>
  <c r="BL42" i="23140"/>
  <c r="BO21" i="23140"/>
  <c r="BT36" i="23140"/>
  <c r="BT38" i="23140" s="1"/>
  <c r="BO42" i="23140"/>
  <c r="BT40" i="23140"/>
  <c r="AX26" i="23140"/>
  <c r="AW199" i="23140"/>
  <c r="AX199" i="23140"/>
  <c r="AX202" i="23140" s="1"/>
  <c r="BP69" i="23140"/>
  <c r="BK78" i="23140"/>
  <c r="BQ17" i="23140"/>
  <c r="BX64" i="23140"/>
  <c r="BW68" i="23140"/>
  <c r="BN21" i="23140"/>
  <c r="DC21" i="23140" s="1"/>
  <c r="BM15" i="23140"/>
  <c r="BL15" i="23140"/>
  <c r="BK72" i="23140"/>
  <c r="AW197" i="23140"/>
  <c r="AQ156" i="23086" s="1"/>
  <c r="AX197" i="23140"/>
  <c r="AR156" i="23086" s="1"/>
  <c r="BP115" i="23140"/>
  <c r="BP103" i="23140"/>
  <c r="AX98" i="23140"/>
  <c r="AX103" i="23140"/>
  <c r="BG38" i="23140"/>
  <c r="BJ23" i="23140"/>
  <c r="BO12" i="23140"/>
  <c r="AV15" i="23140"/>
  <c r="AZ126" i="23140"/>
  <c r="BE127" i="23140" s="1"/>
  <c r="AZ21" i="23140"/>
  <c r="BE35" i="23140"/>
  <c r="BE36" i="23140"/>
  <c r="BC97" i="23140"/>
  <c r="AX118" i="23141"/>
  <c r="AX138" i="23141"/>
  <c r="AX153" i="23141"/>
  <c r="AX152" i="23141"/>
  <c r="AX151" i="23141"/>
  <c r="BD122" i="23141"/>
  <c r="DA56" i="23141"/>
  <c r="DD48" i="23141"/>
  <c r="AT112" i="23141"/>
  <c r="CY33" i="23141"/>
  <c r="CZ49" i="23141"/>
  <c r="BF131" i="23141"/>
  <c r="CD103" i="23141"/>
  <c r="CB101" i="23141"/>
  <c r="BB152" i="23141"/>
  <c r="BB153" i="23141"/>
  <c r="BB138" i="23141"/>
  <c r="BB151" i="23141"/>
  <c r="BB118" i="23141"/>
  <c r="BB93" i="23141"/>
  <c r="BB64" i="23141"/>
  <c r="BE142" i="23141"/>
  <c r="BP160" i="23141"/>
  <c r="BP164" i="23141" s="1"/>
  <c r="BP53" i="23141"/>
  <c r="AR164" i="23141"/>
  <c r="BO160" i="23141"/>
  <c r="BO164" i="23141" s="1"/>
  <c r="BB154" i="23141"/>
  <c r="BB160" i="23141"/>
  <c r="BB164" i="23141" s="1"/>
  <c r="BB53" i="23141"/>
  <c r="AW135" i="23141"/>
  <c r="BO53" i="23141"/>
  <c r="BE114" i="23141"/>
  <c r="BE89" i="23141"/>
  <c r="AQ45" i="23141"/>
  <c r="AQ180" i="23140" s="1"/>
  <c r="BR108" i="23141"/>
  <c r="BR27" i="23141"/>
  <c r="BR177" i="23140" s="1"/>
  <c r="BR54" i="23141"/>
  <c r="BR57" i="23141" s="1"/>
  <c r="BQ153" i="23141"/>
  <c r="BQ151" i="23141"/>
  <c r="BQ138" i="23141"/>
  <c r="BQ118" i="23141"/>
  <c r="BQ152" i="23141"/>
  <c r="BQ93" i="23141"/>
  <c r="BV93" i="23141" s="1"/>
  <c r="BK128" i="23141"/>
  <c r="BK108" i="23141"/>
  <c r="BK54" i="23141"/>
  <c r="BK57" i="23141" s="1"/>
  <c r="BH159" i="23141"/>
  <c r="BH45" i="23141"/>
  <c r="BH180" i="23140" s="1"/>
  <c r="BH50" i="23141"/>
  <c r="BH160" i="23141" s="1"/>
  <c r="BP128" i="23141"/>
  <c r="BP108" i="23141"/>
  <c r="BP54" i="23141"/>
  <c r="BP57" i="23141" s="1"/>
  <c r="CX45" i="23141"/>
  <c r="BO108" i="23141"/>
  <c r="BO128" i="23141"/>
  <c r="BO54" i="23141"/>
  <c r="BO57" i="23141" s="1"/>
  <c r="BM51" i="23141"/>
  <c r="BA128" i="23141"/>
  <c r="AZ53" i="23141"/>
  <c r="BT108" i="23141"/>
  <c r="BH54" i="23141"/>
  <c r="BH57" i="23141" s="1"/>
  <c r="AV60" i="23141"/>
  <c r="AV59" i="23141"/>
  <c r="BA131" i="23141"/>
  <c r="BA86" i="23141"/>
  <c r="CP101" i="23141"/>
  <c r="CQ103" i="23141"/>
  <c r="CQ101" i="23141" s="1"/>
  <c r="AT65" i="23141"/>
  <c r="AV152" i="23141"/>
  <c r="AV138" i="23141"/>
  <c r="AV153" i="23141"/>
  <c r="AV151" i="23141"/>
  <c r="AX154" i="23141"/>
  <c r="AY43" i="23141"/>
  <c r="AY51" i="23141" s="1"/>
  <c r="DA58" i="23141"/>
  <c r="BN119" i="23141"/>
  <c r="DC46" i="23141"/>
  <c r="BT114" i="23141"/>
  <c r="BT89" i="23141"/>
  <c r="BU45" i="23141"/>
  <c r="BT90" i="23141"/>
  <c r="AV154" i="23141"/>
  <c r="AQ164" i="23141"/>
  <c r="AV160" i="23141"/>
  <c r="AV164" i="23141" s="1"/>
  <c r="AV53" i="23141"/>
  <c r="BW158" i="23141"/>
  <c r="BB131" i="23141"/>
  <c r="BB86" i="23141"/>
  <c r="AS153" i="23141"/>
  <c r="AS152" i="23141"/>
  <c r="DA33" i="23141"/>
  <c r="BP131" i="23141"/>
  <c r="BP111" i="23141"/>
  <c r="BP86" i="23141"/>
  <c r="AR52" i="23141"/>
  <c r="BI122" i="23141"/>
  <c r="DB56" i="23141"/>
  <c r="BO111" i="23141"/>
  <c r="BO86" i="23141"/>
  <c r="BH130" i="23141"/>
  <c r="BH110" i="23141"/>
  <c r="BH85" i="23141"/>
  <c r="BE108" i="23141"/>
  <c r="BE54" i="23141"/>
  <c r="BE57" i="23141" s="1"/>
  <c r="BJ128" i="23141"/>
  <c r="BJ108" i="23141"/>
  <c r="BJ54" i="23141"/>
  <c r="BJ57" i="23141" s="1"/>
  <c r="AY44" i="23141"/>
  <c r="AY52" i="23141" s="1"/>
  <c r="CZ52" i="23141" s="1"/>
  <c r="CG39" i="23141"/>
  <c r="BI112" i="23141"/>
  <c r="DB33" i="23141"/>
  <c r="BK153" i="23141"/>
  <c r="BK151" i="23141"/>
  <c r="BK152" i="23141"/>
  <c r="BK138" i="23141"/>
  <c r="BK118" i="23141"/>
  <c r="BK93" i="23141"/>
  <c r="AX159" i="23141"/>
  <c r="AX50" i="23141"/>
  <c r="AX160" i="23141" s="1"/>
  <c r="BR49" i="23141"/>
  <c r="BR45" i="23141"/>
  <c r="BR180" i="23140" s="1"/>
  <c r="BS41" i="23141"/>
  <c r="BT128" i="23141"/>
  <c r="AZ86" i="23141"/>
  <c r="AW134" i="23141"/>
  <c r="BQ164" i="23141"/>
  <c r="BN120" i="23141"/>
  <c r="DC47" i="23141"/>
  <c r="BM49" i="23141"/>
  <c r="BJ149" i="23141"/>
  <c r="BJ162" i="23141" s="1"/>
  <c r="BB134" i="23141"/>
  <c r="BB114" i="23141"/>
  <c r="BB89" i="23141"/>
  <c r="AP164" i="23141"/>
  <c r="BR51" i="23141"/>
  <c r="AS154" i="23141"/>
  <c r="AX132" i="23141"/>
  <c r="AX112" i="23141"/>
  <c r="BG131" i="23141"/>
  <c r="BG111" i="23141"/>
  <c r="BG86" i="23141"/>
  <c r="BC159" i="23141"/>
  <c r="BC45" i="23141"/>
  <c r="BC180" i="23140" s="1"/>
  <c r="BA206" i="23140" s="1"/>
  <c r="BA207" i="23140" s="1"/>
  <c r="BC50" i="23141"/>
  <c r="BN26" i="23141"/>
  <c r="BN176" i="23140" s="1"/>
  <c r="BF108" i="23141"/>
  <c r="BF128" i="23141"/>
  <c r="BF54" i="23141"/>
  <c r="BF57" i="23141" s="1"/>
  <c r="BF152" i="23141"/>
  <c r="BF153" i="23141"/>
  <c r="BF138" i="23141"/>
  <c r="BF151" i="23141"/>
  <c r="BF93" i="23141"/>
  <c r="BF118" i="23141"/>
  <c r="BA114" i="23141"/>
  <c r="BA134" i="23141"/>
  <c r="BA89" i="23141"/>
  <c r="AT44" i="23141"/>
  <c r="AT52" i="23141" s="1"/>
  <c r="AW138" i="23141"/>
  <c r="BL164" i="23141"/>
  <c r="BS43" i="23141"/>
  <c r="BS185" i="23140" s="1"/>
  <c r="BF164" i="23141"/>
  <c r="DB48" i="23141"/>
  <c r="AW128" i="23141"/>
  <c r="AW54" i="23141"/>
  <c r="AW57" i="23141" s="1"/>
  <c r="AW16" i="23141"/>
  <c r="AW175" i="23140" s="1"/>
  <c r="BS52" i="23141"/>
  <c r="DD52" i="23141" s="1"/>
  <c r="AY42" i="23141"/>
  <c r="AY186" i="23140" s="1"/>
  <c r="AX130" i="23141"/>
  <c r="AX110" i="23141"/>
  <c r="BE160" i="23141"/>
  <c r="BE164" i="23141" s="1"/>
  <c r="BE53" i="23141"/>
  <c r="BE111" i="23141"/>
  <c r="BE86" i="23141"/>
  <c r="BS119" i="23141"/>
  <c r="DD46" i="23141"/>
  <c r="AT49" i="23141"/>
  <c r="CY49" i="23141" s="1"/>
  <c r="AY48" i="23141"/>
  <c r="AY33" i="23141"/>
  <c r="AY178" i="23140" s="1"/>
  <c r="BC142" i="23141"/>
  <c r="BC122" i="23141"/>
  <c r="AO160" i="23141"/>
  <c r="AO164" i="23141" s="1"/>
  <c r="CX50" i="23141"/>
  <c r="AS158" i="23141"/>
  <c r="AS157" i="23141"/>
  <c r="AS159" i="23141"/>
  <c r="AS156" i="23141"/>
  <c r="AS50" i="23141"/>
  <c r="AS160" i="23141" s="1"/>
  <c r="AT42" i="23141"/>
  <c r="AT186" i="23140" s="1"/>
  <c r="AS45" i="23141"/>
  <c r="AS180" i="23140" s="1"/>
  <c r="BW148" i="23141"/>
  <c r="BP134" i="23141"/>
  <c r="BP114" i="23141"/>
  <c r="BP89" i="23141"/>
  <c r="BQ131" i="23141"/>
  <c r="BQ111" i="23141"/>
  <c r="BQ86" i="23141"/>
  <c r="AY122" i="23141"/>
  <c r="CZ56" i="23141"/>
  <c r="BG118" i="23141"/>
  <c r="BA118" i="23141"/>
  <c r="AO163" i="23141"/>
  <c r="AT120" i="23141"/>
  <c r="CY47" i="23141"/>
  <c r="BZ79" i="23141"/>
  <c r="CA79" i="23141" s="1"/>
  <c r="CB79" i="23141" s="1"/>
  <c r="CD79" i="23141" s="1"/>
  <c r="BJ160" i="23141"/>
  <c r="AV134" i="23141"/>
  <c r="AW164" i="23141"/>
  <c r="BV159" i="23141"/>
  <c r="BC112" i="23141"/>
  <c r="BN148" i="23141"/>
  <c r="BE90" i="23141"/>
  <c r="AZ152" i="23141"/>
  <c r="AZ151" i="23141"/>
  <c r="AZ153" i="23141"/>
  <c r="AZ138" i="23141"/>
  <c r="AZ118" i="23141"/>
  <c r="AZ93" i="23141"/>
  <c r="BR159" i="23141"/>
  <c r="BR50" i="23141"/>
  <c r="BR160" i="23141" s="1"/>
  <c r="BS42" i="23141"/>
  <c r="BG134" i="23141"/>
  <c r="BG114" i="23141"/>
  <c r="BG89" i="23141"/>
  <c r="BB115" i="23141"/>
  <c r="AZ128" i="23141"/>
  <c r="AZ54" i="23141"/>
  <c r="AZ57" i="23141" s="1"/>
  <c r="AZ114" i="23141"/>
  <c r="AZ89" i="23141"/>
  <c r="BD42" i="23141"/>
  <c r="BP135" i="23141"/>
  <c r="AQ51" i="23141"/>
  <c r="AQ53" i="23141" s="1"/>
  <c r="AT43" i="23141"/>
  <c r="AT185" i="23140" s="1"/>
  <c r="BR156" i="23141"/>
  <c r="BN41" i="23141"/>
  <c r="BH157" i="23141"/>
  <c r="BP118" i="23141"/>
  <c r="BF154" i="23141"/>
  <c r="BY133" i="23141"/>
  <c r="CD39" i="23141"/>
  <c r="BP64" i="23141"/>
  <c r="BE153" i="23141"/>
  <c r="BE151" i="23141"/>
  <c r="BE118" i="23141"/>
  <c r="BE152" i="23141"/>
  <c r="BE93" i="23141"/>
  <c r="BS26" i="23141"/>
  <c r="BS176" i="23140" s="1"/>
  <c r="BK154" i="23141"/>
  <c r="BA90" i="23141"/>
  <c r="BL152" i="23141"/>
  <c r="BL138" i="23141"/>
  <c r="BL151" i="23141"/>
  <c r="BL153" i="23141"/>
  <c r="BL118" i="23141"/>
  <c r="BL93" i="23141"/>
  <c r="AU164" i="23141"/>
  <c r="BH27" i="23141"/>
  <c r="BG60" i="23141"/>
  <c r="BG59" i="23141"/>
  <c r="BJ130" i="23141"/>
  <c r="AT48" i="23141"/>
  <c r="AZ130" i="23141"/>
  <c r="BL114" i="23141"/>
  <c r="BD26" i="23141"/>
  <c r="BD176" i="23140" s="1"/>
  <c r="BT152" i="23141"/>
  <c r="BU152" i="23141" s="1"/>
  <c r="BT153" i="23141"/>
  <c r="BU153" i="23141" s="1"/>
  <c r="BT118" i="23141"/>
  <c r="BT151" i="23141"/>
  <c r="BT93" i="23141"/>
  <c r="BY93" i="23141" s="1"/>
  <c r="BT160" i="23141"/>
  <c r="BT164" i="23141" s="1"/>
  <c r="BT53" i="23141"/>
  <c r="AR51" i="23141"/>
  <c r="CI104" i="23141"/>
  <c r="CD102" i="23141"/>
  <c r="BU112" i="23141"/>
  <c r="BV33" i="23141"/>
  <c r="BT60" i="23141"/>
  <c r="BT59" i="23141"/>
  <c r="CP104" i="23141"/>
  <c r="CP102" i="23141" s="1"/>
  <c r="CK102" i="23141"/>
  <c r="BK160" i="23141"/>
  <c r="BK164" i="23141" s="1"/>
  <c r="BK53" i="23141"/>
  <c r="BS120" i="23141"/>
  <c r="BK131" i="23141"/>
  <c r="BK111" i="23141"/>
  <c r="BK86" i="23141"/>
  <c r="BT64" i="23141"/>
  <c r="BO89" i="23141"/>
  <c r="BU81" i="23141"/>
  <c r="BV80" i="23141"/>
  <c r="BW80" i="23141" s="1"/>
  <c r="BY80" i="23141" s="1"/>
  <c r="AS149" i="23141"/>
  <c r="AS162" i="23141" s="1"/>
  <c r="BV157" i="23141"/>
  <c r="BC51" i="23141"/>
  <c r="BC158" i="23141"/>
  <c r="AZ164" i="23141"/>
  <c r="BR157" i="23141"/>
  <c r="BX122" i="23141"/>
  <c r="DE56" i="23141"/>
  <c r="AR45" i="23141"/>
  <c r="AR180" i="23140" s="1"/>
  <c r="BG164" i="23141"/>
  <c r="AV135" i="23141"/>
  <c r="BF53" i="23141"/>
  <c r="BH51" i="23141"/>
  <c r="BI51" i="23141" s="1"/>
  <c r="BA135" i="23141"/>
  <c r="AS130" i="23141"/>
  <c r="AT148" i="23141"/>
  <c r="BG90" i="23141"/>
  <c r="BA64" i="23141"/>
  <c r="BA60" i="23141"/>
  <c r="BA59" i="23141"/>
  <c r="BH122" i="23141"/>
  <c r="AY121" i="23141"/>
  <c r="CZ55" i="23141"/>
  <c r="AY69" i="23141"/>
  <c r="BL154" i="23141"/>
  <c r="AY113" i="23141"/>
  <c r="CZ39" i="23141"/>
  <c r="AX149" i="23141"/>
  <c r="AX162" i="23141" s="1"/>
  <c r="BB90" i="23141"/>
  <c r="BB108" i="23141"/>
  <c r="BN112" i="23141"/>
  <c r="BQ134" i="23141"/>
  <c r="BF111" i="23141"/>
  <c r="BJ117" i="23140"/>
  <c r="BK116" i="23140"/>
  <c r="BK117" i="23140"/>
  <c r="BN50" i="23140"/>
  <c r="BI11" i="23140"/>
  <c r="AR46" i="23140"/>
  <c r="AR29" i="23140"/>
  <c r="AP46" i="23140"/>
  <c r="AR45" i="23140"/>
  <c r="AT43" i="23140"/>
  <c r="AW44" i="23140"/>
  <c r="BJ127" i="23140"/>
  <c r="BO64" i="23140"/>
  <c r="BM42" i="23140"/>
  <c r="BR36" i="23140"/>
  <c r="BR38" i="23140" s="1"/>
  <c r="AY64" i="23140"/>
  <c r="AX75" i="23140"/>
  <c r="AX76" i="23140" s="1"/>
  <c r="AX68" i="23140"/>
  <c r="AX78" i="23140" s="1"/>
  <c r="DD43" i="23140"/>
  <c r="BS29" i="23140"/>
  <c r="BS44" i="23140"/>
  <c r="BR42" i="23140"/>
  <c r="AU45" i="23140"/>
  <c r="AZ44" i="23140"/>
  <c r="AU46" i="23140"/>
  <c r="AX46" i="23140"/>
  <c r="AU44" i="23140"/>
  <c r="AV46" i="23140"/>
  <c r="AV45" i="23140"/>
  <c r="AY43" i="23140"/>
  <c r="AW46" i="23140"/>
  <c r="AU29" i="23140"/>
  <c r="AT34" i="23140"/>
  <c r="BF122" i="23140"/>
  <c r="BF121" i="23140"/>
  <c r="BT121" i="23140"/>
  <c r="BT122" i="23140"/>
  <c r="BP122" i="23140"/>
  <c r="BP121" i="23140"/>
  <c r="BL73" i="23140"/>
  <c r="BL74" i="23140" s="1"/>
  <c r="BL72" i="23140"/>
  <c r="AV78" i="23140"/>
  <c r="AV82" i="23140" s="1"/>
  <c r="AV70" i="23140"/>
  <c r="AV71" i="23140"/>
  <c r="BI58" i="23140"/>
  <c r="DB57" i="23140"/>
  <c r="BW60" i="23140"/>
  <c r="CB49" i="23140"/>
  <c r="BA69" i="23140"/>
  <c r="BL127" i="23140"/>
  <c r="BL128" i="23140" s="1"/>
  <c r="BQ64" i="23140"/>
  <c r="BJ64" i="23140"/>
  <c r="AU84" i="23140"/>
  <c r="AU83" i="23140"/>
  <c r="BH122" i="23140"/>
  <c r="DC39" i="23140"/>
  <c r="BD59" i="23140"/>
  <c r="BF51" i="23140"/>
  <c r="BF50" i="23140"/>
  <c r="AS45" i="23140"/>
  <c r="AS46" i="23140"/>
  <c r="AX44" i="23140"/>
  <c r="AS29" i="23140"/>
  <c r="BM121" i="23140"/>
  <c r="AW75" i="23140"/>
  <c r="AW76" i="23140" s="1"/>
  <c r="AW68" i="23140"/>
  <c r="BY64" i="23140"/>
  <c r="AU127" i="23140"/>
  <c r="AU132" i="23140" s="1"/>
  <c r="AZ64" i="23140"/>
  <c r="BC20" i="23140"/>
  <c r="BN51" i="23140"/>
  <c r="BO121" i="23140"/>
  <c r="BO122" i="23140"/>
  <c r="BG121" i="23140"/>
  <c r="BG122" i="23140"/>
  <c r="AQ46" i="23140"/>
  <c r="BD58" i="23140"/>
  <c r="DA57" i="23140"/>
  <c r="BS41" i="23140"/>
  <c r="AW127" i="23140"/>
  <c r="BB64" i="23140"/>
  <c r="BK122" i="23140"/>
  <c r="BK121" i="23140"/>
  <c r="BN41" i="23140"/>
  <c r="BR121" i="23140"/>
  <c r="DC18" i="23140"/>
  <c r="BJ121" i="23140"/>
  <c r="BJ122" i="23140"/>
  <c r="BS60" i="23140"/>
  <c r="BS11" i="23140"/>
  <c r="BQ127" i="23140"/>
  <c r="BV64" i="23140"/>
  <c r="DA39" i="23140"/>
  <c r="BE20" i="23140"/>
  <c r="DC57" i="23140"/>
  <c r="BN58" i="23140"/>
  <c r="BN44" i="23140"/>
  <c r="DC43" i="23140"/>
  <c r="BN29" i="23140"/>
  <c r="BZ59" i="23140"/>
  <c r="BZ57" i="23140"/>
  <c r="BZ58" i="23140" s="1"/>
  <c r="BZ52" i="23140"/>
  <c r="BS40" i="23140"/>
  <c r="DD39" i="23140"/>
  <c r="AX39" i="23140"/>
  <c r="AX35" i="23140"/>
  <c r="AY34" i="23140"/>
  <c r="BA126" i="23140"/>
  <c r="BF35" i="23140"/>
  <c r="BF36" i="23140"/>
  <c r="BA21" i="23140"/>
  <c r="BM156" i="23141" l="1"/>
  <c r="BM158" i="23141"/>
  <c r="BE204" i="23140"/>
  <c r="AY163" i="23086" s="1"/>
  <c r="AL337" i="23083" s="1"/>
  <c r="BM45" i="23141"/>
  <c r="BM180" i="23140" s="1"/>
  <c r="BG206" i="23140" s="1"/>
  <c r="BG207" i="23140" s="1"/>
  <c r="BM157" i="23141"/>
  <c r="BO163" i="23141"/>
  <c r="BP163" i="23141"/>
  <c r="BH117" i="23140"/>
  <c r="BJ90" i="23141"/>
  <c r="BJ164" i="23141"/>
  <c r="AU163" i="23141"/>
  <c r="BG90" i="23140"/>
  <c r="AV114" i="23141"/>
  <c r="BL89" i="23140"/>
  <c r="BH90" i="23140"/>
  <c r="BM186" i="23140"/>
  <c r="BG214" i="23140" s="1"/>
  <c r="AN351" i="23083" s="1"/>
  <c r="AN352" i="23083" s="1"/>
  <c r="BK134" i="23141"/>
  <c r="BO114" i="23141"/>
  <c r="BK135" i="23141"/>
  <c r="BJ115" i="23141"/>
  <c r="BO115" i="23141"/>
  <c r="BG116" i="23140"/>
  <c r="BL116" i="23140"/>
  <c r="AX179" i="23086"/>
  <c r="BD206" i="23140"/>
  <c r="BD207" i="23140" s="1"/>
  <c r="BJ89" i="23141"/>
  <c r="BJ114" i="23141"/>
  <c r="BJ64" i="23141"/>
  <c r="BJ67" i="23141" s="1"/>
  <c r="BN42" i="23141"/>
  <c r="BN186" i="23140" s="1"/>
  <c r="BM50" i="23141"/>
  <c r="BM160" i="23141" s="1"/>
  <c r="BM164" i="23141" s="1"/>
  <c r="AT163" i="23086"/>
  <c r="AG337" i="23083" s="1"/>
  <c r="AG343" i="23083" s="1"/>
  <c r="BA179" i="23086"/>
  <c r="AX59" i="23141"/>
  <c r="AR268" i="23083"/>
  <c r="AR282" i="23083"/>
  <c r="AR284" i="23083" s="1"/>
  <c r="AR288" i="23083" s="1"/>
  <c r="AR272" i="23083"/>
  <c r="AR267" i="23083"/>
  <c r="AR264" i="23083"/>
  <c r="BG163" i="23141"/>
  <c r="AZ211" i="23140"/>
  <c r="BB211" i="23140" s="1"/>
  <c r="BH204" i="23140"/>
  <c r="BB163" i="23086" s="1"/>
  <c r="BC122" i="23140"/>
  <c r="AX204" i="23140"/>
  <c r="AY204" i="23140" s="1"/>
  <c r="AW211" i="23140"/>
  <c r="AY211" i="23140" s="1"/>
  <c r="BM86" i="23141"/>
  <c r="BM131" i="23141"/>
  <c r="BG75" i="23140"/>
  <c r="AP154" i="23141"/>
  <c r="AP151" i="23141"/>
  <c r="AP153" i="23141"/>
  <c r="AU118" i="23141"/>
  <c r="AO97" i="23141"/>
  <c r="AO85" i="23141"/>
  <c r="BC206" i="23140"/>
  <c r="AO86" i="23141"/>
  <c r="AO57" i="23141"/>
  <c r="AO60" i="23141" s="1"/>
  <c r="BE116" i="23141"/>
  <c r="BC214" i="23140"/>
  <c r="BE214" i="23140" s="1"/>
  <c r="AL351" i="23083" s="1"/>
  <c r="AL352" i="23083" s="1"/>
  <c r="BJ116" i="23140"/>
  <c r="AO90" i="23141"/>
  <c r="AZ67" i="23141"/>
  <c r="AZ183" i="23140" s="1"/>
  <c r="AP53" i="23141"/>
  <c r="CY26" i="23141"/>
  <c r="BO131" i="23141"/>
  <c r="BF206" i="23140"/>
  <c r="BF207" i="23140" s="1"/>
  <c r="BJ163" i="23141"/>
  <c r="BI154" i="23141"/>
  <c r="AO94" i="23141"/>
  <c r="AT110" i="23141"/>
  <c r="BD51" i="23141"/>
  <c r="BD151" i="23141" s="1"/>
  <c r="BA163" i="23141"/>
  <c r="AZ214" i="23140"/>
  <c r="BI45" i="23141"/>
  <c r="BI180" i="23140" s="1"/>
  <c r="BI186" i="23140"/>
  <c r="AO95" i="23141"/>
  <c r="BS156" i="23141"/>
  <c r="BS186" i="23140"/>
  <c r="AY185" i="23140"/>
  <c r="BD211" i="23140"/>
  <c r="BC211" i="23140"/>
  <c r="BI214" i="23140"/>
  <c r="BZ133" i="23141"/>
  <c r="BG211" i="23140"/>
  <c r="BF211" i="23140"/>
  <c r="AO89" i="23141"/>
  <c r="AO93" i="23141"/>
  <c r="AW206" i="23140"/>
  <c r="AY206" i="23140" s="1"/>
  <c r="BI206" i="23140"/>
  <c r="AX214" i="23140"/>
  <c r="AE351" i="23083" s="1"/>
  <c r="AE352" i="23083" s="1"/>
  <c r="AW214" i="23140"/>
  <c r="AD351" i="23083" s="1"/>
  <c r="AD352" i="23083" s="1"/>
  <c r="AZ206" i="23140"/>
  <c r="BD156" i="23141"/>
  <c r="BD186" i="23140"/>
  <c r="CX27" i="23141"/>
  <c r="AO96" i="23141"/>
  <c r="CB133" i="23141"/>
  <c r="AO88" i="23141"/>
  <c r="AW180" i="23086"/>
  <c r="BT127" i="23140"/>
  <c r="BT132" i="23140" s="1"/>
  <c r="BM72" i="23140"/>
  <c r="BO116" i="23140"/>
  <c r="AW202" i="23140"/>
  <c r="AP338" i="23083"/>
  <c r="AP344" i="23083" s="1"/>
  <c r="BQ136" i="23141"/>
  <c r="AX180" i="23086"/>
  <c r="BB60" i="23141"/>
  <c r="BB98" i="23141" s="1"/>
  <c r="BQ67" i="23141"/>
  <c r="BQ183" i="23140" s="1"/>
  <c r="BL116" i="23141"/>
  <c r="BT138" i="23141"/>
  <c r="BS51" i="23141"/>
  <c r="BS154" i="23141" s="1"/>
  <c r="AV64" i="23141"/>
  <c r="AV91" i="23141" s="1"/>
  <c r="AV94" i="23141"/>
  <c r="BO67" i="23141"/>
  <c r="BO183" i="23140" s="1"/>
  <c r="BO17" i="23140"/>
  <c r="BB173" i="23086"/>
  <c r="BJ17" i="23140"/>
  <c r="AL343" i="23083"/>
  <c r="BC179" i="23086"/>
  <c r="AM343" i="23083"/>
  <c r="BL122" i="23140"/>
  <c r="BH89" i="23140"/>
  <c r="CI57" i="23140"/>
  <c r="BL121" i="23140"/>
  <c r="BE89" i="23140"/>
  <c r="BJ90" i="23140"/>
  <c r="BH40" i="23140"/>
  <c r="BB128" i="23140"/>
  <c r="BH121" i="23140"/>
  <c r="AY180" i="23086"/>
  <c r="AL338" i="23083"/>
  <c r="AL344" i="23083" s="1"/>
  <c r="AW173" i="23086"/>
  <c r="BQ121" i="23140"/>
  <c r="AW174" i="23086"/>
  <c r="AR164" i="23086"/>
  <c r="AE338" i="23083" s="1"/>
  <c r="AE344" i="23083" s="1"/>
  <c r="BG91" i="23141"/>
  <c r="AV89" i="23141"/>
  <c r="AV27" i="23141"/>
  <c r="AV177" i="23140" s="1"/>
  <c r="AV97" i="23141"/>
  <c r="BU135" i="23141"/>
  <c r="BA109" i="23141"/>
  <c r="AU114" i="23141"/>
  <c r="BB90" i="23140"/>
  <c r="BG201" i="23140"/>
  <c r="BF201" i="23140"/>
  <c r="BA164" i="23086"/>
  <c r="AN338" i="23083" s="1"/>
  <c r="BB164" i="23086"/>
  <c r="BI201" i="23140"/>
  <c r="AU158" i="23086"/>
  <c r="AX174" i="23086" s="1"/>
  <c r="AZ174" i="23086"/>
  <c r="AW115" i="23141"/>
  <c r="CC79" i="23141"/>
  <c r="CT79" i="23141" s="1"/>
  <c r="BI50" i="23141"/>
  <c r="BI53" i="23141" s="1"/>
  <c r="CF39" i="23141"/>
  <c r="CA133" i="23141"/>
  <c r="AV163" i="23086"/>
  <c r="AI337" i="23083" s="1"/>
  <c r="BB158" i="23086"/>
  <c r="CE39" i="23141"/>
  <c r="BJ135" i="23141"/>
  <c r="BM59" i="23141"/>
  <c r="AV95" i="23141"/>
  <c r="BE90" i="23140"/>
  <c r="BO134" i="23141"/>
  <c r="AV90" i="23141"/>
  <c r="DB26" i="23141"/>
  <c r="AV93" i="23141"/>
  <c r="BD201" i="23140"/>
  <c r="BC201" i="23140"/>
  <c r="BA201" i="23140"/>
  <c r="AZ201" i="23140"/>
  <c r="BH36" i="23140"/>
  <c r="BM111" i="23141"/>
  <c r="BH177" i="23140"/>
  <c r="BA174" i="23086"/>
  <c r="BE134" i="23141"/>
  <c r="AV96" i="23141"/>
  <c r="BT134" i="23141"/>
  <c r="BG136" i="23141"/>
  <c r="BQ89" i="23140"/>
  <c r="AZ90" i="23140"/>
  <c r="AY201" i="23140"/>
  <c r="AS160" i="23086" s="1"/>
  <c r="AY158" i="23086"/>
  <c r="AZ179" i="23086"/>
  <c r="BC174" i="23086"/>
  <c r="BP72" i="23140"/>
  <c r="BC117" i="23140"/>
  <c r="BA90" i="23140"/>
  <c r="BP82" i="23140"/>
  <c r="BR122" i="23140"/>
  <c r="BM80" i="23140"/>
  <c r="BG89" i="23140"/>
  <c r="BC116" i="23140"/>
  <c r="BC90" i="23140"/>
  <c r="BM74" i="23140"/>
  <c r="BP74" i="23140"/>
  <c r="BB89" i="23140"/>
  <c r="BU74" i="23140"/>
  <c r="BK74" i="23140"/>
  <c r="BA74" i="23140"/>
  <c r="BJ89" i="23140"/>
  <c r="DE57" i="23140"/>
  <c r="AX90" i="23140"/>
  <c r="BF90" i="23140"/>
  <c r="BI30" i="23140"/>
  <c r="BX58" i="23140"/>
  <c r="BT64" i="23140"/>
  <c r="BT68" i="23140" s="1"/>
  <c r="DA29" i="23140"/>
  <c r="BQ90" i="23140"/>
  <c r="BH35" i="23140"/>
  <c r="BD166" i="23140"/>
  <c r="BF89" i="23140"/>
  <c r="BN36" i="23140"/>
  <c r="CD57" i="23140"/>
  <c r="BB117" i="23140"/>
  <c r="BC126" i="23140"/>
  <c r="BH127" i="23140" s="1"/>
  <c r="BD56" i="23140"/>
  <c r="BA79" i="23140"/>
  <c r="BD164" i="23140"/>
  <c r="BR78" i="23140"/>
  <c r="BR79" i="23140" s="1"/>
  <c r="BE117" i="23140"/>
  <c r="BN40" i="23140"/>
  <c r="BC89" i="23140"/>
  <c r="BR69" i="23140"/>
  <c r="BP79" i="23140"/>
  <c r="DB41" i="23140"/>
  <c r="BK82" i="23140"/>
  <c r="BL84" i="23140" s="1"/>
  <c r="BD165" i="23140"/>
  <c r="BL80" i="23140"/>
  <c r="BW69" i="23140"/>
  <c r="CD60" i="23140"/>
  <c r="BK90" i="23140"/>
  <c r="BL90" i="23140"/>
  <c r="BD41" i="23140"/>
  <c r="BI35" i="23140" s="1"/>
  <c r="CA49" i="23140"/>
  <c r="BY53" i="23140" s="1"/>
  <c r="BK89" i="23140"/>
  <c r="BK116" i="23141"/>
  <c r="BP89" i="23140"/>
  <c r="BF67" i="23141"/>
  <c r="BF183" i="23140" s="1"/>
  <c r="AV88" i="23141"/>
  <c r="AV87" i="23141"/>
  <c r="AV85" i="23141"/>
  <c r="BL136" i="23141"/>
  <c r="BQ116" i="23141"/>
  <c r="BX80" i="23141"/>
  <c r="BB198" i="23140"/>
  <c r="AV157" i="23086" s="1"/>
  <c r="AY173" i="23086" s="1"/>
  <c r="BL38" i="23140"/>
  <c r="AZ134" i="23141"/>
  <c r="BL91" i="23141"/>
  <c r="BK67" i="23141"/>
  <c r="BK70" i="23141" s="1"/>
  <c r="BL67" i="23141"/>
  <c r="BL117" i="23141" s="1"/>
  <c r="AU115" i="23141"/>
  <c r="AX134" i="23141"/>
  <c r="BT135" i="23141"/>
  <c r="BE67" i="23141"/>
  <c r="BE183" i="23140" s="1"/>
  <c r="BJ134" i="23141"/>
  <c r="AZ135" i="23141"/>
  <c r="BF136" i="23141"/>
  <c r="BE91" i="23141"/>
  <c r="AX135" i="23141"/>
  <c r="CY52" i="23141"/>
  <c r="BC154" i="23141"/>
  <c r="AS163" i="23141"/>
  <c r="AX164" i="23141"/>
  <c r="BW149" i="23141"/>
  <c r="BW162" i="23141" s="1"/>
  <c r="BH154" i="23141"/>
  <c r="BH164" i="23141"/>
  <c r="BL163" i="23141"/>
  <c r="AQ154" i="23141"/>
  <c r="BI159" i="23141"/>
  <c r="BI157" i="23141"/>
  <c r="BI156" i="23141"/>
  <c r="BI158" i="23141"/>
  <c r="BF55" i="23140"/>
  <c r="BJ132" i="23140"/>
  <c r="AY50" i="23140"/>
  <c r="AT50" i="23140"/>
  <c r="AW198" i="23140"/>
  <c r="AQ157" i="23086" s="1"/>
  <c r="AQ158" i="23086" s="1"/>
  <c r="AQ161" i="23086" s="1"/>
  <c r="BF38" i="23140"/>
  <c r="BE38" i="23140"/>
  <c r="BP116" i="23140"/>
  <c r="BP117" i="23140"/>
  <c r="BQ117" i="23140"/>
  <c r="AY199" i="23140"/>
  <c r="AX198" i="23140"/>
  <c r="AR157" i="23086" s="1"/>
  <c r="AR158" i="23086" s="1"/>
  <c r="AR161" i="23086" s="1"/>
  <c r="AR194" i="23086" s="1"/>
  <c r="AR195" i="23086" s="1"/>
  <c r="BO23" i="23140"/>
  <c r="BT13" i="23140"/>
  <c r="BT12" i="23140"/>
  <c r="BP23" i="23140"/>
  <c r="BT19" i="23140"/>
  <c r="BT22" i="23140"/>
  <c r="BO22" i="23140"/>
  <c r="BE12" i="23140"/>
  <c r="BE13" i="23140"/>
  <c r="BE19" i="23140"/>
  <c r="BE22" i="23140"/>
  <c r="BW71" i="23140"/>
  <c r="BW73" i="23140" s="1"/>
  <c r="BW74" i="23140" s="1"/>
  <c r="BW82" i="23140"/>
  <c r="AZ127" i="23140"/>
  <c r="BE128" i="23140" s="1"/>
  <c r="BE64" i="23140"/>
  <c r="AY197" i="23140"/>
  <c r="AS156" i="23086" s="1"/>
  <c r="AV172" i="23086" s="1"/>
  <c r="BA123" i="23141"/>
  <c r="BA98" i="23141"/>
  <c r="BA63" i="23141"/>
  <c r="BW157" i="23141"/>
  <c r="BA136" i="23141"/>
  <c r="BA91" i="23141"/>
  <c r="BA67" i="23141"/>
  <c r="CD133" i="23141"/>
  <c r="CI39" i="23141"/>
  <c r="BT116" i="23141"/>
  <c r="BT67" i="23141"/>
  <c r="BT183" i="23140" s="1"/>
  <c r="BT91" i="23141"/>
  <c r="BE138" i="23141"/>
  <c r="BR164" i="23141"/>
  <c r="BW159" i="23141"/>
  <c r="BF60" i="23141"/>
  <c r="BG143" i="23141" s="1"/>
  <c r="BF59" i="23141"/>
  <c r="AY154" i="23141"/>
  <c r="BO59" i="23141"/>
  <c r="BO60" i="23141"/>
  <c r="BT123" i="23141" s="1"/>
  <c r="BQ163" i="23141"/>
  <c r="BB163" i="23141"/>
  <c r="AX163" i="23141"/>
  <c r="AR153" i="23141"/>
  <c r="AR152" i="23141"/>
  <c r="AR138" i="23141"/>
  <c r="AR53" i="23141"/>
  <c r="AW118" i="23141"/>
  <c r="AR151" i="23141"/>
  <c r="AR134" i="23141"/>
  <c r="AR135" i="23141"/>
  <c r="BZ80" i="23141"/>
  <c r="CA80" i="23141" s="1"/>
  <c r="CB80" i="23141" s="1"/>
  <c r="CD80" i="23141" s="1"/>
  <c r="CD93" i="23141"/>
  <c r="BV152" i="23141"/>
  <c r="BE163" i="23141"/>
  <c r="AT51" i="23141"/>
  <c r="AY118" i="23141" s="1"/>
  <c r="AZ60" i="23141"/>
  <c r="AZ59" i="23141"/>
  <c r="CE79" i="23141"/>
  <c r="CF79" i="23141" s="1"/>
  <c r="CG79" i="23141" s="1"/>
  <c r="CI79" i="23141" s="1"/>
  <c r="AS134" i="23141"/>
  <c r="AS135" i="23141"/>
  <c r="AX115" i="23141"/>
  <c r="AU135" i="23141"/>
  <c r="BF163" i="23141"/>
  <c r="BK163" i="23141"/>
  <c r="AV98" i="23141"/>
  <c r="AV63" i="23141"/>
  <c r="AX53" i="23141"/>
  <c r="BH53" i="23141"/>
  <c r="AX114" i="23141"/>
  <c r="BV81" i="23141"/>
  <c r="BW81" i="23141" s="1"/>
  <c r="BY81" i="23141" s="1"/>
  <c r="CI102" i="23141"/>
  <c r="CN104" i="23141"/>
  <c r="CN102" i="23141" s="1"/>
  <c r="BH131" i="23141"/>
  <c r="BH86" i="23141"/>
  <c r="BJ131" i="23141"/>
  <c r="DB51" i="23141"/>
  <c r="BI151" i="23141"/>
  <c r="BI153" i="23141"/>
  <c r="BI152" i="23141"/>
  <c r="BP136" i="23141"/>
  <c r="BP116" i="23141"/>
  <c r="BP91" i="23141"/>
  <c r="BP67" i="23141"/>
  <c r="BP183" i="23140" s="1"/>
  <c r="AQ153" i="23141"/>
  <c r="AQ152" i="23141"/>
  <c r="AQ138" i="23141"/>
  <c r="AQ151" i="23141"/>
  <c r="BN149" i="23141"/>
  <c r="BN162" i="23141" s="1"/>
  <c r="AT159" i="23141"/>
  <c r="AT157" i="23141"/>
  <c r="AT50" i="23141"/>
  <c r="AT156" i="23141"/>
  <c r="AT158" i="23141"/>
  <c r="AY159" i="23141"/>
  <c r="AY157" i="23141"/>
  <c r="AY50" i="23141"/>
  <c r="AY53" i="23141" s="1"/>
  <c r="AY45" i="23141"/>
  <c r="AY180" i="23140" s="1"/>
  <c r="AY156" i="23141"/>
  <c r="AY158" i="23141"/>
  <c r="BS45" i="23141"/>
  <c r="BS180" i="23140" s="1"/>
  <c r="BS49" i="23141"/>
  <c r="CL39" i="23141"/>
  <c r="AS138" i="23141"/>
  <c r="AS53" i="23141"/>
  <c r="BH60" i="23141"/>
  <c r="BM123" i="23141" s="1"/>
  <c r="BH59" i="23141"/>
  <c r="AU134" i="23141"/>
  <c r="BP60" i="23141"/>
  <c r="BP59" i="23141"/>
  <c r="CA93" i="23141"/>
  <c r="BT98" i="23141"/>
  <c r="BT63" i="23141"/>
  <c r="BT163" i="23141"/>
  <c r="BU151" i="23141"/>
  <c r="BD110" i="23141"/>
  <c r="DA26" i="23141"/>
  <c r="CY48" i="23141"/>
  <c r="BS110" i="23141"/>
  <c r="DD26" i="23141"/>
  <c r="BS159" i="23141"/>
  <c r="BS157" i="23141"/>
  <c r="BY148" i="23141"/>
  <c r="AY112" i="23141"/>
  <c r="CZ33" i="23141"/>
  <c r="AW129" i="23141"/>
  <c r="AW97" i="23141"/>
  <c r="AW95" i="23141"/>
  <c r="AW96" i="23141"/>
  <c r="AW94" i="23141"/>
  <c r="AW90" i="23141"/>
  <c r="AW64" i="23141"/>
  <c r="BB116" i="23141" s="1"/>
  <c r="AW27" i="23141"/>
  <c r="AW177" i="23140" s="1"/>
  <c r="AW87" i="23141"/>
  <c r="AW93" i="23141"/>
  <c r="AW88" i="23141"/>
  <c r="AW85" i="23141"/>
  <c r="BB109" i="23141"/>
  <c r="BN110" i="23141"/>
  <c r="DC26" i="23141"/>
  <c r="BR152" i="23141"/>
  <c r="BR153" i="23141"/>
  <c r="BR138" i="23141"/>
  <c r="BR93" i="23141"/>
  <c r="BW93" i="23141" s="1"/>
  <c r="BR118" i="23141"/>
  <c r="BR151" i="23141"/>
  <c r="BM114" i="23141"/>
  <c r="AW89" i="23141"/>
  <c r="BR134" i="23141"/>
  <c r="BR89" i="23141"/>
  <c r="BR90" i="23141"/>
  <c r="BR135" i="23141"/>
  <c r="BJ60" i="23141"/>
  <c r="BJ59" i="23141"/>
  <c r="BH114" i="23141"/>
  <c r="BH134" i="23141"/>
  <c r="BH89" i="23141"/>
  <c r="BH115" i="23141"/>
  <c r="BH64" i="23141"/>
  <c r="BH135" i="23141"/>
  <c r="BH90" i="23141"/>
  <c r="BR60" i="23141"/>
  <c r="BT143" i="23141" s="1"/>
  <c r="BR59" i="23141"/>
  <c r="AQ134" i="23141"/>
  <c r="AQ135" i="23141"/>
  <c r="BB136" i="23141"/>
  <c r="BB67" i="23141"/>
  <c r="BB91" i="23141"/>
  <c r="BS158" i="23141"/>
  <c r="AZ163" i="23141"/>
  <c r="AS164" i="23141"/>
  <c r="CZ48" i="23141"/>
  <c r="AW59" i="23141"/>
  <c r="AW60" i="23141"/>
  <c r="BC160" i="23141"/>
  <c r="BC164" i="23141" s="1"/>
  <c r="BC53" i="23141"/>
  <c r="BR154" i="23141"/>
  <c r="AW114" i="23141"/>
  <c r="BR53" i="23141"/>
  <c r="AY110" i="23141"/>
  <c r="CZ26" i="23141"/>
  <c r="CE93" i="23141"/>
  <c r="BI110" i="23141"/>
  <c r="AV163" i="23141"/>
  <c r="CZ51" i="23141"/>
  <c r="AY153" i="23141"/>
  <c r="BM152" i="23141"/>
  <c r="BM153" i="23141"/>
  <c r="BM118" i="23141"/>
  <c r="BM138" i="23141"/>
  <c r="BM93" i="23141"/>
  <c r="BN51" i="23141"/>
  <c r="BO138" i="23141"/>
  <c r="BM151" i="23141"/>
  <c r="BR131" i="23141"/>
  <c r="BR111" i="23141"/>
  <c r="BR86" i="23141"/>
  <c r="BT131" i="23141"/>
  <c r="BS50" i="23141"/>
  <c r="AY151" i="23141"/>
  <c r="BG92" i="23141"/>
  <c r="BG70" i="23141"/>
  <c r="AO67" i="23141"/>
  <c r="AO92" i="23141" s="1"/>
  <c r="CX64" i="23141"/>
  <c r="AO91" i="23141"/>
  <c r="BV112" i="23141"/>
  <c r="BW33" i="23141"/>
  <c r="BG63" i="23141"/>
  <c r="BG98" i="23141"/>
  <c r="AT149" i="23141"/>
  <c r="AT162" i="23141" s="1"/>
  <c r="BH152" i="23141"/>
  <c r="BH153" i="23141"/>
  <c r="BH118" i="23141"/>
  <c r="BH138" i="23141"/>
  <c r="BH93" i="23141"/>
  <c r="BJ138" i="23141"/>
  <c r="BH151" i="23141"/>
  <c r="BC153" i="23141"/>
  <c r="BC152" i="23141"/>
  <c r="BC138" i="23141"/>
  <c r="BC118" i="23141"/>
  <c r="BC151" i="23141"/>
  <c r="BM98" i="23141"/>
  <c r="BM63" i="23141"/>
  <c r="BF116" i="23141"/>
  <c r="AR154" i="23141"/>
  <c r="BV153" i="23141"/>
  <c r="BN49" i="23141"/>
  <c r="BD159" i="23141"/>
  <c r="BD45" i="23141"/>
  <c r="BD180" i="23140" s="1"/>
  <c r="BD50" i="23141"/>
  <c r="BD158" i="23141"/>
  <c r="BD157" i="23141"/>
  <c r="BC134" i="23141"/>
  <c r="BC114" i="23141"/>
  <c r="BC115" i="23141"/>
  <c r="BE135" i="23141"/>
  <c r="BC135" i="23141"/>
  <c r="BE60" i="23141"/>
  <c r="BE59" i="23141"/>
  <c r="BD112" i="23141"/>
  <c r="BY158" i="23141"/>
  <c r="BU114" i="23141"/>
  <c r="BV45" i="23141"/>
  <c r="BU115" i="23141"/>
  <c r="AV118" i="23141"/>
  <c r="AY152" i="23141"/>
  <c r="BM154" i="23141"/>
  <c r="BK60" i="23141"/>
  <c r="BK59" i="23141"/>
  <c r="BR64" i="23141"/>
  <c r="CD101" i="23141"/>
  <c r="CE103" i="23141"/>
  <c r="AT45" i="23141"/>
  <c r="AT180" i="23140" s="1"/>
  <c r="BG116" i="23141"/>
  <c r="AV115" i="23141"/>
  <c r="BO128" i="23140"/>
  <c r="BO132" i="23140"/>
  <c r="BQ128" i="23140"/>
  <c r="AW132" i="23140"/>
  <c r="BQ132" i="23140"/>
  <c r="AT35" i="23140"/>
  <c r="CY34" i="23140"/>
  <c r="BJ128" i="23140"/>
  <c r="AR31" i="23140"/>
  <c r="AR32" i="23140"/>
  <c r="AP32" i="23140"/>
  <c r="AQ32" i="23140"/>
  <c r="AW30" i="23140"/>
  <c r="AR56" i="23140"/>
  <c r="AW71" i="23140"/>
  <c r="AW78" i="23140"/>
  <c r="AW80" i="23140" s="1"/>
  <c r="AW70" i="23140"/>
  <c r="CZ68" i="23140"/>
  <c r="AS31" i="23140"/>
  <c r="AS32" i="23140"/>
  <c r="AX30" i="23140"/>
  <c r="AS56" i="23140"/>
  <c r="AU56" i="23140"/>
  <c r="AX32" i="23140"/>
  <c r="AU31" i="23140"/>
  <c r="AU32" i="23140"/>
  <c r="AZ30" i="23140"/>
  <c r="AV32" i="23140"/>
  <c r="AU30" i="23140"/>
  <c r="AU26" i="23140"/>
  <c r="AY26" i="23140" s="1"/>
  <c r="AW32" i="23140"/>
  <c r="AV31" i="23140"/>
  <c r="BZ78" i="23140"/>
  <c r="BU82" i="23140"/>
  <c r="AV73" i="23140"/>
  <c r="AV74" i="23140" s="1"/>
  <c r="AV72" i="23140"/>
  <c r="BR72" i="23140"/>
  <c r="BR73" i="23140"/>
  <c r="BL132" i="23140"/>
  <c r="BS166" i="23140"/>
  <c r="BS165" i="23140"/>
  <c r="BS164" i="23140"/>
  <c r="BS30" i="23140"/>
  <c r="DD29" i="23140"/>
  <c r="BS56" i="23140"/>
  <c r="AT127" i="23140"/>
  <c r="AT44" i="23140"/>
  <c r="AT29" i="23140"/>
  <c r="CY43" i="23140"/>
  <c r="BI18" i="23140"/>
  <c r="BH15" i="23140"/>
  <c r="DB11" i="23140"/>
  <c r="BG15" i="23140"/>
  <c r="BI21" i="23140"/>
  <c r="CZ34" i="23140"/>
  <c r="AY35" i="23140"/>
  <c r="BN166" i="23140"/>
  <c r="BN165" i="23140"/>
  <c r="BN164" i="23140"/>
  <c r="DC29" i="23140"/>
  <c r="BN30" i="23140"/>
  <c r="BN56" i="23140"/>
  <c r="BF22" i="23140"/>
  <c r="BF12" i="23140"/>
  <c r="BF13" i="23140"/>
  <c r="BF19" i="23140"/>
  <c r="AX126" i="23140"/>
  <c r="AX18" i="23140"/>
  <c r="BC35" i="23140"/>
  <c r="BC40" i="23140"/>
  <c r="AY39" i="23140"/>
  <c r="BN42" i="23140"/>
  <c r="DC41" i="23140"/>
  <c r="BS36" i="23140"/>
  <c r="BS42" i="23140"/>
  <c r="DD41" i="23140"/>
  <c r="AZ68" i="23140"/>
  <c r="AZ75" i="23140"/>
  <c r="AZ76" i="23140" s="1"/>
  <c r="BN47" i="23140"/>
  <c r="BQ15" i="23140"/>
  <c r="BS12" i="23140"/>
  <c r="DD11" i="23140"/>
  <c r="BS21" i="23140"/>
  <c r="BS13" i="23140"/>
  <c r="BS18" i="23140"/>
  <c r="BR15" i="23140"/>
  <c r="BI50" i="23140"/>
  <c r="BI51" i="23140"/>
  <c r="BQ68" i="23140"/>
  <c r="BQ75" i="23140"/>
  <c r="AV83" i="23140"/>
  <c r="AV84" i="23140"/>
  <c r="CZ43" i="23140"/>
  <c r="AY44" i="23140"/>
  <c r="AY29" i="23140"/>
  <c r="BD44" i="23140"/>
  <c r="BS47" i="23140"/>
  <c r="BI60" i="23140"/>
  <c r="BA83" i="23140"/>
  <c r="CN49" i="23140"/>
  <c r="CI60" i="23140"/>
  <c r="AS47" i="23140"/>
  <c r="BA127" i="23140"/>
  <c r="BF64" i="23140"/>
  <c r="BF127" i="23140"/>
  <c r="CE49" i="23140"/>
  <c r="BZ60" i="23140"/>
  <c r="BV68" i="23140"/>
  <c r="BV75" i="23140"/>
  <c r="BB68" i="23140"/>
  <c r="BG69" i="23140" s="1"/>
  <c r="BB75" i="23140"/>
  <c r="BB76" i="23140" s="1"/>
  <c r="BY75" i="23140"/>
  <c r="BY68" i="23140"/>
  <c r="BG78" i="23140"/>
  <c r="BG71" i="23140"/>
  <c r="BL69" i="23140"/>
  <c r="BE132" i="23140"/>
  <c r="BJ68" i="23140"/>
  <c r="BJ75" i="23140"/>
  <c r="CB59" i="23140"/>
  <c r="CB57" i="23140"/>
  <c r="CB58" i="23140" s="1"/>
  <c r="CD52" i="23140"/>
  <c r="AU47" i="23140"/>
  <c r="AX82" i="23140"/>
  <c r="AX71" i="23140"/>
  <c r="AX70" i="23140"/>
  <c r="BO75" i="23140"/>
  <c r="BO68" i="23140"/>
  <c r="AR47" i="23140"/>
  <c r="BM135" i="23141" l="1"/>
  <c r="BO135" i="23141"/>
  <c r="BR115" i="23141"/>
  <c r="BM64" i="23141"/>
  <c r="BM116" i="23141" s="1"/>
  <c r="BM115" i="23141"/>
  <c r="BR114" i="23141"/>
  <c r="BM90" i="23141"/>
  <c r="BM134" i="23141"/>
  <c r="BM89" i="23141"/>
  <c r="AO337" i="23083"/>
  <c r="AO343" i="23083" s="1"/>
  <c r="BR82" i="23140"/>
  <c r="BW83" i="23140" s="1"/>
  <c r="BO116" i="23141"/>
  <c r="BN157" i="23141"/>
  <c r="BN158" i="23141"/>
  <c r="BN156" i="23141"/>
  <c r="BN45" i="23141"/>
  <c r="BN180" i="23140" s="1"/>
  <c r="BN159" i="23141"/>
  <c r="BF214" i="23140"/>
  <c r="BH214" i="23140" s="1"/>
  <c r="AO351" i="23083" s="1"/>
  <c r="AO352" i="23083" s="1"/>
  <c r="BJ91" i="23141"/>
  <c r="BK136" i="23141"/>
  <c r="BJ116" i="23141"/>
  <c r="BO70" i="23141"/>
  <c r="BO71" i="23141" s="1"/>
  <c r="BJ136" i="23141"/>
  <c r="BN50" i="23141"/>
  <c r="DC50" i="23141" s="1"/>
  <c r="AW179" i="23086"/>
  <c r="BM53" i="23141"/>
  <c r="AR269" i="23083"/>
  <c r="AR45" i="23083"/>
  <c r="AP163" i="23141"/>
  <c r="AX207" i="23140"/>
  <c r="AX209" i="23140" s="1"/>
  <c r="AX215" i="23140" s="1"/>
  <c r="AY207" i="23140"/>
  <c r="AO59" i="23141"/>
  <c r="AZ92" i="23141"/>
  <c r="BG123" i="23141"/>
  <c r="CX57" i="23141"/>
  <c r="AZ70" i="23141"/>
  <c r="AZ71" i="23141" s="1"/>
  <c r="AZ73" i="23141" s="1"/>
  <c r="BH211" i="23140"/>
  <c r="BQ70" i="23141"/>
  <c r="BQ71" i="23141" s="1"/>
  <c r="BQ73" i="23141" s="1"/>
  <c r="BB63" i="23141"/>
  <c r="BB76" i="23141" s="1"/>
  <c r="BD118" i="23141"/>
  <c r="BB123" i="23141"/>
  <c r="BB143" i="23141"/>
  <c r="AJ351" i="23083"/>
  <c r="AJ352" i="23083" s="1"/>
  <c r="BD153" i="23141"/>
  <c r="BT128" i="23140"/>
  <c r="DA51" i="23141"/>
  <c r="BH206" i="23140"/>
  <c r="BH207" i="23140" s="1"/>
  <c r="BA116" i="23141"/>
  <c r="BD154" i="23141"/>
  <c r="BI118" i="23141"/>
  <c r="BQ92" i="23141"/>
  <c r="BD152" i="23141"/>
  <c r="AY214" i="23140"/>
  <c r="AF351" i="23083" s="1"/>
  <c r="AF352" i="23083" s="1"/>
  <c r="BE206" i="23140"/>
  <c r="BE207" i="23140" s="1"/>
  <c r="BC207" i="23140"/>
  <c r="BI207" i="23140"/>
  <c r="CG133" i="23141"/>
  <c r="AQ165" i="23086"/>
  <c r="AD339" i="23083" s="1"/>
  <c r="AD345" i="23083" s="1"/>
  <c r="BB206" i="23140"/>
  <c r="BB207" i="23140" s="1"/>
  <c r="AZ207" i="23140"/>
  <c r="BE211" i="23140"/>
  <c r="AP351" i="23083"/>
  <c r="AP352" i="23083" s="1"/>
  <c r="CE133" i="23141"/>
  <c r="BB214" i="23140"/>
  <c r="AI351" i="23083" s="1"/>
  <c r="AI352" i="23083" s="1"/>
  <c r="AG351" i="23083"/>
  <c r="AG352" i="23083" s="1"/>
  <c r="DB45" i="23141"/>
  <c r="BO92" i="23141"/>
  <c r="BH38" i="23140"/>
  <c r="BF92" i="23141"/>
  <c r="BG137" i="23141"/>
  <c r="AV67" i="23141"/>
  <c r="AV183" i="23140" s="1"/>
  <c r="BF70" i="23141"/>
  <c r="BF71" i="23141" s="1"/>
  <c r="BF73" i="23141" s="1"/>
  <c r="BL137" i="23141"/>
  <c r="BI160" i="23141"/>
  <c r="BI164" i="23141" s="1"/>
  <c r="BE92" i="23141"/>
  <c r="AZ165" i="23086"/>
  <c r="AM339" i="23083" s="1"/>
  <c r="BE70" i="23141"/>
  <c r="BE71" i="23141" s="1"/>
  <c r="AU165" i="23086"/>
  <c r="AI343" i="23083"/>
  <c r="BT75" i="23140"/>
  <c r="AN344" i="23083"/>
  <c r="BB180" i="23086"/>
  <c r="AO338" i="23083"/>
  <c r="AO344" i="23083" s="1"/>
  <c r="CA57" i="23140"/>
  <c r="CA58" i="23140" s="1"/>
  <c r="CI58" i="23140"/>
  <c r="AY179" i="23086"/>
  <c r="AT165" i="23086"/>
  <c r="AQ194" i="23086"/>
  <c r="AQ195" i="23086" s="1"/>
  <c r="AX165" i="23086"/>
  <c r="AK339" i="23083" s="1"/>
  <c r="AR165" i="23086"/>
  <c r="AE339" i="23083" s="1"/>
  <c r="AE345" i="23083" s="1"/>
  <c r="AV158" i="23086"/>
  <c r="AY174" i="23086" s="1"/>
  <c r="AW160" i="23086"/>
  <c r="BC202" i="23140"/>
  <c r="BA165" i="23086"/>
  <c r="BA166" i="23086" s="1"/>
  <c r="AR163" i="23086"/>
  <c r="AE337" i="23083" s="1"/>
  <c r="BA160" i="23086"/>
  <c r="BH201" i="23140"/>
  <c r="BG202" i="23140"/>
  <c r="BG209" i="23140" s="1"/>
  <c r="BG215" i="23140" s="1"/>
  <c r="BA111" i="23141"/>
  <c r="AQ163" i="23086"/>
  <c r="AD337" i="23083" s="1"/>
  <c r="AW207" i="23140"/>
  <c r="AW209" i="23140" s="1"/>
  <c r="AW215" i="23140" s="1"/>
  <c r="BC160" i="23086"/>
  <c r="BI202" i="23140"/>
  <c r="BF117" i="23141"/>
  <c r="BA183" i="23140"/>
  <c r="AY202" i="23140"/>
  <c r="BL92" i="23141"/>
  <c r="BL183" i="23140"/>
  <c r="BB179" i="23086"/>
  <c r="BE201" i="23140"/>
  <c r="AX160" i="23086"/>
  <c r="BD202" i="23140"/>
  <c r="BD209" i="23140" s="1"/>
  <c r="BD215" i="23140" s="1"/>
  <c r="BB174" i="23086"/>
  <c r="AT160" i="23086"/>
  <c r="AT161" i="23086" s="1"/>
  <c r="AT194" i="23086" s="1"/>
  <c r="AT195" i="23086" s="1"/>
  <c r="AZ202" i="23140"/>
  <c r="DB50" i="23141"/>
  <c r="CB53" i="23140"/>
  <c r="BO117" i="23141"/>
  <c r="BJ183" i="23140"/>
  <c r="BK92" i="23141"/>
  <c r="BK183" i="23140"/>
  <c r="CK39" i="23141"/>
  <c r="CL133" i="23141" s="1"/>
  <c r="CF133" i="23141"/>
  <c r="AQ164" i="23086"/>
  <c r="AD338" i="23083" s="1"/>
  <c r="AD344" i="23083" s="1"/>
  <c r="AS164" i="23086"/>
  <c r="BG117" i="23141"/>
  <c r="BB183" i="23140"/>
  <c r="BB201" i="23140"/>
  <c r="AU160" i="23086"/>
  <c r="AU161" i="23086" s="1"/>
  <c r="BA202" i="23140"/>
  <c r="BA209" i="23140" s="1"/>
  <c r="BA215" i="23140" s="1"/>
  <c r="CJ39" i="23141"/>
  <c r="AZ160" i="23086"/>
  <c r="BF202" i="23140"/>
  <c r="BF209" i="23140" s="1"/>
  <c r="CA52" i="23140"/>
  <c r="AV86" i="23141"/>
  <c r="BP83" i="23140"/>
  <c r="BA180" i="23086"/>
  <c r="BR74" i="23140"/>
  <c r="CD58" i="23140"/>
  <c r="BF137" i="23141"/>
  <c r="BZ53" i="23140"/>
  <c r="CA59" i="23140"/>
  <c r="CF49" i="23140" s="1"/>
  <c r="BH64" i="23140"/>
  <c r="BH68" i="23140" s="1"/>
  <c r="CC49" i="23140"/>
  <c r="DF49" i="23140" s="1"/>
  <c r="CB52" i="23140"/>
  <c r="CA53" i="23140"/>
  <c r="DA41" i="23140"/>
  <c r="BI42" i="23140"/>
  <c r="BC127" i="23140"/>
  <c r="BD127" i="23140" s="1"/>
  <c r="BI36" i="23140"/>
  <c r="BD21" i="23140"/>
  <c r="BI19" i="23140" s="1"/>
  <c r="BI40" i="23140"/>
  <c r="CZ53" i="23141"/>
  <c r="BQ117" i="23141"/>
  <c r="BE117" i="23141"/>
  <c r="BK117" i="23141"/>
  <c r="BL70" i="23141"/>
  <c r="BL71" i="23141" s="1"/>
  <c r="BL73" i="23141" s="1"/>
  <c r="DB53" i="23141"/>
  <c r="AT53" i="23141"/>
  <c r="CY53" i="23141" s="1"/>
  <c r="BI163" i="23141"/>
  <c r="BY149" i="23141"/>
  <c r="BY162" i="23141" s="1"/>
  <c r="BK137" i="23141"/>
  <c r="AQ163" i="23141"/>
  <c r="BF17" i="23140"/>
  <c r="BT17" i="23140"/>
  <c r="BW43" i="23140"/>
  <c r="BW39" i="23140"/>
  <c r="BW40" i="23140" s="1"/>
  <c r="AX80" i="23140"/>
  <c r="AY198" i="23140"/>
  <c r="AS157" i="23086" s="1"/>
  <c r="AV173" i="23086" s="1"/>
  <c r="CZ78" i="23140"/>
  <c r="BE68" i="23140"/>
  <c r="BE75" i="23140"/>
  <c r="BE76" i="23140" s="1"/>
  <c r="AZ128" i="23140"/>
  <c r="BE17" i="23140"/>
  <c r="DA50" i="23141"/>
  <c r="BD53" i="23141"/>
  <c r="DA53" i="23141" s="1"/>
  <c r="BD160" i="23141"/>
  <c r="BD164" i="23141" s="1"/>
  <c r="CF103" i="23141"/>
  <c r="CE101" i="23141"/>
  <c r="BV114" i="23141"/>
  <c r="BW45" i="23141"/>
  <c r="BV115" i="23141"/>
  <c r="BE98" i="23141"/>
  <c r="BE123" i="23141"/>
  <c r="BE63" i="23141"/>
  <c r="DC49" i="23141"/>
  <c r="BW153" i="23141"/>
  <c r="CJ93" i="23141"/>
  <c r="BB137" i="23141"/>
  <c r="BB92" i="23141"/>
  <c r="BB70" i="23141"/>
  <c r="AW131" i="23141"/>
  <c r="AW86" i="23141"/>
  <c r="BB111" i="23141"/>
  <c r="BT76" i="23141"/>
  <c r="BT75" i="23141"/>
  <c r="DD49" i="23141"/>
  <c r="BS53" i="23141"/>
  <c r="DD53" i="23141" s="1"/>
  <c r="AY114" i="23141"/>
  <c r="CZ45" i="23141"/>
  <c r="AY115" i="23141"/>
  <c r="BI115" i="23141"/>
  <c r="AO98" i="23141"/>
  <c r="CX60" i="23141"/>
  <c r="AO63" i="23141"/>
  <c r="CX63" i="23141" s="1"/>
  <c r="BO143" i="23141"/>
  <c r="BO123" i="23141"/>
  <c r="BO98" i="23141"/>
  <c r="BO63" i="23141"/>
  <c r="BF143" i="23141"/>
  <c r="BF98" i="23141"/>
  <c r="BF123" i="23141"/>
  <c r="BF63" i="23141"/>
  <c r="BY159" i="23141"/>
  <c r="BY157" i="23141"/>
  <c r="BN118" i="23141"/>
  <c r="DC51" i="23141"/>
  <c r="BN153" i="23141"/>
  <c r="BN152" i="23141"/>
  <c r="BN151" i="23141"/>
  <c r="BN154" i="23141"/>
  <c r="BM136" i="23141"/>
  <c r="BS118" i="23141"/>
  <c r="DD51" i="23141"/>
  <c r="BS152" i="23141"/>
  <c r="BS153" i="23141"/>
  <c r="BS151" i="23141"/>
  <c r="AW136" i="23141"/>
  <c r="AW91" i="23141"/>
  <c r="AW67" i="23141"/>
  <c r="AW183" i="23140" s="1"/>
  <c r="BZ148" i="23141"/>
  <c r="BP143" i="23141"/>
  <c r="BP98" i="23141"/>
  <c r="BP123" i="23141"/>
  <c r="BP63" i="23141"/>
  <c r="DD45" i="23141"/>
  <c r="CZ50" i="23141"/>
  <c r="AY160" i="23141"/>
  <c r="AY164" i="23141" s="1"/>
  <c r="CY50" i="23141"/>
  <c r="AT160" i="23141"/>
  <c r="AT164" i="23141" s="1"/>
  <c r="BP137" i="23141"/>
  <c r="BP117" i="23141"/>
  <c r="BP70" i="23141"/>
  <c r="BP92" i="23141"/>
  <c r="CI133" i="23141"/>
  <c r="CN39" i="23141"/>
  <c r="BH136" i="23141"/>
  <c r="BH91" i="23141"/>
  <c r="BH67" i="23141"/>
  <c r="BH183" i="23140" s="1"/>
  <c r="BR163" i="23141"/>
  <c r="BU154" i="23141"/>
  <c r="BV151" i="23141"/>
  <c r="CQ39" i="23141"/>
  <c r="BX81" i="23141"/>
  <c r="AZ143" i="23141"/>
  <c r="AZ98" i="23141"/>
  <c r="AZ63" i="23141"/>
  <c r="BW152" i="23141"/>
  <c r="CE80" i="23141"/>
  <c r="CF80" i="23141" s="1"/>
  <c r="CG80" i="23141" s="1"/>
  <c r="CI80" i="23141" s="1"/>
  <c r="AR163" i="23141"/>
  <c r="BA137" i="23141"/>
  <c r="BA92" i="23141"/>
  <c r="BA70" i="23141"/>
  <c r="BA76" i="23141"/>
  <c r="BA75" i="23141"/>
  <c r="BZ81" i="23141"/>
  <c r="CA81" i="23141" s="1"/>
  <c r="CB81" i="23141" s="1"/>
  <c r="CD81" i="23141" s="1"/>
  <c r="BK71" i="23141"/>
  <c r="BK73" i="23141" s="1"/>
  <c r="AT118" i="23141"/>
  <c r="CY51" i="23141"/>
  <c r="AT152" i="23141"/>
  <c r="AT151" i="23141"/>
  <c r="AT153" i="23141"/>
  <c r="CC80" i="23141"/>
  <c r="CT80" i="23141" s="1"/>
  <c r="BT117" i="23141"/>
  <c r="BT92" i="23141"/>
  <c r="BT70" i="23141"/>
  <c r="AY163" i="23141"/>
  <c r="BC163" i="23141"/>
  <c r="BK123" i="23141"/>
  <c r="BK98" i="23141"/>
  <c r="BK143" i="23141"/>
  <c r="BK63" i="23141"/>
  <c r="BG71" i="23141"/>
  <c r="BG73" i="23141" s="1"/>
  <c r="DD50" i="23141"/>
  <c r="BS160" i="23141"/>
  <c r="BS164" i="23141" s="1"/>
  <c r="AW143" i="23141"/>
  <c r="AW98" i="23141"/>
  <c r="AW63" i="23141"/>
  <c r="AX143" i="23141"/>
  <c r="BJ143" i="23141"/>
  <c r="BJ123" i="23141"/>
  <c r="BJ98" i="23141"/>
  <c r="BJ63" i="23141"/>
  <c r="CB93" i="23141"/>
  <c r="BH143" i="23141"/>
  <c r="BH98" i="23141"/>
  <c r="BH63" i="23141"/>
  <c r="BJ117" i="23141"/>
  <c r="BJ70" i="23141"/>
  <c r="BJ92" i="23141"/>
  <c r="CJ79" i="23141"/>
  <c r="CK79" i="23141" s="1"/>
  <c r="CL79" i="23141" s="1"/>
  <c r="CN79" i="23141" s="1"/>
  <c r="AT154" i="23141"/>
  <c r="CI93" i="23141"/>
  <c r="BQ137" i="23141"/>
  <c r="BA143" i="23141"/>
  <c r="BR136" i="23141"/>
  <c r="BR91" i="23141"/>
  <c r="BR67" i="23141"/>
  <c r="BW112" i="23141"/>
  <c r="BY33" i="23141"/>
  <c r="BZ158" i="23141"/>
  <c r="BD114" i="23141"/>
  <c r="DA45" i="23141"/>
  <c r="BD115" i="23141"/>
  <c r="BM76" i="23141"/>
  <c r="BM75" i="23141"/>
  <c r="AT114" i="23141"/>
  <c r="CY45" i="23141"/>
  <c r="AT115" i="23141"/>
  <c r="BH163" i="23141"/>
  <c r="BG76" i="23141"/>
  <c r="BG75" i="23141"/>
  <c r="BV135" i="23141"/>
  <c r="BM163" i="23141"/>
  <c r="BR98" i="23141"/>
  <c r="BR123" i="23141"/>
  <c r="BR63" i="23141"/>
  <c r="CF93" i="23141"/>
  <c r="BI114" i="23141"/>
  <c r="CH79" i="23141"/>
  <c r="BT136" i="23141"/>
  <c r="BG73" i="23140"/>
  <c r="BG74" i="23140" s="1"/>
  <c r="BG72" i="23140"/>
  <c r="BI127" i="23140"/>
  <c r="BH132" i="23140"/>
  <c r="BM128" i="23140"/>
  <c r="BS22" i="23140"/>
  <c r="DD21" i="23140"/>
  <c r="CZ39" i="23140"/>
  <c r="BD35" i="23140"/>
  <c r="BD40" i="23140"/>
  <c r="DB21" i="23140"/>
  <c r="BN13" i="23140"/>
  <c r="BN12" i="23140"/>
  <c r="BN22" i="23140"/>
  <c r="BN19" i="23140"/>
  <c r="CE78" i="23140"/>
  <c r="BJ71" i="23140"/>
  <c r="BN68" i="23140"/>
  <c r="BJ78" i="23140"/>
  <c r="BJ82" i="23140" s="1"/>
  <c r="BK70" i="23140"/>
  <c r="AZ69" i="23140"/>
  <c r="AZ71" i="23140"/>
  <c r="AZ70" i="23140"/>
  <c r="AZ78" i="23140"/>
  <c r="BA70" i="23140"/>
  <c r="AT166" i="23140"/>
  <c r="AT165" i="23140"/>
  <c r="AT164" i="23140"/>
  <c r="AT30" i="23140"/>
  <c r="CY29" i="23140"/>
  <c r="AT56" i="23140"/>
  <c r="BO69" i="23140"/>
  <c r="BO71" i="23140"/>
  <c r="BS68" i="23140"/>
  <c r="BO70" i="23140"/>
  <c r="BO78" i="23140"/>
  <c r="BO82" i="23140" s="1"/>
  <c r="BP70" i="23140"/>
  <c r="CB60" i="23140"/>
  <c r="CG49" i="23140"/>
  <c r="BL79" i="23140"/>
  <c r="CE59" i="23140"/>
  <c r="CE57" i="23140"/>
  <c r="CE58" i="23140" s="1"/>
  <c r="CE52" i="23140"/>
  <c r="BG82" i="23140"/>
  <c r="CN59" i="23140"/>
  <c r="CN60" i="23140" s="1"/>
  <c r="CN57" i="23140"/>
  <c r="CN58" i="23140" s="1"/>
  <c r="AY164" i="23140"/>
  <c r="AY165" i="23140"/>
  <c r="AY30" i="23140"/>
  <c r="CZ29" i="23140"/>
  <c r="AY166" i="23140"/>
  <c r="AY56" i="23140"/>
  <c r="AY120" i="23140"/>
  <c r="BD30" i="23140"/>
  <c r="BV71" i="23140"/>
  <c r="BV70" i="23140"/>
  <c r="BV69" i="23140"/>
  <c r="BW70" i="23140"/>
  <c r="BF68" i="23140"/>
  <c r="BF75" i="23140"/>
  <c r="AX20" i="23140"/>
  <c r="AY18" i="23140"/>
  <c r="BC12" i="23140"/>
  <c r="AZ20" i="23140"/>
  <c r="BC19" i="23140"/>
  <c r="AT47" i="23140"/>
  <c r="AY47" i="23140"/>
  <c r="AW73" i="23140"/>
  <c r="AW74" i="23140" s="1"/>
  <c r="AW72" i="23140"/>
  <c r="BB69" i="23140"/>
  <c r="BB70" i="23140"/>
  <c r="BB71" i="23140"/>
  <c r="BB78" i="23140"/>
  <c r="BB82" i="23140" s="1"/>
  <c r="BF128" i="23140"/>
  <c r="BK128" i="23140"/>
  <c r="BF132" i="23140"/>
  <c r="AX73" i="23140"/>
  <c r="AX74" i="23140" s="1"/>
  <c r="AX72" i="23140"/>
  <c r="AX83" i="23140"/>
  <c r="BY69" i="23140"/>
  <c r="BY70" i="23140"/>
  <c r="BY71" i="23140"/>
  <c r="BX68" i="23140"/>
  <c r="BT69" i="23140"/>
  <c r="BT70" i="23140"/>
  <c r="BT71" i="23140"/>
  <c r="BU70" i="23140"/>
  <c r="BT78" i="23140"/>
  <c r="BT82" i="23140" s="1"/>
  <c r="BU84" i="23140" s="1"/>
  <c r="BA128" i="23140"/>
  <c r="BQ78" i="23140"/>
  <c r="BQ82" i="23140" s="1"/>
  <c r="BQ71" i="23140"/>
  <c r="BQ70" i="23140"/>
  <c r="BQ69" i="23140"/>
  <c r="BR70" i="23140"/>
  <c r="BS19" i="23140"/>
  <c r="DD18" i="23140"/>
  <c r="AX127" i="23140"/>
  <c r="BC64" i="23140"/>
  <c r="DB18" i="23140"/>
  <c r="BU83" i="23140"/>
  <c r="BU39" i="23140"/>
  <c r="BU43" i="23140"/>
  <c r="AW82" i="23140"/>
  <c r="BC136" i="23086"/>
  <c r="BC133" i="23086" s="1"/>
  <c r="BR83" i="23140" l="1"/>
  <c r="BR116" i="23141"/>
  <c r="BO136" i="23141"/>
  <c r="BM67" i="23141"/>
  <c r="BM183" i="23140" s="1"/>
  <c r="BG210" i="23140" s="1"/>
  <c r="BM91" i="23141"/>
  <c r="BN114" i="23141"/>
  <c r="BN115" i="23141"/>
  <c r="BS114" i="23141"/>
  <c r="BS115" i="23141"/>
  <c r="DC45" i="23141"/>
  <c r="BF215" i="23140"/>
  <c r="AM351" i="23083"/>
  <c r="AM352" i="23083" s="1"/>
  <c r="BN160" i="23141"/>
  <c r="BN164" i="23141" s="1"/>
  <c r="BN53" i="23141"/>
  <c r="DC53" i="23141" s="1"/>
  <c r="BD163" i="23141"/>
  <c r="AY209" i="23140"/>
  <c r="AY215" i="23140" s="1"/>
  <c r="BB75" i="23141"/>
  <c r="BI209" i="23140"/>
  <c r="BI215" i="23140" s="1"/>
  <c r="BC209" i="23140"/>
  <c r="BC215" i="23140" s="1"/>
  <c r="CC59" i="23140"/>
  <c r="CC60" i="23140" s="1"/>
  <c r="BI64" i="23140"/>
  <c r="BH75" i="23140"/>
  <c r="BH76" i="23140" s="1"/>
  <c r="AZ209" i="23140"/>
  <c r="AZ215" i="23140" s="1"/>
  <c r="CC50" i="23140"/>
  <c r="BJ137" i="23141"/>
  <c r="CC57" i="23140"/>
  <c r="DF57" i="23140" s="1"/>
  <c r="AV70" i="23141"/>
  <c r="AV71" i="23141" s="1"/>
  <c r="AV73" i="23141" s="1"/>
  <c r="AV92" i="23141"/>
  <c r="BA117" i="23141"/>
  <c r="BG212" i="23140"/>
  <c r="BH128" i="23140"/>
  <c r="CA60" i="23140"/>
  <c r="BD210" i="23140"/>
  <c r="BD212" i="23140" s="1"/>
  <c r="AV165" i="23086"/>
  <c r="AI339" i="23083" s="1"/>
  <c r="BC210" i="23140"/>
  <c r="AV180" i="23086"/>
  <c r="AF338" i="23083"/>
  <c r="AF344" i="23083" s="1"/>
  <c r="AD343" i="23083"/>
  <c r="AD346" i="23083" s="1"/>
  <c r="AD340" i="23083"/>
  <c r="AE340" i="23083"/>
  <c r="AE343" i="23083"/>
  <c r="AE346" i="23083" s="1"/>
  <c r="AM345" i="23083"/>
  <c r="AM346" i="23083" s="1"/>
  <c r="AM340" i="23083"/>
  <c r="BA181" i="23086"/>
  <c r="AN339" i="23083"/>
  <c r="AU166" i="23086"/>
  <c r="AU168" i="23086" s="1"/>
  <c r="AU188" i="23086" s="1"/>
  <c r="AH339" i="23083"/>
  <c r="AK345" i="23083"/>
  <c r="AK346" i="23083" s="1"/>
  <c r="AK340" i="23083"/>
  <c r="AT166" i="23086"/>
  <c r="AT168" i="23086" s="1"/>
  <c r="AT188" i="23086" s="1"/>
  <c r="AG339" i="23083"/>
  <c r="AU194" i="23086"/>
  <c r="AU195" i="23086" s="1"/>
  <c r="BB160" i="23086"/>
  <c r="BH202" i="23140"/>
  <c r="BH209" i="23140" s="1"/>
  <c r="BH215" i="23140" s="1"/>
  <c r="CJ133" i="23141"/>
  <c r="CO39" i="23141"/>
  <c r="AW165" i="23086"/>
  <c r="AJ339" i="23083" s="1"/>
  <c r="AX176" i="23086"/>
  <c r="AX161" i="23086"/>
  <c r="BC176" i="23086"/>
  <c r="BC161" i="23086"/>
  <c r="BA176" i="23086"/>
  <c r="BA161" i="23086"/>
  <c r="BB165" i="23086"/>
  <c r="AO339" i="23083" s="1"/>
  <c r="BI22" i="23140"/>
  <c r="CK133" i="23141"/>
  <c r="CP39" i="23141"/>
  <c r="AS158" i="23086"/>
  <c r="AS161" i="23086" s="1"/>
  <c r="AS194" i="23086" s="1"/>
  <c r="AS195" i="23086" s="1"/>
  <c r="AY160" i="23086"/>
  <c r="BE202" i="23140"/>
  <c r="BE209" i="23140" s="1"/>
  <c r="BE215" i="23140" s="1"/>
  <c r="AR166" i="23086"/>
  <c r="AR168" i="23086" s="1"/>
  <c r="AR188" i="23086" s="1"/>
  <c r="AV160" i="23086"/>
  <c r="AV176" i="23086" s="1"/>
  <c r="BB202" i="23140"/>
  <c r="BB209" i="23140" s="1"/>
  <c r="BB215" i="23140" s="1"/>
  <c r="AZ166" i="23086"/>
  <c r="AQ166" i="23086"/>
  <c r="AQ168" i="23086" s="1"/>
  <c r="AQ188" i="23086" s="1"/>
  <c r="AS163" i="23086"/>
  <c r="AF337" i="23083" s="1"/>
  <c r="AW176" i="23086"/>
  <c r="AW161" i="23086"/>
  <c r="AX181" i="23086"/>
  <c r="AX166" i="23086"/>
  <c r="BT137" i="23141"/>
  <c r="BR183" i="23140"/>
  <c r="AS165" i="23086"/>
  <c r="AF339" i="23083" s="1"/>
  <c r="AF345" i="23083" s="1"/>
  <c r="BW135" i="23141"/>
  <c r="AZ176" i="23086"/>
  <c r="AZ161" i="23086"/>
  <c r="BC165" i="23086"/>
  <c r="AP339" i="23083" s="1"/>
  <c r="BC132" i="23140"/>
  <c r="CT49" i="23140"/>
  <c r="DA21" i="23140"/>
  <c r="BI12" i="23140"/>
  <c r="BI13" i="23140"/>
  <c r="BZ149" i="23141"/>
  <c r="BZ162" i="23141" s="1"/>
  <c r="BE78" i="23140"/>
  <c r="BE82" i="23140" s="1"/>
  <c r="BJ83" i="23140" s="1"/>
  <c r="BE71" i="23140"/>
  <c r="BE69" i="23140"/>
  <c r="BJ69" i="23140"/>
  <c r="BW72" i="23140"/>
  <c r="BW126" i="23140"/>
  <c r="BW44" i="23140"/>
  <c r="BW41" i="23140"/>
  <c r="BW42" i="23140" s="1"/>
  <c r="BW34" i="23140"/>
  <c r="BW29" i="23140"/>
  <c r="AZ99" i="23141"/>
  <c r="AZ77" i="23141"/>
  <c r="BK124" i="23141"/>
  <c r="BK99" i="23141"/>
  <c r="BK77" i="23141"/>
  <c r="BF99" i="23141"/>
  <c r="BF77" i="23141"/>
  <c r="BQ124" i="23141"/>
  <c r="BQ99" i="23141"/>
  <c r="BQ77" i="23141"/>
  <c r="BL144" i="23141"/>
  <c r="BL124" i="23141"/>
  <c r="BL99" i="23141"/>
  <c r="BL77" i="23141"/>
  <c r="BH75" i="23141"/>
  <c r="BH76" i="23141"/>
  <c r="BK75" i="23141"/>
  <c r="BK76" i="23141"/>
  <c r="CJ80" i="23141"/>
  <c r="CK80" i="23141" s="1"/>
  <c r="CL80" i="23141" s="1"/>
  <c r="CN80" i="23141" s="1"/>
  <c r="AZ76" i="23141"/>
  <c r="AZ75" i="23141"/>
  <c r="BM137" i="23141"/>
  <c r="BO137" i="23141"/>
  <c r="BO75" i="23141"/>
  <c r="BO76" i="23141"/>
  <c r="BB71" i="23141"/>
  <c r="BB73" i="23141" s="1"/>
  <c r="CF101" i="23141"/>
  <c r="CG103" i="23141"/>
  <c r="CG101" i="23141" s="1"/>
  <c r="BR76" i="23141"/>
  <c r="BR75" i="23141"/>
  <c r="BJ71" i="23141"/>
  <c r="BO73" i="23141"/>
  <c r="BU163" i="23141"/>
  <c r="AW137" i="23141"/>
  <c r="AW70" i="23141"/>
  <c r="AW92" i="23141"/>
  <c r="BN163" i="23141"/>
  <c r="BZ159" i="23141"/>
  <c r="BE75" i="23141"/>
  <c r="BE76" i="23141"/>
  <c r="CG93" i="23141"/>
  <c r="BE73" i="23141"/>
  <c r="BF144" i="23141" s="1"/>
  <c r="BG99" i="23141"/>
  <c r="BG144" i="23141"/>
  <c r="BG77" i="23141"/>
  <c r="BA71" i="23141"/>
  <c r="BA73" i="23141" s="1"/>
  <c r="BY152" i="23141"/>
  <c r="CN133" i="23141"/>
  <c r="BF76" i="23141"/>
  <c r="BF75" i="23141"/>
  <c r="BB117" i="23141"/>
  <c r="CO93" i="23141"/>
  <c r="AT163" i="23141"/>
  <c r="BW114" i="23141"/>
  <c r="BY45" i="23141"/>
  <c r="BW115" i="23141"/>
  <c r="CN93" i="23141"/>
  <c r="CM79" i="23141"/>
  <c r="CU79" i="23141" s="1"/>
  <c r="BT71" i="23141"/>
  <c r="CC81" i="23141"/>
  <c r="CT81" i="23141" s="1"/>
  <c r="BH137" i="23141"/>
  <c r="BH92" i="23141"/>
  <c r="BH70" i="23141"/>
  <c r="BY153" i="23141"/>
  <c r="BR137" i="23141"/>
  <c r="BR117" i="23141"/>
  <c r="BR70" i="23141"/>
  <c r="BR92" i="23141"/>
  <c r="CA158" i="23141"/>
  <c r="BJ75" i="23141"/>
  <c r="BJ76" i="23141"/>
  <c r="CK93" i="23141"/>
  <c r="BY112" i="23141"/>
  <c r="BZ33" i="23141"/>
  <c r="CO79" i="23141"/>
  <c r="CP79" i="23141" s="1"/>
  <c r="CQ79" i="23141" s="1"/>
  <c r="CE81" i="23141"/>
  <c r="CF81" i="23141" s="1"/>
  <c r="CG81" i="23141" s="1"/>
  <c r="CI81" i="23141" s="1"/>
  <c r="CH80" i="23141"/>
  <c r="BV154" i="23141"/>
  <c r="BW151" i="23141"/>
  <c r="BP71" i="23141"/>
  <c r="BP73" i="23141" s="1"/>
  <c r="BP75" i="23141"/>
  <c r="BP76" i="23141"/>
  <c r="CA148" i="23141"/>
  <c r="BS163" i="23141"/>
  <c r="BZ157" i="23141"/>
  <c r="BK84" i="23140"/>
  <c r="BQ84" i="23140"/>
  <c r="BQ83" i="23140"/>
  <c r="BR84" i="23140"/>
  <c r="BO84" i="23140"/>
  <c r="BO83" i="23140"/>
  <c r="BP84" i="23140"/>
  <c r="BU126" i="23140"/>
  <c r="BU41" i="23140"/>
  <c r="BU45" i="23140"/>
  <c r="BU44" i="23140"/>
  <c r="BU34" i="23140"/>
  <c r="BU29" i="23140"/>
  <c r="BU47" i="23140" s="1"/>
  <c r="BU72" i="23140"/>
  <c r="AW84" i="23140"/>
  <c r="AW83" i="23140"/>
  <c r="CZ82" i="23140"/>
  <c r="AY127" i="23140"/>
  <c r="BD128" i="23140" s="1"/>
  <c r="BV73" i="23140"/>
  <c r="BS69" i="23140"/>
  <c r="DD68" i="23140"/>
  <c r="CJ78" i="23140"/>
  <c r="CG59" i="23140"/>
  <c r="CG52" i="23140"/>
  <c r="CG53" i="23140"/>
  <c r="CG57" i="23140"/>
  <c r="CG58" i="23140" s="1"/>
  <c r="CI52" i="23140"/>
  <c r="BO73" i="23140"/>
  <c r="BO74" i="23140" s="1"/>
  <c r="BO72" i="23140"/>
  <c r="BS71" i="23140"/>
  <c r="BS72" i="23140" s="1"/>
  <c r="AZ80" i="23140"/>
  <c r="BA80" i="23140"/>
  <c r="BN78" i="23140"/>
  <c r="BK80" i="23140"/>
  <c r="BI128" i="23140"/>
  <c r="BN128" i="23140"/>
  <c r="BQ73" i="23140"/>
  <c r="BQ74" i="23140" s="1"/>
  <c r="BQ72" i="23140"/>
  <c r="BT80" i="23140"/>
  <c r="BT79" i="23140"/>
  <c r="BY78" i="23140"/>
  <c r="BU80" i="23140"/>
  <c r="DE68" i="23140"/>
  <c r="BX69" i="23140"/>
  <c r="BB84" i="23140"/>
  <c r="BB83" i="23140"/>
  <c r="BF78" i="23140"/>
  <c r="BF82" i="23140" s="1"/>
  <c r="BG84" i="23140" s="1"/>
  <c r="BF71" i="23140"/>
  <c r="BK69" i="23140"/>
  <c r="BF70" i="23140"/>
  <c r="BF69" i="23140"/>
  <c r="BI68" i="23140"/>
  <c r="BN69" i="23140" s="1"/>
  <c r="BG70" i="23140"/>
  <c r="BH70" i="23140"/>
  <c r="BH71" i="23140"/>
  <c r="BM69" i="23140"/>
  <c r="BH78" i="23140"/>
  <c r="BH82" i="23140" s="1"/>
  <c r="CF57" i="23140"/>
  <c r="CF58" i="23140" s="1"/>
  <c r="CF53" i="23140"/>
  <c r="CF52" i="23140"/>
  <c r="CF59" i="23140"/>
  <c r="BY73" i="23140"/>
  <c r="AX84" i="23140"/>
  <c r="CH49" i="23140"/>
  <c r="CE60" i="23140"/>
  <c r="CJ49" i="23140"/>
  <c r="AZ73" i="23140"/>
  <c r="AZ74" i="23140" s="1"/>
  <c r="AZ72" i="23140"/>
  <c r="BJ70" i="23140"/>
  <c r="BC128" i="23140"/>
  <c r="DC68" i="23140"/>
  <c r="BT84" i="23140"/>
  <c r="BT83" i="23140"/>
  <c r="BU40" i="23140"/>
  <c r="BQ80" i="23140"/>
  <c r="BQ79" i="23140"/>
  <c r="BV78" i="23140"/>
  <c r="BX78" i="23140" s="1"/>
  <c r="BR80" i="23140"/>
  <c r="BT73" i="23140"/>
  <c r="BT74" i="23140" s="1"/>
  <c r="BX71" i="23140"/>
  <c r="BT72" i="23140"/>
  <c r="BB80" i="23140"/>
  <c r="BB79" i="23140"/>
  <c r="CD53" i="23140"/>
  <c r="BO80" i="23140"/>
  <c r="BS78" i="23140"/>
  <c r="BS82" i="23140" s="1"/>
  <c r="BO79" i="23140"/>
  <c r="BP80" i="23140"/>
  <c r="BC75" i="23140"/>
  <c r="BC76" i="23140" s="1"/>
  <c r="BC68" i="23140"/>
  <c r="BH69" i="23140" s="1"/>
  <c r="BD64" i="23140"/>
  <c r="BB73" i="23140"/>
  <c r="BB74" i="23140" s="1"/>
  <c r="BB72" i="23140"/>
  <c r="BD12" i="23140"/>
  <c r="BA20" i="23140"/>
  <c r="BG83" i="23140"/>
  <c r="BL83" i="23140"/>
  <c r="CE53" i="23140"/>
  <c r="BG79" i="23140"/>
  <c r="AZ82" i="23140"/>
  <c r="BJ72" i="23140"/>
  <c r="BJ73" i="23140"/>
  <c r="BJ74" i="23140" s="1"/>
  <c r="BN71" i="23140"/>
  <c r="BN72" i="23140" s="1"/>
  <c r="BM70" i="23141" l="1"/>
  <c r="BM92" i="23141"/>
  <c r="BF210" i="23140"/>
  <c r="BH210" i="23140" s="1"/>
  <c r="BH212" i="23140" s="1"/>
  <c r="BM117" i="23141"/>
  <c r="CC58" i="23140"/>
  <c r="BC212" i="23140"/>
  <c r="AV174" i="23086"/>
  <c r="AX182" i="23086"/>
  <c r="BE210" i="23140"/>
  <c r="BE212" i="23140" s="1"/>
  <c r="BA182" i="23086"/>
  <c r="AJ345" i="23083"/>
  <c r="AJ346" i="23083" s="1"/>
  <c r="AJ340" i="23083"/>
  <c r="AO345" i="23083"/>
  <c r="AO346" i="23083" s="1"/>
  <c r="AO340" i="23083"/>
  <c r="AP345" i="23083"/>
  <c r="AP346" i="23083" s="1"/>
  <c r="AP340" i="23083"/>
  <c r="AV161" i="23086"/>
  <c r="AV177" i="23086" s="1"/>
  <c r="AF340" i="23083"/>
  <c r="AF343" i="23083"/>
  <c r="AF346" i="23083" s="1"/>
  <c r="AZ181" i="23086"/>
  <c r="AG345" i="23083"/>
  <c r="AG346" i="23083" s="1"/>
  <c r="AG340" i="23083"/>
  <c r="AI345" i="23083"/>
  <c r="AI346" i="23083" s="1"/>
  <c r="AI340" i="23083"/>
  <c r="AH345" i="23083"/>
  <c r="AH346" i="23083" s="1"/>
  <c r="AH340" i="23083"/>
  <c r="AN345" i="23083"/>
  <c r="AN346" i="23083" s="1"/>
  <c r="AN340" i="23083"/>
  <c r="CP133" i="23141"/>
  <c r="AW187" i="23086"/>
  <c r="AW194" i="23086"/>
  <c r="AW195" i="23086" s="1"/>
  <c r="AW177" i="23086"/>
  <c r="BB166" i="23086"/>
  <c r="AV181" i="23086"/>
  <c r="AV166" i="23086"/>
  <c r="AW181" i="23086"/>
  <c r="AW166" i="23086"/>
  <c r="AW182" i="23086" s="1"/>
  <c r="BB176" i="23086"/>
  <c r="BB161" i="23086"/>
  <c r="AZ187" i="23086"/>
  <c r="AZ194" i="23086"/>
  <c r="AZ195" i="23086" s="1"/>
  <c r="AZ177" i="23086"/>
  <c r="AZ168" i="23086"/>
  <c r="BI210" i="23140"/>
  <c r="BI212" i="23140" s="1"/>
  <c r="AY176" i="23086"/>
  <c r="AY161" i="23086"/>
  <c r="BA187" i="23086"/>
  <c r="BA194" i="23086"/>
  <c r="BA195" i="23086" s="1"/>
  <c r="BA168" i="23086"/>
  <c r="BA177" i="23086"/>
  <c r="AS166" i="23086"/>
  <c r="AS168" i="23086" s="1"/>
  <c r="AS188" i="23086" s="1"/>
  <c r="AV179" i="23086"/>
  <c r="AX187" i="23086"/>
  <c r="AX194" i="23086"/>
  <c r="AX195" i="23086" s="1"/>
  <c r="AX168" i="23086"/>
  <c r="AX177" i="23086"/>
  <c r="BC187" i="23086"/>
  <c r="BC194" i="23086"/>
  <c r="BC195" i="23086" s="1"/>
  <c r="BC177" i="23086"/>
  <c r="BC181" i="23086"/>
  <c r="BC166" i="23086"/>
  <c r="BC182" i="23086" s="1"/>
  <c r="BE79" i="23140"/>
  <c r="CH81" i="23141"/>
  <c r="CQ133" i="23141"/>
  <c r="CO133" i="23141"/>
  <c r="AY165" i="23086"/>
  <c r="BJ197" i="23140"/>
  <c r="BJ79" i="23140"/>
  <c r="CR79" i="23141"/>
  <c r="CA149" i="23141"/>
  <c r="CA162" i="23141" s="1"/>
  <c r="BJ80" i="23140"/>
  <c r="BW47" i="23140"/>
  <c r="BW30" i="23140"/>
  <c r="BW56" i="23140"/>
  <c r="BW35" i="23140"/>
  <c r="BW11" i="23140"/>
  <c r="BE73" i="23140"/>
  <c r="BE74" i="23140" s="1"/>
  <c r="BE72" i="23140"/>
  <c r="BW127" i="23140"/>
  <c r="CB64" i="23140"/>
  <c r="BP124" i="23141"/>
  <c r="BP144" i="23141"/>
  <c r="BP99" i="23141"/>
  <c r="BP77" i="23141"/>
  <c r="BQ144" i="23141"/>
  <c r="CP93" i="23141"/>
  <c r="BZ152" i="23141"/>
  <c r="AW71" i="23141"/>
  <c r="AW73" i="23141" s="1"/>
  <c r="CO80" i="23141"/>
  <c r="CP80" i="23141" s="1"/>
  <c r="CQ80" i="23141" s="1"/>
  <c r="BZ112" i="23141"/>
  <c r="CA33" i="23141"/>
  <c r="BY114" i="23141"/>
  <c r="BZ45" i="23141"/>
  <c r="BY115" i="23141"/>
  <c r="BA99" i="23141"/>
  <c r="BA124" i="23141"/>
  <c r="BA144" i="23141"/>
  <c r="BA77" i="23141"/>
  <c r="CL93" i="23141"/>
  <c r="CA159" i="23141"/>
  <c r="BZ153" i="23141"/>
  <c r="BB144" i="23141"/>
  <c r="BB99" i="23141"/>
  <c r="BB77" i="23141"/>
  <c r="BM71" i="23141"/>
  <c r="BN71" i="23141" s="1"/>
  <c r="AV124" i="23141"/>
  <c r="AV99" i="23141"/>
  <c r="BO99" i="23141"/>
  <c r="BO77" i="23141"/>
  <c r="BJ73" i="23141"/>
  <c r="BO124" i="23141" s="1"/>
  <c r="CB158" i="23141"/>
  <c r="BY135" i="23141"/>
  <c r="BG124" i="23141"/>
  <c r="CJ81" i="23141"/>
  <c r="CK81" i="23141" s="1"/>
  <c r="CL81" i="23141" s="1"/>
  <c r="CN81" i="23141" s="1"/>
  <c r="CB148" i="23141"/>
  <c r="BW154" i="23141"/>
  <c r="BY151" i="23141"/>
  <c r="CA157" i="23141"/>
  <c r="BV163" i="23141"/>
  <c r="BR71" i="23141"/>
  <c r="BS71" i="23141" s="1"/>
  <c r="DD71" i="23141" s="1"/>
  <c r="BH71" i="23141"/>
  <c r="BI71" i="23141" s="1"/>
  <c r="DB71" i="23141" s="1"/>
  <c r="BT73" i="23141"/>
  <c r="BE124" i="23141"/>
  <c r="BE99" i="23141"/>
  <c r="BE77" i="23141"/>
  <c r="CM80" i="23141"/>
  <c r="CU80" i="23141" s="1"/>
  <c r="BF124" i="23141"/>
  <c r="DE78" i="23140"/>
  <c r="BX79" i="23140"/>
  <c r="BX82" i="23140"/>
  <c r="CF60" i="23140"/>
  <c r="CK49" i="23140"/>
  <c r="DB68" i="23140"/>
  <c r="BF83" i="23140"/>
  <c r="BF84" i="23140"/>
  <c r="BK83" i="23140"/>
  <c r="CG60" i="23140"/>
  <c r="CL49" i="23140"/>
  <c r="BU35" i="23140"/>
  <c r="BU11" i="23140"/>
  <c r="BY80" i="23140"/>
  <c r="CD78" i="23140"/>
  <c r="BZ80" i="23140"/>
  <c r="BY82" i="23140"/>
  <c r="BV74" i="23140"/>
  <c r="BH73" i="23140"/>
  <c r="BH74" i="23140" s="1"/>
  <c r="BH72" i="23140"/>
  <c r="BU127" i="23140"/>
  <c r="BZ64" i="23140"/>
  <c r="BC70" i="23140"/>
  <c r="BC69" i="23140"/>
  <c r="BC71" i="23140"/>
  <c r="BC78" i="23140"/>
  <c r="BC82" i="23140" s="1"/>
  <c r="BH83" i="23140" s="1"/>
  <c r="BE70" i="23140"/>
  <c r="BD68" i="23140"/>
  <c r="BI69" i="23140" s="1"/>
  <c r="CO78" i="23140"/>
  <c r="DD82" i="23140"/>
  <c r="BV80" i="23140"/>
  <c r="CA78" i="23140"/>
  <c r="CC78" i="23140" s="1"/>
  <c r="BW80" i="23140"/>
  <c r="BV82" i="23140"/>
  <c r="CJ59" i="23140"/>
  <c r="CJ57" i="23140"/>
  <c r="CJ58" i="23140" s="1"/>
  <c r="CJ52" i="23140"/>
  <c r="AZ84" i="23140"/>
  <c r="AZ83" i="23140"/>
  <c r="BA84" i="23140"/>
  <c r="BE83" i="23140"/>
  <c r="CH59" i="23140"/>
  <c r="CH60" i="23140" s="1"/>
  <c r="CH57" i="23140"/>
  <c r="DG49" i="23140"/>
  <c r="CH50" i="23140"/>
  <c r="BH84" i="23140"/>
  <c r="BM83" i="23140"/>
  <c r="BF72" i="23140"/>
  <c r="BF73" i="23140"/>
  <c r="BF74" i="23140" s="1"/>
  <c r="BI71" i="23140"/>
  <c r="BI72" i="23140" s="1"/>
  <c r="DC78" i="23140"/>
  <c r="DD78" i="23140"/>
  <c r="BS79" i="23140"/>
  <c r="BN82" i="23140"/>
  <c r="BY74" i="23140"/>
  <c r="BH80" i="23140"/>
  <c r="BM79" i="23140"/>
  <c r="BF79" i="23140"/>
  <c r="BF80" i="23140"/>
  <c r="BI78" i="23140"/>
  <c r="BN79" i="23140" s="1"/>
  <c r="BK79" i="23140"/>
  <c r="BG80" i="23140"/>
  <c r="AY128" i="23140"/>
  <c r="BU31" i="23140"/>
  <c r="BU30" i="23140"/>
  <c r="BU56" i="23140"/>
  <c r="BU42" i="23140"/>
  <c r="BJ84" i="23140"/>
  <c r="AP306" i="23083"/>
  <c r="AP303" i="23083"/>
  <c r="AP304" i="23083" s="1"/>
  <c r="AP292" i="23083"/>
  <c r="AQ292" i="23083" s="1"/>
  <c r="AP283" i="23083"/>
  <c r="AP255" i="23083"/>
  <c r="AP251" i="23083"/>
  <c r="AP246" i="23083"/>
  <c r="AP248" i="23083" s="1"/>
  <c r="AP210" i="23083"/>
  <c r="AP205" i="23083"/>
  <c r="AP196" i="23083"/>
  <c r="AP198" i="23083" s="1"/>
  <c r="AP296" i="23083" s="1"/>
  <c r="AP188" i="23083"/>
  <c r="AP189" i="23083" s="1"/>
  <c r="AP181" i="23083"/>
  <c r="AP182" i="23083" s="1"/>
  <c r="AP171" i="23083"/>
  <c r="AP149" i="23083"/>
  <c r="AP150" i="23083" s="1"/>
  <c r="AP169" i="23083"/>
  <c r="AP164" i="23083"/>
  <c r="AP160" i="23083"/>
  <c r="AP123" i="23083"/>
  <c r="AP124" i="23083" s="1"/>
  <c r="AP119" i="23083"/>
  <c r="AP113" i="23083"/>
  <c r="AP106" i="23083"/>
  <c r="AP103" i="23083"/>
  <c r="AP317" i="23083"/>
  <c r="AP86" i="23083"/>
  <c r="AP85" i="23083"/>
  <c r="AP100" i="23083"/>
  <c r="AP96" i="23083"/>
  <c r="AP58" i="23083"/>
  <c r="AP57" i="23083"/>
  <c r="AP50" i="23083"/>
  <c r="AP41" i="23083"/>
  <c r="AP32" i="23083"/>
  <c r="AP35" i="23083"/>
  <c r="AP29" i="23083"/>
  <c r="AP17" i="23083"/>
  <c r="AP320" i="23083"/>
  <c r="AP319" i="23083"/>
  <c r="AP12" i="23083"/>
  <c r="AP6" i="23083"/>
  <c r="AP5" i="23083"/>
  <c r="BC120" i="23086"/>
  <c r="BC114" i="23086"/>
  <c r="BC81" i="23086"/>
  <c r="BC80" i="23086"/>
  <c r="BC76" i="23086"/>
  <c r="BC75" i="23086"/>
  <c r="BC72" i="23086"/>
  <c r="BC92" i="23086" s="1"/>
  <c r="BF212" i="23140" l="1"/>
  <c r="AQ35" i="23083"/>
  <c r="AQ29" i="23083"/>
  <c r="AQ17" i="23083"/>
  <c r="AP263" i="23083"/>
  <c r="AQ263" i="23083" s="1"/>
  <c r="AQ41" i="23083"/>
  <c r="AP316" i="23083"/>
  <c r="AQ316" i="23083" s="1"/>
  <c r="AQ326" i="23083" s="1"/>
  <c r="AQ327" i="23083" s="1"/>
  <c r="AQ317" i="23083"/>
  <c r="AQ72" i="23083" s="1"/>
  <c r="AQ32" i="23083"/>
  <c r="CM49" i="23140"/>
  <c r="DH49" i="23140" s="1"/>
  <c r="AV194" i="23086"/>
  <c r="AV195" i="23086" s="1"/>
  <c r="AV187" i="23086"/>
  <c r="AP72" i="23083"/>
  <c r="BB181" i="23086"/>
  <c r="AL339" i="23083"/>
  <c r="AV168" i="23086"/>
  <c r="AV188" i="23086" s="1"/>
  <c r="BC168" i="23086"/>
  <c r="BK197" i="23140"/>
  <c r="BE156" i="23086" s="1"/>
  <c r="AZ188" i="23086"/>
  <c r="BB187" i="23086"/>
  <c r="BB194" i="23086"/>
  <c r="BB195" i="23086" s="1"/>
  <c r="BB168" i="23086"/>
  <c r="BB177" i="23086"/>
  <c r="AY181" i="23086"/>
  <c r="AY166" i="23086"/>
  <c r="AY182" i="23086" s="1"/>
  <c r="AY187" i="23086"/>
  <c r="AY194" i="23086"/>
  <c r="AY195" i="23086" s="1"/>
  <c r="AY177" i="23086"/>
  <c r="BA188" i="23086"/>
  <c r="BA184" i="23086"/>
  <c r="AX184" i="23086"/>
  <c r="AX188" i="23086"/>
  <c r="AZ182" i="23086"/>
  <c r="AW168" i="23086"/>
  <c r="AV182" i="23086"/>
  <c r="BJ199" i="23140"/>
  <c r="BK199" i="23140" s="1"/>
  <c r="AP172" i="23083"/>
  <c r="AP174" i="23083" s="1"/>
  <c r="CJ53" i="23140"/>
  <c r="BH73" i="23141"/>
  <c r="BH77" i="23141" s="1"/>
  <c r="CB149" i="23141"/>
  <c r="CB162" i="23141" s="1"/>
  <c r="BR73" i="23141"/>
  <c r="BR144" i="23141" s="1"/>
  <c r="BW26" i="23140"/>
  <c r="BW21" i="23140"/>
  <c r="BW22" i="23140" s="1"/>
  <c r="BW18" i="23140"/>
  <c r="BW19" i="23140" s="1"/>
  <c r="BW12" i="23140"/>
  <c r="BW13" i="23140" s="1"/>
  <c r="BW16" i="23140" s="1"/>
  <c r="CB75" i="23140"/>
  <c r="CB68" i="23140"/>
  <c r="CC64" i="23140"/>
  <c r="CT64" i="23140" s="1"/>
  <c r="BX127" i="23140"/>
  <c r="BW128" i="23140"/>
  <c r="BH79" i="23140"/>
  <c r="AW144" i="23141"/>
  <c r="AW124" i="23141"/>
  <c r="AW99" i="23141"/>
  <c r="BB124" i="23141"/>
  <c r="DC71" i="23141"/>
  <c r="CR80" i="23141"/>
  <c r="CQ93" i="23141"/>
  <c r="CA112" i="23141"/>
  <c r="CB33" i="23141"/>
  <c r="CD158" i="23141"/>
  <c r="BZ114" i="23141"/>
  <c r="CA45" i="23141"/>
  <c r="BZ115" i="23141"/>
  <c r="BZ135" i="23141"/>
  <c r="CA152" i="23141"/>
  <c r="BT124" i="23141"/>
  <c r="BT99" i="23141"/>
  <c r="BT77" i="23141"/>
  <c r="CD148" i="23141"/>
  <c r="CB157" i="23141"/>
  <c r="BZ151" i="23141"/>
  <c r="BY154" i="23141"/>
  <c r="CO81" i="23141"/>
  <c r="CP81" i="23141" s="1"/>
  <c r="CQ81" i="23141" s="1"/>
  <c r="BW163" i="23141"/>
  <c r="CM81" i="23141"/>
  <c r="CU81" i="23141" s="1"/>
  <c r="BJ124" i="23141"/>
  <c r="BJ99" i="23141"/>
  <c r="BJ77" i="23141"/>
  <c r="BK144" i="23141"/>
  <c r="BM73" i="23141"/>
  <c r="CA153" i="23141"/>
  <c r="CB159" i="23141"/>
  <c r="CC79" i="23140"/>
  <c r="CT78" i="23140"/>
  <c r="DF78" i="23140"/>
  <c r="BV84" i="23140"/>
  <c r="BV83" i="23140"/>
  <c r="BV43" i="23140"/>
  <c r="BV39" i="23140"/>
  <c r="BW84" i="23140"/>
  <c r="BC72" i="23140"/>
  <c r="BC73" i="23140"/>
  <c r="BC74" i="23140" s="1"/>
  <c r="BD71" i="23140"/>
  <c r="BD72" i="23140" s="1"/>
  <c r="CK59" i="23140"/>
  <c r="CK53" i="23140"/>
  <c r="CK57" i="23140"/>
  <c r="CK58" i="23140" s="1"/>
  <c r="CK52" i="23140"/>
  <c r="CA80" i="23140"/>
  <c r="CF78" i="23140"/>
  <c r="CH78" i="23140" s="1"/>
  <c r="CB80" i="23140"/>
  <c r="CD80" i="23140"/>
  <c r="CI78" i="23140"/>
  <c r="CE80" i="23140"/>
  <c r="DB78" i="23140"/>
  <c r="DA68" i="23140"/>
  <c r="BD78" i="23140"/>
  <c r="DA78" i="23140" s="1"/>
  <c r="BC84" i="23140"/>
  <c r="BC83" i="23140"/>
  <c r="BE84" i="23140"/>
  <c r="BX83" i="23140"/>
  <c r="DE82" i="23140"/>
  <c r="BZ68" i="23140"/>
  <c r="BZ75" i="23140"/>
  <c r="BU26" i="23140"/>
  <c r="BU18" i="23140"/>
  <c r="BU14" i="23140"/>
  <c r="BU12" i="23140"/>
  <c r="BU13" i="23140" s="1"/>
  <c r="BU16" i="23140" s="1"/>
  <c r="BU21" i="23140"/>
  <c r="BI82" i="23140"/>
  <c r="BN83" i="23140" s="1"/>
  <c r="DC82" i="23140"/>
  <c r="CH58" i="23140"/>
  <c r="DG57" i="23140"/>
  <c r="CI53" i="23140"/>
  <c r="CO49" i="23140"/>
  <c r="CJ60" i="23140"/>
  <c r="BS83" i="23140"/>
  <c r="BC80" i="23140"/>
  <c r="BC79" i="23140"/>
  <c r="BE80" i="23140"/>
  <c r="BU128" i="23140"/>
  <c r="BY83" i="23140"/>
  <c r="BY84" i="23140"/>
  <c r="BY43" i="23140"/>
  <c r="BY39" i="23140"/>
  <c r="CL59" i="23140"/>
  <c r="CL57" i="23140"/>
  <c r="CL58" i="23140" s="1"/>
  <c r="CL52" i="23140"/>
  <c r="CL53" i="23140"/>
  <c r="CN52" i="23140"/>
  <c r="AP89" i="23083"/>
  <c r="AP206" i="23083" s="1"/>
  <c r="AP88" i="23083"/>
  <c r="AP163" i="23083"/>
  <c r="AP102" i="23083"/>
  <c r="AP127" i="23083"/>
  <c r="AP299" i="23083"/>
  <c r="AP140" i="23083"/>
  <c r="AP297" i="23083"/>
  <c r="AP298" i="23083" s="1"/>
  <c r="AP300" i="23083" s="1"/>
  <c r="AP51" i="23083"/>
  <c r="AP8" i="23083"/>
  <c r="AP321" i="23083"/>
  <c r="AP191" i="23083"/>
  <c r="AP18" i="23083"/>
  <c r="AQ18" i="23083" s="1"/>
  <c r="AP77" i="23083" l="1"/>
  <c r="CM57" i="23140"/>
  <c r="BF156" i="23086"/>
  <c r="BG156" i="23086" s="1"/>
  <c r="BH156" i="23086" s="1"/>
  <c r="BD156" i="23086"/>
  <c r="BD172" i="23086" s="1"/>
  <c r="BE157" i="23086"/>
  <c r="BD157" i="23086" s="1"/>
  <c r="BC188" i="23086"/>
  <c r="BD168" i="23086"/>
  <c r="CM50" i="23140"/>
  <c r="AQ24" i="23083"/>
  <c r="CU49" i="23140"/>
  <c r="CM59" i="23140"/>
  <c r="CM60" i="23140" s="1"/>
  <c r="AQ89" i="23083"/>
  <c r="AQ79" i="23083"/>
  <c r="AQ78" i="23083"/>
  <c r="AV184" i="23086"/>
  <c r="BH144" i="23141"/>
  <c r="AY168" i="23086"/>
  <c r="BB184" i="23086" s="1"/>
  <c r="BH99" i="23141"/>
  <c r="BB182" i="23086"/>
  <c r="BC184" i="23086"/>
  <c r="AL345" i="23083"/>
  <c r="AL346" i="23083" s="1"/>
  <c r="AL340" i="23083"/>
  <c r="AW184" i="23086"/>
  <c r="AW188" i="23086"/>
  <c r="AZ184" i="23086"/>
  <c r="BJ198" i="23140"/>
  <c r="BB188" i="23086"/>
  <c r="BE172" i="23086"/>
  <c r="BK198" i="23140"/>
  <c r="AP90" i="23083"/>
  <c r="AP285" i="23083" s="1"/>
  <c r="AP289" i="23083" s="1"/>
  <c r="BR124" i="23141"/>
  <c r="BI79" i="23140"/>
  <c r="BT144" i="23141"/>
  <c r="BR77" i="23141"/>
  <c r="BR99" i="23141"/>
  <c r="BJ144" i="23141"/>
  <c r="CD149" i="23141"/>
  <c r="CD162" i="23141" s="1"/>
  <c r="CB69" i="23140"/>
  <c r="CB71" i="23140"/>
  <c r="CB73" i="23140" s="1"/>
  <c r="CB74" i="23140" s="1"/>
  <c r="CB82" i="23140"/>
  <c r="BW54" i="23140"/>
  <c r="BW51" i="23140" s="1"/>
  <c r="BW55" i="23140" s="1"/>
  <c r="BW37" i="23140"/>
  <c r="BW36" i="23140" s="1"/>
  <c r="BW38" i="23140" s="1"/>
  <c r="BX128" i="23140"/>
  <c r="BD82" i="23140"/>
  <c r="DA82" i="23140" s="1"/>
  <c r="CE148" i="23141"/>
  <c r="CA114" i="23141"/>
  <c r="CB45" i="23141"/>
  <c r="CA115" i="23141"/>
  <c r="CA135" i="23141"/>
  <c r="CB112" i="23141"/>
  <c r="CD33" i="23141"/>
  <c r="CB152" i="23141"/>
  <c r="CR81" i="23141"/>
  <c r="BM144" i="23141"/>
  <c r="BM124" i="23141"/>
  <c r="BM99" i="23141"/>
  <c r="BM77" i="23141"/>
  <c r="BO144" i="23141"/>
  <c r="CA151" i="23141"/>
  <c r="BZ154" i="23141"/>
  <c r="CD159" i="23141"/>
  <c r="BY163" i="23141"/>
  <c r="CB153" i="23141"/>
  <c r="CD157" i="23141"/>
  <c r="CE158" i="23141"/>
  <c r="DG78" i="23140"/>
  <c r="CH79" i="23140"/>
  <c r="BY40" i="23140"/>
  <c r="BY18" i="23140"/>
  <c r="BU23" i="23140"/>
  <c r="BU22" i="23140"/>
  <c r="CM58" i="23140"/>
  <c r="DH57" i="23140"/>
  <c r="BU54" i="23140"/>
  <c r="BU51" i="23140" s="1"/>
  <c r="BU55" i="23140" s="1"/>
  <c r="BU37" i="23140"/>
  <c r="BY45" i="23140"/>
  <c r="BY41" i="23140"/>
  <c r="BY44" i="23140"/>
  <c r="BY34" i="23140"/>
  <c r="BY29" i="23140"/>
  <c r="BY47" i="23140" s="1"/>
  <c r="BY72" i="23140"/>
  <c r="BZ82" i="23140"/>
  <c r="BZ70" i="23140"/>
  <c r="BZ71" i="23140"/>
  <c r="BZ69" i="23140"/>
  <c r="CF80" i="23140"/>
  <c r="CK78" i="23140"/>
  <c r="CM78" i="23140" s="1"/>
  <c r="CG80" i="23140"/>
  <c r="CK60" i="23140"/>
  <c r="CP49" i="23140"/>
  <c r="BV40" i="23140"/>
  <c r="BX39" i="23140"/>
  <c r="BV126" i="23140"/>
  <c r="BV46" i="23140"/>
  <c r="BV41" i="23140"/>
  <c r="BV29" i="23140"/>
  <c r="BV47" i="23140" s="1"/>
  <c r="BV45" i="23140"/>
  <c r="BV34" i="23140"/>
  <c r="BL197" i="23140" s="1"/>
  <c r="BV44" i="23140"/>
  <c r="BW45" i="23140"/>
  <c r="BU46" i="23140"/>
  <c r="BT46" i="23140"/>
  <c r="BW46" i="23140"/>
  <c r="BV72" i="23140"/>
  <c r="BX43" i="23140"/>
  <c r="CO59" i="23140"/>
  <c r="CO60" i="23140" s="1"/>
  <c r="CO57" i="23140"/>
  <c r="CO58" i="23140" s="1"/>
  <c r="CO52" i="23140"/>
  <c r="DB82" i="23140"/>
  <c r="CN78" i="23140"/>
  <c r="CI80" i="23140"/>
  <c r="CJ80" i="23140"/>
  <c r="CL60" i="23140"/>
  <c r="CQ49" i="23140"/>
  <c r="BU20" i="23140"/>
  <c r="BU19" i="23140"/>
  <c r="AP202" i="23083"/>
  <c r="AP212" i="23083"/>
  <c r="AP326" i="23083"/>
  <c r="AP79" i="23083"/>
  <c r="AP203" i="23083"/>
  <c r="AP213" i="23083"/>
  <c r="AP76" i="23083"/>
  <c r="AP11" i="23083"/>
  <c r="AP325" i="23083"/>
  <c r="AP78" i="23083"/>
  <c r="AP215" i="23083"/>
  <c r="AP75" i="23083"/>
  <c r="AP68" i="23083"/>
  <c r="AP323" i="23083"/>
  <c r="AP214" i="23083"/>
  <c r="AP208" i="23083"/>
  <c r="AP199" i="23083"/>
  <c r="AP200" i="23083" s="1"/>
  <c r="AP24" i="23083"/>
  <c r="BD173" i="23086" l="1"/>
  <c r="AP92" i="23083"/>
  <c r="AP107" i="23083" s="1"/>
  <c r="AP109" i="23083" s="1"/>
  <c r="AQ30" i="23083"/>
  <c r="AQ69" i="23083"/>
  <c r="BE173" i="23086"/>
  <c r="BF157" i="23086"/>
  <c r="AY184" i="23086"/>
  <c r="AY188" i="23086"/>
  <c r="CB135" i="23141"/>
  <c r="BI83" i="23140"/>
  <c r="CN53" i="23140"/>
  <c r="BZ163" i="23141"/>
  <c r="CE149" i="23141"/>
  <c r="CE162" i="23141" s="1"/>
  <c r="CR49" i="23140"/>
  <c r="CR50" i="23140" s="1"/>
  <c r="CB83" i="23140"/>
  <c r="CB39" i="23140"/>
  <c r="CB40" i="23140" s="1"/>
  <c r="CB43" i="23140"/>
  <c r="CE157" i="23141"/>
  <c r="CD152" i="23141"/>
  <c r="CF148" i="23141"/>
  <c r="CF158" i="23141"/>
  <c r="CE159" i="23141"/>
  <c r="CD112" i="23141"/>
  <c r="CE33" i="23141"/>
  <c r="CD153" i="23141"/>
  <c r="CB151" i="23141"/>
  <c r="CA154" i="23141"/>
  <c r="CB114" i="23141"/>
  <c r="CD45" i="23141"/>
  <c r="CB115" i="23141"/>
  <c r="BX44" i="23140"/>
  <c r="BX29" i="23140"/>
  <c r="DE43" i="23140"/>
  <c r="BX72" i="23140"/>
  <c r="CP78" i="23140"/>
  <c r="CR78" i="23140" s="1"/>
  <c r="CK80" i="23140"/>
  <c r="CL80" i="23140"/>
  <c r="BZ84" i="23140"/>
  <c r="BZ83" i="23140"/>
  <c r="BZ43" i="23140"/>
  <c r="BZ72" i="23140" s="1"/>
  <c r="BZ39" i="23140"/>
  <c r="BV31" i="23140"/>
  <c r="BV30" i="23140"/>
  <c r="BV32" i="23140"/>
  <c r="BV56" i="23140"/>
  <c r="BW31" i="23140"/>
  <c r="BU32" i="23140"/>
  <c r="BW32" i="23140"/>
  <c r="BT32" i="23140"/>
  <c r="BX40" i="23140"/>
  <c r="DE39" i="23140"/>
  <c r="BY126" i="23140"/>
  <c r="BY42" i="23140"/>
  <c r="BY21" i="23140"/>
  <c r="BY19" i="23140"/>
  <c r="BY20" i="23140"/>
  <c r="CM79" i="23140"/>
  <c r="DH78" i="23140"/>
  <c r="CU78" i="23140"/>
  <c r="BV42" i="23140"/>
  <c r="BX41" i="23140"/>
  <c r="BY56" i="23140"/>
  <c r="BY30" i="23140"/>
  <c r="BY31" i="23140"/>
  <c r="BV127" i="23140"/>
  <c r="CA64" i="23140"/>
  <c r="BZ73" i="23140"/>
  <c r="BZ74" i="23140" s="1"/>
  <c r="CP59" i="23140"/>
  <c r="CP60" i="23140" s="1"/>
  <c r="CP57" i="23140"/>
  <c r="CP58" i="23140" s="1"/>
  <c r="CP52" i="23140"/>
  <c r="CP53" i="23140"/>
  <c r="BY35" i="23140"/>
  <c r="BY11" i="23140"/>
  <c r="CN80" i="23140"/>
  <c r="CO80" i="23140"/>
  <c r="BV35" i="23140"/>
  <c r="BV11" i="23140"/>
  <c r="BL199" i="23140" s="1"/>
  <c r="BX34" i="23140"/>
  <c r="CQ59" i="23140"/>
  <c r="CQ60" i="23140" s="1"/>
  <c r="CQ57" i="23140"/>
  <c r="CQ58" i="23140" s="1"/>
  <c r="CQ53" i="23140"/>
  <c r="CQ52" i="23140"/>
  <c r="CO53" i="23140"/>
  <c r="BU36" i="23140"/>
  <c r="BU38" i="23140" s="1"/>
  <c r="AP327" i="23083"/>
  <c r="AP69" i="23083"/>
  <c r="AP82" i="23083"/>
  <c r="AP209" i="23083"/>
  <c r="AP204" i="23083"/>
  <c r="AP30" i="23083"/>
  <c r="AQ70" i="23083" l="1"/>
  <c r="AQ34" i="23083"/>
  <c r="AQ71" i="23083" s="1"/>
  <c r="BF158" i="23086"/>
  <c r="BG157" i="23086"/>
  <c r="BD174" i="23086"/>
  <c r="CD135" i="23141"/>
  <c r="BE174" i="23086"/>
  <c r="CR57" i="23140"/>
  <c r="DI57" i="23140" s="1"/>
  <c r="BL198" i="23140"/>
  <c r="CR59" i="23140"/>
  <c r="CR60" i="23140" s="1"/>
  <c r="DI49" i="23140"/>
  <c r="CA163" i="23141"/>
  <c r="CF149" i="23141"/>
  <c r="CF162" i="23141" s="1"/>
  <c r="CB41" i="23140"/>
  <c r="CB42" i="23140" s="1"/>
  <c r="CB72" i="23140"/>
  <c r="CB44" i="23140"/>
  <c r="CB34" i="23140"/>
  <c r="CB126" i="23140"/>
  <c r="CB29" i="23140"/>
  <c r="CB47" i="23140" s="1"/>
  <c r="CG158" i="23141"/>
  <c r="CF159" i="23141"/>
  <c r="CG148" i="23141"/>
  <c r="CE152" i="23141"/>
  <c r="CE153" i="23141"/>
  <c r="CF157" i="23141"/>
  <c r="CD114" i="23141"/>
  <c r="CE45" i="23141"/>
  <c r="CD115" i="23141"/>
  <c r="CB154" i="23141"/>
  <c r="CD151" i="23141"/>
  <c r="CE112" i="23141"/>
  <c r="CF33" i="23141"/>
  <c r="BV26" i="23140"/>
  <c r="BX26" i="23140" s="1"/>
  <c r="BV18" i="23140"/>
  <c r="BV14" i="23140"/>
  <c r="BV15" i="23140"/>
  <c r="BV12" i="23140"/>
  <c r="BV13" i="23140" s="1"/>
  <c r="BV16" i="23140" s="1"/>
  <c r="BV21" i="23140"/>
  <c r="BW14" i="23140"/>
  <c r="BW15" i="23140"/>
  <c r="BU15" i="23140"/>
  <c r="BT15" i="23140"/>
  <c r="BY12" i="23140"/>
  <c r="BY13" i="23140" s="1"/>
  <c r="BY16" i="23140" s="1"/>
  <c r="BY26" i="23140"/>
  <c r="BY14" i="23140"/>
  <c r="CA68" i="23140"/>
  <c r="CA75" i="23140"/>
  <c r="DE41" i="23140"/>
  <c r="BX42" i="23140"/>
  <c r="BY23" i="23140"/>
  <c r="BY22" i="23140"/>
  <c r="DE29" i="23140"/>
  <c r="BX30" i="23140"/>
  <c r="BX56" i="23140"/>
  <c r="BZ40" i="23140"/>
  <c r="CP80" i="23140"/>
  <c r="CQ80" i="23140"/>
  <c r="BX47" i="23140"/>
  <c r="BV128" i="23140"/>
  <c r="DI78" i="23140"/>
  <c r="CR79" i="23140"/>
  <c r="BY127" i="23140"/>
  <c r="CD64" i="23140"/>
  <c r="BX35" i="23140"/>
  <c r="DE34" i="23140"/>
  <c r="BX11" i="23140"/>
  <c r="BZ126" i="23140"/>
  <c r="BZ44" i="23140"/>
  <c r="BZ34" i="23140"/>
  <c r="BZ45" i="23140"/>
  <c r="BZ29" i="23140"/>
  <c r="BZ47" i="23140" s="1"/>
  <c r="BZ41" i="23140"/>
  <c r="AP70" i="23083"/>
  <c r="AP131" i="23083"/>
  <c r="AP135" i="23083"/>
  <c r="AP34" i="23083"/>
  <c r="AP71" i="23083" s="1"/>
  <c r="BH157" i="23086" l="1"/>
  <c r="BH158" i="23086" s="1"/>
  <c r="BG158" i="23086"/>
  <c r="BF174" i="23086"/>
  <c r="BF161" i="23086"/>
  <c r="BF160" i="23086" s="1"/>
  <c r="CR58" i="23140"/>
  <c r="BM197" i="23140"/>
  <c r="BN197" i="23140" s="1"/>
  <c r="CG149" i="23141"/>
  <c r="CG64" i="23140"/>
  <c r="CB127" i="23140"/>
  <c r="CB35" i="23140"/>
  <c r="CB11" i="23140"/>
  <c r="CB30" i="23140"/>
  <c r="CB56" i="23140"/>
  <c r="CG159" i="23141"/>
  <c r="CG157" i="23141"/>
  <c r="CE114" i="23141"/>
  <c r="CF45" i="23141"/>
  <c r="CE115" i="23141"/>
  <c r="CF153" i="23141"/>
  <c r="CB163" i="23141"/>
  <c r="CI148" i="23141"/>
  <c r="CI158" i="23141"/>
  <c r="CD154" i="23141"/>
  <c r="CE151" i="23141"/>
  <c r="CE135" i="23141"/>
  <c r="CF152" i="23141"/>
  <c r="CF112" i="23141"/>
  <c r="CG33" i="23141"/>
  <c r="BZ35" i="23140"/>
  <c r="BZ11" i="23140"/>
  <c r="BY128" i="23140"/>
  <c r="BV54" i="23140"/>
  <c r="BV51" i="23140" s="1"/>
  <c r="BV55" i="23140" s="1"/>
  <c r="BV37" i="23140"/>
  <c r="BX16" i="23140"/>
  <c r="BX13" i="23140" s="1"/>
  <c r="CA69" i="23140"/>
  <c r="CA82" i="23140"/>
  <c r="CA71" i="23140"/>
  <c r="CA70" i="23140"/>
  <c r="CB70" i="23140"/>
  <c r="CC68" i="23140"/>
  <c r="BV19" i="23140"/>
  <c r="BV20" i="23140"/>
  <c r="BW20" i="23140"/>
  <c r="BZ42" i="23140"/>
  <c r="BZ127" i="23140"/>
  <c r="CE64" i="23140"/>
  <c r="BX21" i="23140"/>
  <c r="DE11" i="23140"/>
  <c r="BX12" i="23140"/>
  <c r="BX18" i="23140"/>
  <c r="BZ31" i="23140"/>
  <c r="BZ30" i="23140"/>
  <c r="BZ56" i="23140"/>
  <c r="CD68" i="23140"/>
  <c r="CD75" i="23140"/>
  <c r="BY54" i="23140"/>
  <c r="BY51" i="23140" s="1"/>
  <c r="BY55" i="23140" s="1"/>
  <c r="BY37" i="23140"/>
  <c r="BV23" i="23140"/>
  <c r="BV22" i="23140"/>
  <c r="BW23" i="23140"/>
  <c r="AP36" i="23083"/>
  <c r="AQ36" i="23083" s="1"/>
  <c r="BG174" i="23086" l="1"/>
  <c r="BG161" i="23086"/>
  <c r="BG177" i="23086" s="1"/>
  <c r="BH161" i="23086"/>
  <c r="BH174" i="23086"/>
  <c r="CF135" i="23141"/>
  <c r="BF145" i="23086"/>
  <c r="BM199" i="23140"/>
  <c r="CI149" i="23141"/>
  <c r="CI162" i="23141" s="1"/>
  <c r="CG162" i="23141"/>
  <c r="CD163" i="23141"/>
  <c r="CB26" i="23140"/>
  <c r="CB21" i="23140"/>
  <c r="CB22" i="23140" s="1"/>
  <c r="CB12" i="23140"/>
  <c r="CB13" i="23140" s="1"/>
  <c r="CB16" i="23140" s="1"/>
  <c r="CB18" i="23140"/>
  <c r="CB19" i="23140" s="1"/>
  <c r="CB128" i="23140"/>
  <c r="CC127" i="23140"/>
  <c r="CH64" i="23140"/>
  <c r="CG75" i="23140"/>
  <c r="CG68" i="23140"/>
  <c r="CG153" i="23141"/>
  <c r="CI159" i="23141"/>
  <c r="CE154" i="23141"/>
  <c r="CF151" i="23141"/>
  <c r="CF114" i="23141"/>
  <c r="CG45" i="23141"/>
  <c r="CF115" i="23141"/>
  <c r="CG112" i="23141"/>
  <c r="CI33" i="23141"/>
  <c r="CI157" i="23141"/>
  <c r="CG152" i="23141"/>
  <c r="CJ148" i="23141"/>
  <c r="CJ158" i="23141"/>
  <c r="BZ128" i="23140"/>
  <c r="CA83" i="23140"/>
  <c r="CA84" i="23140"/>
  <c r="CA43" i="23140"/>
  <c r="CA72" i="23140" s="1"/>
  <c r="CA39" i="23140"/>
  <c r="CB84" i="23140"/>
  <c r="BX19" i="23140"/>
  <c r="DE18" i="23140"/>
  <c r="BX37" i="23140"/>
  <c r="BX36" i="23140" s="1"/>
  <c r="BV36" i="23140"/>
  <c r="BV38" i="23140" s="1"/>
  <c r="CD82" i="23140"/>
  <c r="CD71" i="23140"/>
  <c r="CD69" i="23140"/>
  <c r="CD70" i="23140"/>
  <c r="BX22" i="23140"/>
  <c r="DE21" i="23140"/>
  <c r="CC82" i="23140"/>
  <c r="DF68" i="23140"/>
  <c r="CC69" i="23140"/>
  <c r="CT68" i="23140"/>
  <c r="CA73" i="23140"/>
  <c r="CA74" i="23140" s="1"/>
  <c r="CC71" i="23140"/>
  <c r="BZ21" i="23140"/>
  <c r="BZ26" i="23140"/>
  <c r="BZ18" i="23140"/>
  <c r="BZ14" i="23140"/>
  <c r="BZ12" i="23140"/>
  <c r="BZ13" i="23140" s="1"/>
  <c r="BZ16" i="23140" s="1"/>
  <c r="BY36" i="23140"/>
  <c r="BY38" i="23140" s="1"/>
  <c r="CE75" i="23140"/>
  <c r="CE68" i="23140"/>
  <c r="AP40" i="23083"/>
  <c r="AQ40" i="23083" s="1"/>
  <c r="AQ42" i="23083" l="1"/>
  <c r="BH177" i="23086"/>
  <c r="BG160" i="23086"/>
  <c r="BG176" i="23086" s="1"/>
  <c r="BH160" i="23086"/>
  <c r="BM198" i="23140"/>
  <c r="BN199" i="23140"/>
  <c r="CJ149" i="23141"/>
  <c r="CG82" i="23140"/>
  <c r="CG71" i="23140"/>
  <c r="CG69" i="23140"/>
  <c r="CB54" i="23140"/>
  <c r="CB51" i="23140" s="1"/>
  <c r="CB55" i="23140" s="1"/>
  <c r="CB37" i="23140"/>
  <c r="CB36" i="23140" s="1"/>
  <c r="CB38" i="23140" s="1"/>
  <c r="CC128" i="23140"/>
  <c r="CJ159" i="23141"/>
  <c r="CI153" i="23141"/>
  <c r="CK158" i="23141"/>
  <c r="CJ157" i="23141"/>
  <c r="CG114" i="23141"/>
  <c r="CI45" i="23141"/>
  <c r="CG115" i="23141"/>
  <c r="CF154" i="23141"/>
  <c r="CG151" i="23141"/>
  <c r="CI152" i="23141"/>
  <c r="CI112" i="23141"/>
  <c r="CJ33" i="23141"/>
  <c r="CK148" i="23141"/>
  <c r="CG135" i="23141"/>
  <c r="CE163" i="23141"/>
  <c r="BZ23" i="23140"/>
  <c r="BZ22" i="23140"/>
  <c r="CA40" i="23140"/>
  <c r="CC39" i="23140"/>
  <c r="CE70" i="23140"/>
  <c r="CE69" i="23140"/>
  <c r="CE82" i="23140"/>
  <c r="CE71" i="23140"/>
  <c r="CD73" i="23140"/>
  <c r="CD74" i="23140" s="1"/>
  <c r="CD84" i="23140"/>
  <c r="CD83" i="23140"/>
  <c r="CD43" i="23140"/>
  <c r="CD72" i="23140" s="1"/>
  <c r="CD39" i="23140"/>
  <c r="BZ19" i="23140"/>
  <c r="BZ20" i="23140"/>
  <c r="BX54" i="23140"/>
  <c r="BX51" i="23140" s="1"/>
  <c r="BZ54" i="23140"/>
  <c r="BZ51" i="23140" s="1"/>
  <c r="BZ55" i="23140" s="1"/>
  <c r="BZ37" i="23140"/>
  <c r="CC83" i="23140"/>
  <c r="DF82" i="23140"/>
  <c r="CT82" i="23140"/>
  <c r="CA126" i="23140"/>
  <c r="CA45" i="23140"/>
  <c r="CA41" i="23140"/>
  <c r="CA46" i="23140"/>
  <c r="CA44" i="23140"/>
  <c r="CA34" i="23140"/>
  <c r="BO197" i="23140" s="1"/>
  <c r="CA29" i="23140"/>
  <c r="CB45" i="23140"/>
  <c r="BZ46" i="23140"/>
  <c r="BY46" i="23140"/>
  <c r="CB46" i="23140"/>
  <c r="CC43" i="23140"/>
  <c r="AP259" i="23083"/>
  <c r="AQ259" i="23083" s="1"/>
  <c r="AP53" i="23083"/>
  <c r="AP52" i="23083"/>
  <c r="AP42" i="23083"/>
  <c r="BH176" i="23086" l="1"/>
  <c r="BN198" i="23140"/>
  <c r="CK149" i="23141"/>
  <c r="CJ162" i="23141"/>
  <c r="CG73" i="23140"/>
  <c r="CG74" i="23140" s="1"/>
  <c r="CG39" i="23140"/>
  <c r="CG40" i="23140" s="1"/>
  <c r="CG43" i="23140"/>
  <c r="CG83" i="23140"/>
  <c r="CJ152" i="23141"/>
  <c r="CJ153" i="23141"/>
  <c r="CK159" i="23141"/>
  <c r="CI114" i="23141"/>
  <c r="CJ45" i="23141"/>
  <c r="CI115" i="23141"/>
  <c r="CL148" i="23141"/>
  <c r="CK157" i="23141"/>
  <c r="CL158" i="23141"/>
  <c r="CJ112" i="23141"/>
  <c r="CK33" i="23141"/>
  <c r="CG154" i="23141"/>
  <c r="CI151" i="23141"/>
  <c r="CI135" i="23141"/>
  <c r="CF163" i="23141"/>
  <c r="CA32" i="23140"/>
  <c r="CA31" i="23140"/>
  <c r="CA30" i="23140"/>
  <c r="CA56" i="23140"/>
  <c r="CB31" i="23140"/>
  <c r="BZ32" i="23140"/>
  <c r="CB32" i="23140"/>
  <c r="BY32" i="23140"/>
  <c r="BZ36" i="23140"/>
  <c r="BZ38" i="23140" s="1"/>
  <c r="DF39" i="23140"/>
  <c r="CC40" i="23140"/>
  <c r="DF43" i="23140"/>
  <c r="CC44" i="23140"/>
  <c r="CT43" i="23140"/>
  <c r="CC29" i="23140"/>
  <c r="CA35" i="23140"/>
  <c r="CA11" i="23140"/>
  <c r="BO199" i="23140" s="1"/>
  <c r="CC34" i="23140"/>
  <c r="CA127" i="23140"/>
  <c r="CF64" i="23140"/>
  <c r="CD44" i="23140"/>
  <c r="CD41" i="23140"/>
  <c r="CD34" i="23140"/>
  <c r="CD45" i="23140"/>
  <c r="CD29" i="23140"/>
  <c r="CD47" i="23140" s="1"/>
  <c r="CE73" i="23140"/>
  <c r="CE74" i="23140" s="1"/>
  <c r="CA42" i="23140"/>
  <c r="CC41" i="23140"/>
  <c r="CA47" i="23140"/>
  <c r="CD40" i="23140"/>
  <c r="CD18" i="23140"/>
  <c r="CC72" i="23140"/>
  <c r="CE83" i="23140"/>
  <c r="CE84" i="23140"/>
  <c r="CE43" i="23140"/>
  <c r="CE39" i="23140"/>
  <c r="CE40" i="23140" s="1"/>
  <c r="AP262" i="23083"/>
  <c r="AQ262" i="23083" s="1"/>
  <c r="AQ267" i="23083" s="1"/>
  <c r="AP273" i="23083"/>
  <c r="AQ273" i="23083" s="1"/>
  <c r="AP274" i="23083"/>
  <c r="AQ274" i="23083" s="1"/>
  <c r="BF146" i="23086" l="1"/>
  <c r="CJ135" i="23141"/>
  <c r="BO198" i="23140"/>
  <c r="CL149" i="23141"/>
  <c r="CL162" i="23141" s="1"/>
  <c r="CK162" i="23141"/>
  <c r="CG126" i="23140"/>
  <c r="CG41" i="23140"/>
  <c r="CG42" i="23140" s="1"/>
  <c r="CG44" i="23140"/>
  <c r="CG29" i="23140"/>
  <c r="CG34" i="23140"/>
  <c r="CG72" i="23140"/>
  <c r="CI154" i="23141"/>
  <c r="CJ151" i="23141"/>
  <c r="CN148" i="23141"/>
  <c r="CK152" i="23141"/>
  <c r="CK153" i="23141"/>
  <c r="CJ114" i="23141"/>
  <c r="CK45" i="23141"/>
  <c r="CJ115" i="23141"/>
  <c r="CL157" i="23141"/>
  <c r="CK112" i="23141"/>
  <c r="CL33" i="23141"/>
  <c r="CN158" i="23141"/>
  <c r="CG163" i="23141"/>
  <c r="CL159" i="23141"/>
  <c r="CD35" i="23140"/>
  <c r="CD11" i="23140"/>
  <c r="CF68" i="23140"/>
  <c r="CF75" i="23140"/>
  <c r="CE126" i="23140"/>
  <c r="CE41" i="23140"/>
  <c r="CE42" i="23140" s="1"/>
  <c r="CE45" i="23140"/>
  <c r="CE44" i="23140"/>
  <c r="CE34" i="23140"/>
  <c r="CE29" i="23140"/>
  <c r="DF41" i="23140"/>
  <c r="CC42" i="23140"/>
  <c r="CT29" i="23140"/>
  <c r="DF29" i="23140"/>
  <c r="CC30" i="23140"/>
  <c r="CC56" i="23140"/>
  <c r="CA128" i="23140"/>
  <c r="CD126" i="23140"/>
  <c r="CD42" i="23140"/>
  <c r="CD21" i="23140"/>
  <c r="DF34" i="23140"/>
  <c r="CT34" i="23140"/>
  <c r="CC35" i="23140"/>
  <c r="CC11" i="23140"/>
  <c r="CC47" i="23140"/>
  <c r="CE72" i="23140"/>
  <c r="CA26" i="23140"/>
  <c r="CC26" i="23140" s="1"/>
  <c r="CA21" i="23140"/>
  <c r="CA18" i="23140"/>
  <c r="CA14" i="23140"/>
  <c r="CA12" i="23140"/>
  <c r="CA13" i="23140" s="1"/>
  <c r="CA16" i="23140" s="1"/>
  <c r="CA15" i="23140"/>
  <c r="CB14" i="23140"/>
  <c r="BY15" i="23140"/>
  <c r="CB15" i="23140"/>
  <c r="BZ15" i="23140"/>
  <c r="CD31" i="23140"/>
  <c r="CD30" i="23140"/>
  <c r="CD56" i="23140"/>
  <c r="CD20" i="23140"/>
  <c r="CD19" i="23140"/>
  <c r="AP282" i="23083"/>
  <c r="AP284" i="23083" s="1"/>
  <c r="AP288" i="23083" s="1"/>
  <c r="AP267" i="23083"/>
  <c r="AP264" i="23083"/>
  <c r="AP268" i="23083"/>
  <c r="AQ268" i="23083" s="1"/>
  <c r="AP272" i="23083"/>
  <c r="AQ272" i="23083" s="1"/>
  <c r="BF147" i="23086" l="1"/>
  <c r="BF71" i="23086" s="1"/>
  <c r="AP269" i="23083"/>
  <c r="AQ269" i="23083" s="1"/>
  <c r="AQ264" i="23083"/>
  <c r="BP197" i="23140"/>
  <c r="BQ197" i="23140" s="1"/>
  <c r="CI163" i="23141"/>
  <c r="CN149" i="23141"/>
  <c r="CN162" i="23141" s="1"/>
  <c r="CG56" i="23140"/>
  <c r="CG30" i="23140"/>
  <c r="CG11" i="23140"/>
  <c r="CG35" i="23140"/>
  <c r="CG47" i="23140"/>
  <c r="CG127" i="23140"/>
  <c r="CL64" i="23140"/>
  <c r="CO158" i="23141"/>
  <c r="CL112" i="23141"/>
  <c r="CN33" i="23141"/>
  <c r="CN157" i="23141"/>
  <c r="CK114" i="23141"/>
  <c r="CL45" i="23141"/>
  <c r="CK115" i="23141"/>
  <c r="CJ154" i="23141"/>
  <c r="CK151" i="23141"/>
  <c r="CL153" i="23141"/>
  <c r="CL152" i="23141"/>
  <c r="CN159" i="23141"/>
  <c r="CK135" i="23141"/>
  <c r="CO148" i="23141"/>
  <c r="CE31" i="23140"/>
  <c r="CE30" i="23140"/>
  <c r="CE56" i="23140"/>
  <c r="CE47" i="23140"/>
  <c r="CA23" i="23140"/>
  <c r="CA22" i="23140"/>
  <c r="CB23" i="23140"/>
  <c r="CD23" i="23140"/>
  <c r="CD22" i="23140"/>
  <c r="CE35" i="23140"/>
  <c r="CE11" i="23140"/>
  <c r="CE127" i="23140"/>
  <c r="CJ64" i="23140"/>
  <c r="CF82" i="23140"/>
  <c r="CF69" i="23140"/>
  <c r="CF71" i="23140"/>
  <c r="CF70" i="23140"/>
  <c r="CG70" i="23140"/>
  <c r="CH68" i="23140"/>
  <c r="CT11" i="23140"/>
  <c r="CC12" i="23140"/>
  <c r="CC21" i="23140"/>
  <c r="CC18" i="23140"/>
  <c r="DF11" i="23140"/>
  <c r="CA37" i="23140"/>
  <c r="CA54" i="23140"/>
  <c r="CA51" i="23140" s="1"/>
  <c r="CA55" i="23140" s="1"/>
  <c r="CC16" i="23140"/>
  <c r="CD127" i="23140"/>
  <c r="CI64" i="23140"/>
  <c r="CD26" i="23140"/>
  <c r="CD14" i="23140"/>
  <c r="CD12" i="23140"/>
  <c r="CA20" i="23140"/>
  <c r="CA19" i="23140"/>
  <c r="CB20" i="23140"/>
  <c r="AP45" i="23083"/>
  <c r="AQ45" i="23083" l="1"/>
  <c r="BG145" i="23086"/>
  <c r="BP199" i="23140"/>
  <c r="CO149" i="23141"/>
  <c r="CO162" i="23141" s="1"/>
  <c r="CJ163" i="23141"/>
  <c r="CG12" i="23140"/>
  <c r="CG18" i="23140"/>
  <c r="CG19" i="23140" s="1"/>
  <c r="CG21" i="23140"/>
  <c r="CG22" i="23140" s="1"/>
  <c r="CG26" i="23140"/>
  <c r="CL68" i="23140"/>
  <c r="CM64" i="23140"/>
  <c r="CU64" i="23140" s="1"/>
  <c r="CL75" i="23140"/>
  <c r="CH127" i="23140"/>
  <c r="CG128" i="23140"/>
  <c r="CN152" i="23141"/>
  <c r="CN112" i="23141"/>
  <c r="CO33" i="23141"/>
  <c r="CP158" i="23141"/>
  <c r="CK154" i="23141"/>
  <c r="CL151" i="23141"/>
  <c r="CO159" i="23141"/>
  <c r="CO157" i="23141"/>
  <c r="CP148" i="23141"/>
  <c r="CL114" i="23141"/>
  <c r="CN45" i="23141"/>
  <c r="CL115" i="23141"/>
  <c r="CL135" i="23141"/>
  <c r="CN153" i="23141"/>
  <c r="CE128" i="23140"/>
  <c r="CI75" i="23140"/>
  <c r="CI68" i="23140"/>
  <c r="DF21" i="23140"/>
  <c r="CC22" i="23140"/>
  <c r="CE26" i="23140"/>
  <c r="CE12" i="23140"/>
  <c r="CE18" i="23140"/>
  <c r="CE21" i="23140"/>
  <c r="CE14" i="23140"/>
  <c r="CD128" i="23140"/>
  <c r="CF84" i="23140"/>
  <c r="CF83" i="23140"/>
  <c r="CF43" i="23140"/>
  <c r="CF39" i="23140"/>
  <c r="CG84" i="23140"/>
  <c r="CC19" i="23140"/>
  <c r="DF18" i="23140"/>
  <c r="CF73" i="23140"/>
  <c r="CF74" i="23140" s="1"/>
  <c r="CH71" i="23140"/>
  <c r="CC13" i="23140"/>
  <c r="CC37" i="23140"/>
  <c r="CC36" i="23140" s="1"/>
  <c r="CA36" i="23140"/>
  <c r="CA38" i="23140" s="1"/>
  <c r="CH82" i="23140"/>
  <c r="CH69" i="23140"/>
  <c r="DG68" i="23140"/>
  <c r="CJ75" i="23140"/>
  <c r="CJ68" i="23140"/>
  <c r="BG151" i="23086" l="1"/>
  <c r="CN135" i="23141"/>
  <c r="BP198" i="23140"/>
  <c r="BQ199" i="23140"/>
  <c r="CP149" i="23141"/>
  <c r="CP162" i="23141" s="1"/>
  <c r="CK163" i="23141"/>
  <c r="CL82" i="23140"/>
  <c r="CL69" i="23140"/>
  <c r="CL71" i="23140"/>
  <c r="CL73" i="23140" s="1"/>
  <c r="CL74" i="23140" s="1"/>
  <c r="CH128" i="23140"/>
  <c r="CO152" i="23141"/>
  <c r="CP159" i="23141"/>
  <c r="CN151" i="23141"/>
  <c r="CL154" i="23141"/>
  <c r="CQ158" i="23141"/>
  <c r="CN114" i="23141"/>
  <c r="CO45" i="23141"/>
  <c r="CN115" i="23141"/>
  <c r="CO153" i="23141"/>
  <c r="CQ148" i="23141"/>
  <c r="CP157" i="23141"/>
  <c r="CO112" i="23141"/>
  <c r="CP33" i="23141"/>
  <c r="CH83" i="23140"/>
  <c r="DG82" i="23140"/>
  <c r="CF40" i="23140"/>
  <c r="CH39" i="23140"/>
  <c r="CE20" i="23140"/>
  <c r="CE19" i="23140"/>
  <c r="CI82" i="23140"/>
  <c r="CI71" i="23140"/>
  <c r="CI70" i="23140"/>
  <c r="CI69" i="23140"/>
  <c r="CJ82" i="23140"/>
  <c r="CJ71" i="23140"/>
  <c r="CJ70" i="23140"/>
  <c r="CJ69" i="23140"/>
  <c r="CF126" i="23140"/>
  <c r="CF45" i="23140"/>
  <c r="CF46" i="23140"/>
  <c r="CF44" i="23140"/>
  <c r="CF34" i="23140"/>
  <c r="BR197" i="23140" s="1"/>
  <c r="CF41" i="23140"/>
  <c r="CF29" i="23140"/>
  <c r="CG45" i="23140"/>
  <c r="CG46" i="23140"/>
  <c r="CD46" i="23140"/>
  <c r="CH43" i="23140"/>
  <c r="CE46" i="23140"/>
  <c r="CF72" i="23140"/>
  <c r="CE22" i="23140"/>
  <c r="CE23" i="23140"/>
  <c r="CC54" i="23140"/>
  <c r="CC51" i="23140" s="1"/>
  <c r="CO135" i="23141" l="1"/>
  <c r="BQ198" i="23140"/>
  <c r="CQ149" i="23141"/>
  <c r="CQ162" i="23141" s="1"/>
  <c r="CL39" i="23140"/>
  <c r="CL40" i="23140" s="1"/>
  <c r="CL43" i="23140"/>
  <c r="CL83" i="23140"/>
  <c r="CQ157" i="23141"/>
  <c r="CN154" i="23141"/>
  <c r="CO151" i="23141"/>
  <c r="CL163" i="23141"/>
  <c r="CO114" i="23141"/>
  <c r="CP45" i="23141"/>
  <c r="CO115" i="23141"/>
  <c r="CQ159" i="23141"/>
  <c r="CP112" i="23141"/>
  <c r="CQ33" i="23141"/>
  <c r="CP152" i="23141"/>
  <c r="CP153" i="23141"/>
  <c r="CF35" i="23140"/>
  <c r="CF11" i="23140"/>
  <c r="BR199" i="23140" s="1"/>
  <c r="CH34" i="23140"/>
  <c r="CF30" i="23140"/>
  <c r="CF32" i="23140"/>
  <c r="CF31" i="23140"/>
  <c r="CF56" i="23140"/>
  <c r="CG31" i="23140"/>
  <c r="CD32" i="23140"/>
  <c r="CE32" i="23140"/>
  <c r="CG32" i="23140"/>
  <c r="CJ73" i="23140"/>
  <c r="CJ74" i="23140" s="1"/>
  <c r="CJ84" i="23140"/>
  <c r="CJ83" i="23140"/>
  <c r="CJ43" i="23140"/>
  <c r="CJ72" i="23140" s="1"/>
  <c r="CJ39" i="23140"/>
  <c r="CJ40" i="23140" s="1"/>
  <c r="CF42" i="23140"/>
  <c r="CH41" i="23140"/>
  <c r="CF127" i="23140"/>
  <c r="CK64" i="23140"/>
  <c r="CI84" i="23140"/>
  <c r="CI83" i="23140"/>
  <c r="CI43" i="23140"/>
  <c r="CI72" i="23140" s="1"/>
  <c r="CI39" i="23140"/>
  <c r="CH40" i="23140"/>
  <c r="DG39" i="23140"/>
  <c r="CI73" i="23140"/>
  <c r="CI74" i="23140" s="1"/>
  <c r="CH29" i="23140"/>
  <c r="DG43" i="23140"/>
  <c r="CH44" i="23140"/>
  <c r="CF47" i="23140"/>
  <c r="CH72" i="23140"/>
  <c r="AO156" i="23083"/>
  <c r="AO155" i="23083" s="1"/>
  <c r="CP135" i="23141" l="1"/>
  <c r="BG146" i="23086"/>
  <c r="BR198" i="23140"/>
  <c r="CL72" i="23140"/>
  <c r="CL34" i="23140"/>
  <c r="CL41" i="23140"/>
  <c r="CL42" i="23140" s="1"/>
  <c r="CL44" i="23140"/>
  <c r="CL29" i="23140"/>
  <c r="CL47" i="23140" s="1"/>
  <c r="CL126" i="23140"/>
  <c r="CQ152" i="23141"/>
  <c r="CQ112" i="23141"/>
  <c r="CP114" i="23141"/>
  <c r="CQ45" i="23141"/>
  <c r="CP115" i="23141"/>
  <c r="CO154" i="23141"/>
  <c r="CP151" i="23141"/>
  <c r="CQ153" i="23141"/>
  <c r="CN163" i="23141"/>
  <c r="CH30" i="23140"/>
  <c r="DG29" i="23140"/>
  <c r="CH56" i="23140"/>
  <c r="CI40" i="23140"/>
  <c r="CI18" i="23140"/>
  <c r="CK75" i="23140"/>
  <c r="CK68" i="23140"/>
  <c r="CF128" i="23140"/>
  <c r="DG41" i="23140"/>
  <c r="CH42" i="23140"/>
  <c r="DG34" i="23140"/>
  <c r="CH35" i="23140"/>
  <c r="CH11" i="23140"/>
  <c r="CF21" i="23140"/>
  <c r="CF15" i="23140"/>
  <c r="CF18" i="23140"/>
  <c r="CF14" i="23140"/>
  <c r="CF26" i="23140"/>
  <c r="CH26" i="23140" s="1"/>
  <c r="CF12" i="23140"/>
  <c r="CG14" i="23140"/>
  <c r="CE15" i="23140"/>
  <c r="CD15" i="23140"/>
  <c r="CG15" i="23140"/>
  <c r="CI45" i="23140"/>
  <c r="CI41" i="23140"/>
  <c r="CI34" i="23140"/>
  <c r="CI44" i="23140"/>
  <c r="CI29" i="23140"/>
  <c r="CH47" i="23140"/>
  <c r="CJ126" i="23140"/>
  <c r="CJ44" i="23140"/>
  <c r="CJ45" i="23140"/>
  <c r="CJ41" i="23140"/>
  <c r="CJ42" i="23140" s="1"/>
  <c r="CJ34" i="23140"/>
  <c r="CJ29" i="23140"/>
  <c r="CJ47" i="23140" s="1"/>
  <c r="CQ135" i="23141" l="1"/>
  <c r="BG152" i="23086"/>
  <c r="BG147" i="23086"/>
  <c r="BS197" i="23140"/>
  <c r="BT197" i="23140" s="1"/>
  <c r="BT194" i="23140" s="1"/>
  <c r="CL56" i="23140"/>
  <c r="CL30" i="23140"/>
  <c r="CL35" i="23140"/>
  <c r="CL11" i="23140"/>
  <c r="CL127" i="23140"/>
  <c r="CQ64" i="23140"/>
  <c r="CP154" i="23141"/>
  <c r="CQ151" i="23141"/>
  <c r="CQ114" i="23141"/>
  <c r="CQ115" i="23141"/>
  <c r="CO163" i="23141"/>
  <c r="CI35" i="23140"/>
  <c r="CI11" i="23140"/>
  <c r="CJ127" i="23140"/>
  <c r="CO64" i="23140"/>
  <c r="CF23" i="23140"/>
  <c r="CF22" i="23140"/>
  <c r="CG23" i="23140"/>
  <c r="CH18" i="23140"/>
  <c r="DG11" i="23140"/>
  <c r="CH21" i="23140"/>
  <c r="CH12" i="23140"/>
  <c r="CI126" i="23140"/>
  <c r="CI42" i="23140"/>
  <c r="CI21" i="23140"/>
  <c r="CF20" i="23140"/>
  <c r="CF19" i="23140"/>
  <c r="CG20" i="23140"/>
  <c r="CJ31" i="23140"/>
  <c r="CJ30" i="23140"/>
  <c r="CJ56" i="23140"/>
  <c r="CK69" i="23140"/>
  <c r="CK82" i="23140"/>
  <c r="CK71" i="23140"/>
  <c r="CK70" i="23140"/>
  <c r="CL70" i="23140"/>
  <c r="CM68" i="23140"/>
  <c r="CJ35" i="23140"/>
  <c r="CJ11" i="23140"/>
  <c r="CI31" i="23140"/>
  <c r="CI30" i="23140"/>
  <c r="CI56" i="23140"/>
  <c r="CI47" i="23140"/>
  <c r="CI19" i="23140"/>
  <c r="CI20" i="23140"/>
  <c r="BG153" i="23086" l="1"/>
  <c r="BG71" i="23086"/>
  <c r="BS199" i="23140"/>
  <c r="CL132" i="23140"/>
  <c r="CM127" i="23140"/>
  <c r="CL128" i="23140"/>
  <c r="CL18" i="23140"/>
  <c r="CL19" i="23140" s="1"/>
  <c r="CL21" i="23140"/>
  <c r="CL22" i="23140" s="1"/>
  <c r="CL12" i="23140"/>
  <c r="CL26" i="23140"/>
  <c r="CQ75" i="23140"/>
  <c r="CQ68" i="23140"/>
  <c r="CR64" i="23140"/>
  <c r="CQ154" i="23141"/>
  <c r="CP163" i="23141"/>
  <c r="CK73" i="23140"/>
  <c r="CK74" i="23140" s="1"/>
  <c r="CM71" i="23140"/>
  <c r="CJ26" i="23140"/>
  <c r="CJ21" i="23140"/>
  <c r="CJ18" i="23140"/>
  <c r="CJ14" i="23140"/>
  <c r="CJ12" i="23140"/>
  <c r="CI127" i="23140"/>
  <c r="CN64" i="23140"/>
  <c r="CJ128" i="23140"/>
  <c r="CK84" i="23140"/>
  <c r="CK83" i="23140"/>
  <c r="CK39" i="23140"/>
  <c r="CK43" i="23140"/>
  <c r="CL84" i="23140"/>
  <c r="CH22" i="23140"/>
  <c r="DG21" i="23140"/>
  <c r="CO75" i="23140"/>
  <c r="CO68" i="23140"/>
  <c r="CM82" i="23140"/>
  <c r="CM69" i="23140"/>
  <c r="CU68" i="23140"/>
  <c r="DH68" i="23140"/>
  <c r="DG18" i="23140"/>
  <c r="CH19" i="23140"/>
  <c r="CI22" i="23140"/>
  <c r="CI23" i="23140"/>
  <c r="CI26" i="23140"/>
  <c r="CI14" i="23140"/>
  <c r="CI12" i="23140"/>
  <c r="AO77" i="23086"/>
  <c r="AO76" i="23086"/>
  <c r="AN77" i="23086"/>
  <c r="AN76" i="23086"/>
  <c r="AP77" i="23086"/>
  <c r="AP76" i="23086"/>
  <c r="AO75" i="23086"/>
  <c r="AN75" i="23086"/>
  <c r="AP75" i="23086"/>
  <c r="BS198" i="23140" l="1"/>
  <c r="BT199" i="23140"/>
  <c r="CQ82" i="23140"/>
  <c r="CQ71" i="23140"/>
  <c r="CQ73" i="23140" s="1"/>
  <c r="CQ74" i="23140" s="1"/>
  <c r="CQ69" i="23140"/>
  <c r="CM128" i="23140"/>
  <c r="CM132" i="23140"/>
  <c r="CQ163" i="23141"/>
  <c r="CN75" i="23140"/>
  <c r="CN68" i="23140"/>
  <c r="CI128" i="23140"/>
  <c r="DH82" i="23140"/>
  <c r="CU82" i="23140"/>
  <c r="CM83" i="23140"/>
  <c r="CK126" i="23140"/>
  <c r="CK46" i="23140"/>
  <c r="CK41" i="23140"/>
  <c r="CK45" i="23140"/>
  <c r="CK34" i="23140"/>
  <c r="CK44" i="23140"/>
  <c r="CK29" i="23140"/>
  <c r="CL45" i="23140"/>
  <c r="CJ46" i="23140"/>
  <c r="CI46" i="23140"/>
  <c r="CL46" i="23140"/>
  <c r="CM43" i="23140"/>
  <c r="CM72" i="23140" s="1"/>
  <c r="CK72" i="23140"/>
  <c r="CJ23" i="23140"/>
  <c r="CJ22" i="23140"/>
  <c r="CO82" i="23140"/>
  <c r="CO69" i="23140"/>
  <c r="CO71" i="23140"/>
  <c r="CK40" i="23140"/>
  <c r="CM39" i="23140"/>
  <c r="CJ20" i="23140"/>
  <c r="CJ19" i="23140"/>
  <c r="BB36" i="23086"/>
  <c r="AZ36" i="23086"/>
  <c r="AY36" i="23086"/>
  <c r="AJ36" i="23086"/>
  <c r="BA34" i="23086"/>
  <c r="AX34" i="23086"/>
  <c r="AU34" i="23086"/>
  <c r="AR34" i="23086"/>
  <c r="AO34" i="23086"/>
  <c r="AL34" i="23086"/>
  <c r="AU33" i="23086"/>
  <c r="AR33" i="23086"/>
  <c r="AV32" i="23086"/>
  <c r="AT32" i="23086"/>
  <c r="AS32" i="23086"/>
  <c r="AQ32" i="23086"/>
  <c r="AP32" i="23086"/>
  <c r="BA30" i="23086"/>
  <c r="AW30" i="23086"/>
  <c r="AX30" i="23086" s="1"/>
  <c r="AV30" i="23086"/>
  <c r="AV36" i="23086" s="1"/>
  <c r="AT30" i="23086"/>
  <c r="AT36" i="23086" s="1"/>
  <c r="AS30" i="23086"/>
  <c r="AS36" i="23086" s="1"/>
  <c r="AQ30" i="23086"/>
  <c r="AP30" i="23086"/>
  <c r="AP36" i="23086" s="1"/>
  <c r="AN30" i="23086"/>
  <c r="AN36" i="23086" s="1"/>
  <c r="AM30" i="23086"/>
  <c r="AM36" i="23086" s="1"/>
  <c r="AK30" i="23086"/>
  <c r="AK36" i="23086" s="1"/>
  <c r="AU29" i="23086"/>
  <c r="AR29" i="23086"/>
  <c r="AO29" i="23086"/>
  <c r="AL29" i="23086"/>
  <c r="AU28" i="23086"/>
  <c r="AR28" i="23086"/>
  <c r="AO28" i="23086"/>
  <c r="AL28" i="23086"/>
  <c r="BB14" i="23086"/>
  <c r="AZ14" i="23086"/>
  <c r="AY14" i="23086"/>
  <c r="AV14" i="23086"/>
  <c r="AS14" i="23086"/>
  <c r="AQ14" i="23086"/>
  <c r="AP14" i="23086"/>
  <c r="AN14" i="23086"/>
  <c r="AM14" i="23086"/>
  <c r="AK14" i="23086"/>
  <c r="AJ14" i="23086"/>
  <c r="BB13" i="23086"/>
  <c r="AZ13" i="23086"/>
  <c r="AY13" i="23086"/>
  <c r="AW13" i="23086"/>
  <c r="AV13" i="23086"/>
  <c r="AT13" i="23086"/>
  <c r="AS13" i="23086"/>
  <c r="AQ13" i="23086"/>
  <c r="AP13" i="23086"/>
  <c r="AN13" i="23086"/>
  <c r="AM13" i="23086"/>
  <c r="AK13" i="23086"/>
  <c r="AJ13" i="23086"/>
  <c r="BB12" i="23086"/>
  <c r="AZ12" i="23086"/>
  <c r="AY12" i="23086"/>
  <c r="AW12" i="23086"/>
  <c r="AV12" i="23086"/>
  <c r="AT12" i="23086"/>
  <c r="AS12" i="23086"/>
  <c r="AQ12" i="23086"/>
  <c r="AP12" i="23086"/>
  <c r="AN12" i="23086"/>
  <c r="AM12" i="23086"/>
  <c r="AK12" i="23086"/>
  <c r="AJ12" i="23086"/>
  <c r="BB11" i="23086"/>
  <c r="AZ11" i="23086"/>
  <c r="AY11" i="23086"/>
  <c r="AW11" i="23086"/>
  <c r="AV11" i="23086"/>
  <c r="AT11" i="23086"/>
  <c r="AS11" i="23086"/>
  <c r="AQ11" i="23086"/>
  <c r="AP11" i="23086"/>
  <c r="AN11" i="23086"/>
  <c r="AM11" i="23086"/>
  <c r="AK11" i="23086"/>
  <c r="AJ11" i="23086"/>
  <c r="BB8" i="23086"/>
  <c r="AZ8" i="23086"/>
  <c r="AY8" i="23086"/>
  <c r="AW8" i="23086"/>
  <c r="AV8" i="23086"/>
  <c r="AS8" i="23086"/>
  <c r="AQ8" i="23086"/>
  <c r="AQ25" i="23086" s="1"/>
  <c r="AP8" i="23086"/>
  <c r="AN8" i="23086"/>
  <c r="AN23" i="23086" s="1"/>
  <c r="AM8" i="23086"/>
  <c r="AK8" i="23086"/>
  <c r="AK25" i="23086" s="1"/>
  <c r="AJ8" i="23086"/>
  <c r="BA7" i="23086"/>
  <c r="AX7" i="23086"/>
  <c r="AT7" i="23086"/>
  <c r="AT8" i="23086" s="1"/>
  <c r="AR7" i="23086"/>
  <c r="AO7" i="23086"/>
  <c r="AL7" i="23086"/>
  <c r="BA6" i="23086"/>
  <c r="AX6" i="23086"/>
  <c r="AU6" i="23086"/>
  <c r="AR6" i="23086"/>
  <c r="AO6" i="23086"/>
  <c r="AL6" i="23086"/>
  <c r="BA5" i="23086"/>
  <c r="AX5" i="23086"/>
  <c r="AU5" i="23086"/>
  <c r="AR5" i="23086"/>
  <c r="AO5" i="23086"/>
  <c r="AL5" i="23086"/>
  <c r="AV23" i="23086" l="1"/>
  <c r="AM24" i="23086"/>
  <c r="AP25" i="23086"/>
  <c r="BB25" i="23086"/>
  <c r="AY23" i="23086"/>
  <c r="AZ25" i="23086"/>
  <c r="AJ25" i="23086"/>
  <c r="AS24" i="23086"/>
  <c r="BT198" i="23140"/>
  <c r="CQ43" i="23140"/>
  <c r="CQ83" i="23140"/>
  <c r="CQ39" i="23140"/>
  <c r="CQ40" i="23140" s="1"/>
  <c r="CO83" i="23140"/>
  <c r="CO39" i="23140"/>
  <c r="CO40" i="23140" s="1"/>
  <c r="CO43" i="23140"/>
  <c r="CO72" i="23140" s="1"/>
  <c r="CM44" i="23140"/>
  <c r="DH43" i="23140"/>
  <c r="CU43" i="23140"/>
  <c r="CM29" i="23140"/>
  <c r="CM47" i="23140" s="1"/>
  <c r="CK127" i="23140"/>
  <c r="CP64" i="23140"/>
  <c r="CK35" i="23140"/>
  <c r="CK11" i="23140"/>
  <c r="CM34" i="23140"/>
  <c r="CK42" i="23140"/>
  <c r="CM41" i="23140"/>
  <c r="CN82" i="23140"/>
  <c r="CO84" i="23140" s="1"/>
  <c r="CN71" i="23140"/>
  <c r="CN69" i="23140"/>
  <c r="CN70" i="23140"/>
  <c r="DH39" i="23140"/>
  <c r="CM40" i="23140"/>
  <c r="CO73" i="23140"/>
  <c r="CO74" i="23140" s="1"/>
  <c r="CO70" i="23140"/>
  <c r="CK31" i="23140"/>
  <c r="CK32" i="23140"/>
  <c r="CK30" i="23140"/>
  <c r="CK56" i="23140"/>
  <c r="CL31" i="23140"/>
  <c r="CI32" i="23140"/>
  <c r="CJ32" i="23140"/>
  <c r="CL32" i="23140"/>
  <c r="CK47" i="23140"/>
  <c r="AZ20" i="23086"/>
  <c r="AO8" i="23086"/>
  <c r="AO24" i="23086" s="1"/>
  <c r="AZ24" i="23086"/>
  <c r="AR30" i="23086"/>
  <c r="AR36" i="23086" s="1"/>
  <c r="AK23" i="23086"/>
  <c r="AP23" i="23086"/>
  <c r="AZ23" i="23086"/>
  <c r="AX36" i="23086"/>
  <c r="AU32" i="23086"/>
  <c r="AQ23" i="23086"/>
  <c r="AU13" i="23086"/>
  <c r="AQ15" i="23086"/>
  <c r="BB15" i="23086"/>
  <c r="AW36" i="23086"/>
  <c r="BA12" i="23086"/>
  <c r="AJ23" i="23086"/>
  <c r="AS25" i="23086"/>
  <c r="AQ36" i="23086"/>
  <c r="AX11" i="23086"/>
  <c r="AX12" i="23086"/>
  <c r="AU7" i="23086"/>
  <c r="AU14" i="23086" s="1"/>
  <c r="BA11" i="23086"/>
  <c r="AV15" i="23086"/>
  <c r="AM25" i="23086"/>
  <c r="BA13" i="23086"/>
  <c r="AU11" i="23086"/>
  <c r="AN25" i="23086"/>
  <c r="AL30" i="23086"/>
  <c r="AL36" i="23086" s="1"/>
  <c r="BA14" i="23086"/>
  <c r="AN24" i="23086"/>
  <c r="BA36" i="23086"/>
  <c r="AO12" i="23086"/>
  <c r="AO14" i="23086"/>
  <c r="AX13" i="23086"/>
  <c r="AW14" i="23086"/>
  <c r="AV24" i="23086"/>
  <c r="AR11" i="23086"/>
  <c r="AR12" i="23086"/>
  <c r="AR13" i="23086"/>
  <c r="AP15" i="23086"/>
  <c r="AY24" i="23086"/>
  <c r="AO30" i="23086"/>
  <c r="AO36" i="23086" s="1"/>
  <c r="AU30" i="23086"/>
  <c r="AU36" i="23086" s="1"/>
  <c r="AR32" i="23086"/>
  <c r="AT15" i="23086"/>
  <c r="AT20" i="23086"/>
  <c r="AW15" i="23086"/>
  <c r="BA8" i="23086"/>
  <c r="AJ24" i="23086"/>
  <c r="AP24" i="23086"/>
  <c r="AV25" i="23086"/>
  <c r="AL8" i="23086"/>
  <c r="AR8" i="23086"/>
  <c r="AX8" i="23086"/>
  <c r="AO13" i="23086"/>
  <c r="AT14" i="23086"/>
  <c r="AM15" i="23086"/>
  <c r="AS15" i="23086"/>
  <c r="AY15" i="23086"/>
  <c r="AM23" i="23086"/>
  <c r="AS23" i="23086"/>
  <c r="AK24" i="23086"/>
  <c r="AQ24" i="23086"/>
  <c r="BB24" i="23086"/>
  <c r="AY25" i="23086"/>
  <c r="AR14" i="23086"/>
  <c r="AO11" i="23086"/>
  <c r="BB23" i="23086"/>
  <c r="AU12" i="23086"/>
  <c r="AN15" i="23086"/>
  <c r="AZ15" i="23086"/>
  <c r="AO23" i="23086" l="1"/>
  <c r="CQ29" i="23140"/>
  <c r="CQ72" i="23140"/>
  <c r="CQ34" i="23140"/>
  <c r="CQ126" i="23140"/>
  <c r="CQ127" i="23140" s="1"/>
  <c r="CQ41" i="23140"/>
  <c r="CQ42" i="23140" s="1"/>
  <c r="CQ44" i="23140"/>
  <c r="CN73" i="23140"/>
  <c r="CN74" i="23140" s="1"/>
  <c r="CO126" i="23140"/>
  <c r="CO127" i="23140" s="1"/>
  <c r="CO44" i="23140"/>
  <c r="CO41" i="23140"/>
  <c r="CO42" i="23140" s="1"/>
  <c r="CO34" i="23140"/>
  <c r="CO29" i="23140"/>
  <c r="CO47" i="23140" s="1"/>
  <c r="CP68" i="23140"/>
  <c r="CP75" i="23140"/>
  <c r="CK128" i="23140"/>
  <c r="DH29" i="23140"/>
  <c r="CU29" i="23140"/>
  <c r="CM30" i="23140"/>
  <c r="CM56" i="23140"/>
  <c r="CM35" i="23140"/>
  <c r="DH34" i="23140"/>
  <c r="CU34" i="23140"/>
  <c r="CM11" i="23140"/>
  <c r="CN84" i="23140"/>
  <c r="CN83" i="23140"/>
  <c r="CN43" i="23140"/>
  <c r="CO45" i="23140" s="1"/>
  <c r="CN39" i="23140"/>
  <c r="CM42" i="23140"/>
  <c r="DH41" i="23140"/>
  <c r="CK26" i="23140"/>
  <c r="CM26" i="23140" s="1"/>
  <c r="CK21" i="23140"/>
  <c r="CK14" i="23140"/>
  <c r="CK12" i="23140"/>
  <c r="CK15" i="23140"/>
  <c r="CK18" i="23140"/>
  <c r="CL14" i="23140"/>
  <c r="CL15" i="23140"/>
  <c r="CI15" i="23140"/>
  <c r="CJ15" i="23140"/>
  <c r="AO25" i="23086"/>
  <c r="AO15" i="23086"/>
  <c r="AL24" i="23086"/>
  <c r="AU8" i="23086"/>
  <c r="AX20" i="23086" s="1"/>
  <c r="AL23" i="23086"/>
  <c r="AL25" i="23086"/>
  <c r="AX14" i="23086"/>
  <c r="AR24" i="23086"/>
  <c r="BA20" i="23086"/>
  <c r="BA15" i="23086"/>
  <c r="AR15" i="23086"/>
  <c r="AR25" i="23086"/>
  <c r="AR23" i="23086"/>
  <c r="CR127" i="23140" l="1"/>
  <c r="CQ128" i="23140"/>
  <c r="CQ132" i="23140"/>
  <c r="CQ11" i="23140"/>
  <c r="CQ35" i="23140"/>
  <c r="CQ47" i="23140"/>
  <c r="CQ56" i="23140"/>
  <c r="CQ30" i="23140"/>
  <c r="CP82" i="23140"/>
  <c r="CP71" i="23140"/>
  <c r="CP70" i="23140"/>
  <c r="CP69" i="23140"/>
  <c r="CQ70" i="23140"/>
  <c r="CR68" i="23140"/>
  <c r="CK22" i="23140"/>
  <c r="CK23" i="23140"/>
  <c r="CL23" i="23140"/>
  <c r="CN40" i="23140"/>
  <c r="CN18" i="23140"/>
  <c r="CN45" i="23140"/>
  <c r="CN41" i="23140"/>
  <c r="CN29" i="23140"/>
  <c r="CO31" i="23140" s="1"/>
  <c r="CN34" i="23140"/>
  <c r="CN44" i="23140"/>
  <c r="CO30" i="23140"/>
  <c r="CO56" i="23140"/>
  <c r="CO35" i="23140"/>
  <c r="CO11" i="23140"/>
  <c r="CM18" i="23140"/>
  <c r="DH11" i="23140"/>
  <c r="CM12" i="23140"/>
  <c r="CM21" i="23140"/>
  <c r="CU11" i="23140"/>
  <c r="CO128" i="23140"/>
  <c r="CO132" i="23140"/>
  <c r="CK19" i="23140"/>
  <c r="CK20" i="23140"/>
  <c r="CL20" i="23140"/>
  <c r="CN72" i="23140"/>
  <c r="AU20" i="23086"/>
  <c r="AX15" i="23086"/>
  <c r="AU15" i="23086"/>
  <c r="AL86" i="23086"/>
  <c r="AI86" i="23086"/>
  <c r="AF86" i="23086"/>
  <c r="AC86" i="23086"/>
  <c r="AM84" i="23086"/>
  <c r="AM85" i="23086" s="1"/>
  <c r="AK84" i="23086"/>
  <c r="AK85" i="23086" s="1"/>
  <c r="AJ84" i="23086"/>
  <c r="AJ85" i="23086" s="1"/>
  <c r="AH84" i="23086"/>
  <c r="AH85" i="23086" s="1"/>
  <c r="AX63" i="23086"/>
  <c r="AU63" i="23086"/>
  <c r="AY62" i="23086"/>
  <c r="AW62" i="23086"/>
  <c r="AV62" i="23086"/>
  <c r="AT62" i="23086"/>
  <c r="AS62" i="23086"/>
  <c r="AQ62" i="23086"/>
  <c r="AP62" i="23086"/>
  <c r="AN62" i="23086"/>
  <c r="AM62" i="23086"/>
  <c r="AK62" i="23086"/>
  <c r="AX61" i="23086"/>
  <c r="AU61" i="23086"/>
  <c r="AR61" i="23086"/>
  <c r="AO61" i="23086"/>
  <c r="AL61" i="23086"/>
  <c r="AX60" i="23086"/>
  <c r="AV60" i="23086"/>
  <c r="AT60" i="23086"/>
  <c r="AQ60" i="23086"/>
  <c r="AR60" i="23086" s="1"/>
  <c r="AN60" i="23086"/>
  <c r="AO60" i="23086" s="1"/>
  <c r="AM60" i="23086"/>
  <c r="AK60" i="23086"/>
  <c r="AJ60" i="23086"/>
  <c r="B51" i="23086"/>
  <c r="B49" i="23086"/>
  <c r="B48" i="23086"/>
  <c r="B47" i="23086"/>
  <c r="B45" i="23086"/>
  <c r="B43" i="23086"/>
  <c r="AH36" i="23086"/>
  <c r="AG36" i="23086"/>
  <c r="AI34" i="23086"/>
  <c r="AD32" i="23086"/>
  <c r="AI30" i="23086"/>
  <c r="AI28" i="23086"/>
  <c r="AD28" i="23086"/>
  <c r="AA28" i="23086" s="1"/>
  <c r="AL2" i="23086"/>
  <c r="AK2" i="23086"/>
  <c r="AI2" i="23086"/>
  <c r="AH2" i="23086"/>
  <c r="AF2" i="23086"/>
  <c r="AE2" i="23086"/>
  <c r="AC2" i="23086"/>
  <c r="AB2" i="23086"/>
  <c r="B20" i="23086"/>
  <c r="B15" i="23086"/>
  <c r="AH14" i="23086"/>
  <c r="AG14" i="23086"/>
  <c r="AE14" i="23086"/>
  <c r="AD14" i="23086"/>
  <c r="B14" i="23086"/>
  <c r="AH13" i="23086"/>
  <c r="AG13" i="23086"/>
  <c r="AE13" i="23086"/>
  <c r="AD13" i="23086"/>
  <c r="AH12" i="23086"/>
  <c r="AG12" i="23086"/>
  <c r="AE12" i="23086"/>
  <c r="AD12" i="23086"/>
  <c r="B12" i="23086"/>
  <c r="AH11" i="23086"/>
  <c r="AG11" i="23086"/>
  <c r="AE11" i="23086"/>
  <c r="AD11" i="23086"/>
  <c r="B11" i="23086"/>
  <c r="AH8" i="23086"/>
  <c r="AG8" i="23086"/>
  <c r="AE8" i="23086"/>
  <c r="AE23" i="23086" s="1"/>
  <c r="AD8" i="23086"/>
  <c r="AD23" i="23086" s="1"/>
  <c r="AB8" i="23086"/>
  <c r="AB24" i="23086" s="1"/>
  <c r="AA8" i="23086"/>
  <c r="AA25" i="23086" s="1"/>
  <c r="AI7" i="23086"/>
  <c r="AL14" i="23086" s="1"/>
  <c r="AF7" i="23086"/>
  <c r="AC7" i="23086"/>
  <c r="AI6" i="23086"/>
  <c r="AL12" i="23086" s="1"/>
  <c r="AF6" i="23086"/>
  <c r="AC6" i="23086"/>
  <c r="AI5" i="23086"/>
  <c r="AF5" i="23086"/>
  <c r="AC5" i="23086"/>
  <c r="Z320" i="23083"/>
  <c r="X320" i="23083"/>
  <c r="W320" i="23083"/>
  <c r="U320" i="23083"/>
  <c r="T320" i="23083"/>
  <c r="R320" i="23083"/>
  <c r="Q320" i="23083"/>
  <c r="N320" i="23083"/>
  <c r="Z319" i="23083"/>
  <c r="X319" i="23083"/>
  <c r="W319" i="23083"/>
  <c r="U319" i="23083"/>
  <c r="T319" i="23083"/>
  <c r="R319" i="23083"/>
  <c r="Q319" i="23083"/>
  <c r="N319" i="23083"/>
  <c r="Z317" i="23083"/>
  <c r="Z316" i="23083" s="1"/>
  <c r="X317" i="23083"/>
  <c r="X316" i="23083" s="1"/>
  <c r="W317" i="23083"/>
  <c r="W89" i="23083" s="1"/>
  <c r="W206" i="23083" s="1"/>
  <c r="U317" i="23083"/>
  <c r="T317" i="23083"/>
  <c r="R317" i="23083"/>
  <c r="R89" i="23083" s="1"/>
  <c r="Q317" i="23083"/>
  <c r="Q89" i="23083" s="1"/>
  <c r="Q206" i="23083" s="1"/>
  <c r="N317" i="23083"/>
  <c r="N89" i="23083" s="1"/>
  <c r="S316" i="23083"/>
  <c r="Y315" i="23083"/>
  <c r="V315" i="23083"/>
  <c r="V320" i="23083" s="1"/>
  <c r="S315" i="23083"/>
  <c r="S320" i="23083" s="1"/>
  <c r="N307" i="23083"/>
  <c r="Q307" i="23083" s="1"/>
  <c r="T307" i="23083" s="1"/>
  <c r="W307" i="23083" s="1"/>
  <c r="Z307" i="23083" s="1"/>
  <c r="Z306" i="23083"/>
  <c r="W306" i="23083"/>
  <c r="T306" i="23083"/>
  <c r="Q306" i="23083"/>
  <c r="N306" i="23083"/>
  <c r="P304" i="23083"/>
  <c r="O304" i="23083"/>
  <c r="Z303" i="23083"/>
  <c r="Z304" i="23083" s="1"/>
  <c r="W303" i="23083"/>
  <c r="W304" i="23083" s="1"/>
  <c r="T303" i="23083"/>
  <c r="T304" i="23083" s="1"/>
  <c r="Q303" i="23083"/>
  <c r="Q304" i="23083" s="1"/>
  <c r="N303" i="23083"/>
  <c r="N304" i="23083" s="1"/>
  <c r="Q297" i="23083"/>
  <c r="N297" i="23083"/>
  <c r="Q296" i="23083"/>
  <c r="N296" i="23083"/>
  <c r="Q293" i="23083"/>
  <c r="T293" i="23083" s="1"/>
  <c r="X292" i="23083"/>
  <c r="U292" i="23083"/>
  <c r="Z283" i="23083"/>
  <c r="W283" i="23083"/>
  <c r="T283" i="23083"/>
  <c r="Q283" i="23083"/>
  <c r="N283" i="23083"/>
  <c r="Z255" i="23083"/>
  <c r="X255" i="23083"/>
  <c r="W255" i="23083"/>
  <c r="U255" i="23083"/>
  <c r="T255" i="23083"/>
  <c r="R255" i="23083"/>
  <c r="Q255" i="23083"/>
  <c r="O255" i="23083"/>
  <c r="N255" i="23083"/>
  <c r="W253" i="23083"/>
  <c r="Z253" i="23083" s="1"/>
  <c r="U253" i="23083"/>
  <c r="R253" i="23083"/>
  <c r="O253" i="23083"/>
  <c r="Y252" i="23083"/>
  <c r="V252" i="23083"/>
  <c r="S252" i="23083"/>
  <c r="S254" i="23083" s="1"/>
  <c r="S255" i="23083" s="1"/>
  <c r="P252" i="23083"/>
  <c r="P254" i="23083" s="1"/>
  <c r="P255" i="23083" s="1"/>
  <c r="M252" i="23083"/>
  <c r="M254" i="23083" s="1"/>
  <c r="M255" i="23083" s="1"/>
  <c r="L252" i="23083"/>
  <c r="L254" i="23083" s="1"/>
  <c r="L255" i="23083" s="1"/>
  <c r="K252" i="23083"/>
  <c r="J252" i="23083" s="1"/>
  <c r="J254" i="23083" s="1"/>
  <c r="J255" i="23083" s="1"/>
  <c r="I252" i="23083"/>
  <c r="I254" i="23083" s="1"/>
  <c r="I255" i="23083" s="1"/>
  <c r="H252" i="23083"/>
  <c r="H254" i="23083" s="1"/>
  <c r="H255" i="23083" s="1"/>
  <c r="F252" i="23083"/>
  <c r="F254" i="23083" s="1"/>
  <c r="F255" i="23083" s="1"/>
  <c r="E252" i="23083"/>
  <c r="E254" i="23083" s="1"/>
  <c r="E255" i="23083" s="1"/>
  <c r="Z251" i="23083"/>
  <c r="X251" i="23083"/>
  <c r="W251" i="23083"/>
  <c r="U251" i="23083"/>
  <c r="T251" i="23083"/>
  <c r="S251" i="23083"/>
  <c r="R251" i="23083"/>
  <c r="Q251" i="23083"/>
  <c r="P251" i="23083"/>
  <c r="O251" i="23083"/>
  <c r="N251" i="23083"/>
  <c r="M251" i="23083"/>
  <c r="L251" i="23083"/>
  <c r="K251" i="23083"/>
  <c r="J251" i="23083"/>
  <c r="I251" i="23083"/>
  <c r="H251" i="23083"/>
  <c r="G251" i="23083"/>
  <c r="F251" i="23083"/>
  <c r="E251" i="23083"/>
  <c r="Z246" i="23083"/>
  <c r="Z248" i="23083" s="1"/>
  <c r="Y246" i="23083"/>
  <c r="X246" i="23083"/>
  <c r="X248" i="23083" s="1"/>
  <c r="W246" i="23083"/>
  <c r="W248" i="23083" s="1"/>
  <c r="V246" i="23083"/>
  <c r="U246" i="23083"/>
  <c r="U248" i="23083" s="1"/>
  <c r="T246" i="23083"/>
  <c r="T248" i="23083" s="1"/>
  <c r="R246" i="23083"/>
  <c r="R248" i="23083" s="1"/>
  <c r="Q246" i="23083"/>
  <c r="Q248" i="23083" s="1"/>
  <c r="O246" i="23083"/>
  <c r="O248" i="23083" s="1"/>
  <c r="N246" i="23083"/>
  <c r="N248" i="23083" s="1"/>
  <c r="T240" i="23083"/>
  <c r="W240" i="23083" s="1"/>
  <c r="Z240" i="23083" s="1"/>
  <c r="T237" i="23083"/>
  <c r="T236" i="23083"/>
  <c r="W236" i="23083" s="1"/>
  <c r="Z236" i="23083" s="1"/>
  <c r="T233" i="23083"/>
  <c r="W233" i="23083" s="1"/>
  <c r="Z233" i="23083" s="1"/>
  <c r="T232" i="23083"/>
  <c r="W232" i="23083" s="1"/>
  <c r="Z210" i="23083"/>
  <c r="W210" i="23083"/>
  <c r="T210" i="23083"/>
  <c r="Z205" i="23083"/>
  <c r="W205" i="23083"/>
  <c r="T205" i="23083"/>
  <c r="Q200" i="23083"/>
  <c r="N200" i="23083"/>
  <c r="Z198" i="23083"/>
  <c r="X198" i="23083"/>
  <c r="W198" i="23083"/>
  <c r="U198" i="23083"/>
  <c r="T198" i="23083"/>
  <c r="T296" i="23083" s="1"/>
  <c r="X189" i="23083"/>
  <c r="W189" i="23083"/>
  <c r="U189" i="23083"/>
  <c r="T189" i="23083"/>
  <c r="Z188" i="23083"/>
  <c r="Z189" i="23083" s="1"/>
  <c r="X182" i="23083"/>
  <c r="U182" i="23083"/>
  <c r="Z181" i="23083"/>
  <c r="Z182" i="23083" s="1"/>
  <c r="W181" i="23083"/>
  <c r="W182" i="23083" s="1"/>
  <c r="T181" i="23083"/>
  <c r="T182" i="23083" s="1"/>
  <c r="X172" i="23083"/>
  <c r="Z169" i="23083"/>
  <c r="X169" i="23083"/>
  <c r="W169" i="23083"/>
  <c r="U169" i="23083"/>
  <c r="T169" i="23083"/>
  <c r="Z164" i="23083"/>
  <c r="Z172" i="23083" s="1"/>
  <c r="W164" i="23083"/>
  <c r="W297" i="23083" s="1"/>
  <c r="U164" i="23083"/>
  <c r="T164" i="23083"/>
  <c r="Z162" i="23083"/>
  <c r="W162" i="23083"/>
  <c r="T162" i="23083"/>
  <c r="U161" i="23083"/>
  <c r="Z160" i="23083"/>
  <c r="X160" i="23083"/>
  <c r="W160" i="23083"/>
  <c r="T160" i="23083"/>
  <c r="Z156" i="23083"/>
  <c r="W156" i="23083"/>
  <c r="T156" i="23083"/>
  <c r="Z150" i="23083"/>
  <c r="X150" i="23083"/>
  <c r="W150" i="23083"/>
  <c r="U150" i="23083"/>
  <c r="T150" i="23083"/>
  <c r="X127" i="23083"/>
  <c r="W127" i="23083"/>
  <c r="Z126" i="23083" s="1"/>
  <c r="T127" i="23083"/>
  <c r="W126" i="23083" s="1"/>
  <c r="N127" i="23083"/>
  <c r="Q126" i="23083" s="1"/>
  <c r="X126" i="23083"/>
  <c r="N126" i="23083"/>
  <c r="N123" i="23083"/>
  <c r="N124" i="23083" s="1"/>
  <c r="Z119" i="23083"/>
  <c r="X119" i="23083"/>
  <c r="W119" i="23083"/>
  <c r="X118" i="23083" s="1"/>
  <c r="T119" i="23083"/>
  <c r="W118" i="23083" s="1"/>
  <c r="Q119" i="23083"/>
  <c r="T118" i="23083" s="1"/>
  <c r="N119" i="23083"/>
  <c r="Q118" i="23083" s="1"/>
  <c r="N118" i="23083"/>
  <c r="Z113" i="23083"/>
  <c r="X113" i="23083"/>
  <c r="W113" i="23083"/>
  <c r="X112" i="23083" s="1"/>
  <c r="T113" i="23083"/>
  <c r="W112" i="23083" s="1"/>
  <c r="Q113" i="23083"/>
  <c r="T112" i="23083" s="1"/>
  <c r="N113" i="23083"/>
  <c r="Q112" i="23083" s="1"/>
  <c r="N112" i="23083"/>
  <c r="Z108" i="23083"/>
  <c r="R108" i="23083"/>
  <c r="N108" i="23083"/>
  <c r="Z106" i="23083"/>
  <c r="W106" i="23083"/>
  <c r="U106" i="23083"/>
  <c r="T106" i="23083"/>
  <c r="R106" i="23083"/>
  <c r="Q106" i="23083"/>
  <c r="N106" i="23083"/>
  <c r="Z103" i="23083"/>
  <c r="W103" i="23083"/>
  <c r="U103" i="23083"/>
  <c r="T103" i="23083"/>
  <c r="R103" i="23083"/>
  <c r="Q103" i="23083"/>
  <c r="Z100" i="23083"/>
  <c r="X100" i="23083"/>
  <c r="W100" i="23083"/>
  <c r="U100" i="23083"/>
  <c r="T100" i="23083"/>
  <c r="R100" i="23083"/>
  <c r="Q100" i="23083"/>
  <c r="O100" i="23083"/>
  <c r="N100" i="23083"/>
  <c r="X96" i="23083"/>
  <c r="W96" i="23083"/>
  <c r="U96" i="23083"/>
  <c r="T96" i="23083"/>
  <c r="Q96" i="23083"/>
  <c r="O96" i="23083"/>
  <c r="Z94" i="23083"/>
  <c r="Z96" i="23083" s="1"/>
  <c r="R94" i="23083"/>
  <c r="R96" i="23083" s="1"/>
  <c r="N94" i="23083"/>
  <c r="N96" i="23083" s="1"/>
  <c r="Z91" i="23083"/>
  <c r="W91" i="23083"/>
  <c r="U91" i="23083"/>
  <c r="T91" i="23083"/>
  <c r="R91" i="23083"/>
  <c r="N91" i="23083"/>
  <c r="P89" i="23083"/>
  <c r="O89" i="23083"/>
  <c r="O88" i="23083"/>
  <c r="Z87" i="23083"/>
  <c r="U87" i="23083"/>
  <c r="T87" i="23083"/>
  <c r="N87" i="23083"/>
  <c r="Z86" i="23083"/>
  <c r="X86" i="23083"/>
  <c r="W86" i="23083"/>
  <c r="U86" i="23083"/>
  <c r="T86" i="23083"/>
  <c r="R86" i="23083"/>
  <c r="Q86" i="23083"/>
  <c r="N86" i="23083"/>
  <c r="Z85" i="23083"/>
  <c r="X85" i="23083"/>
  <c r="W85" i="23083"/>
  <c r="U85" i="23083"/>
  <c r="T85" i="23083"/>
  <c r="R85" i="23083"/>
  <c r="Q85" i="23083"/>
  <c r="N85" i="23083"/>
  <c r="X83" i="23083"/>
  <c r="U83" i="23083"/>
  <c r="R83" i="23083"/>
  <c r="Q83" i="23083"/>
  <c r="O83" i="23083"/>
  <c r="N83" i="23083"/>
  <c r="L70" i="23083"/>
  <c r="M69" i="23083"/>
  <c r="L69" i="23083"/>
  <c r="G69" i="23083"/>
  <c r="F69" i="23083"/>
  <c r="M68" i="23083"/>
  <c r="L68" i="23083"/>
  <c r="M61" i="23083"/>
  <c r="L61" i="23083"/>
  <c r="M60" i="23083"/>
  <c r="L60" i="23083"/>
  <c r="Z59" i="23083"/>
  <c r="X59" i="23083"/>
  <c r="W59" i="23083"/>
  <c r="T59" i="23083"/>
  <c r="Q59" i="23083"/>
  <c r="Z58" i="23083"/>
  <c r="X58" i="23083"/>
  <c r="W58" i="23083"/>
  <c r="T58" i="23083"/>
  <c r="Q58" i="23083"/>
  <c r="Z57" i="23083"/>
  <c r="X57" i="23083"/>
  <c r="W57" i="23083"/>
  <c r="T57" i="23083"/>
  <c r="Q57" i="23083"/>
  <c r="M56" i="23083"/>
  <c r="L56" i="23083"/>
  <c r="Y50" i="23083"/>
  <c r="X50" i="23083"/>
  <c r="X51" i="23083" s="1"/>
  <c r="V50" i="23083"/>
  <c r="U50" i="23083"/>
  <c r="U51" i="23083" s="1"/>
  <c r="S50" i="23083"/>
  <c r="R50" i="23083"/>
  <c r="R51" i="23083" s="1"/>
  <c r="P50" i="23083"/>
  <c r="O50" i="23083"/>
  <c r="M50" i="23083"/>
  <c r="L50" i="23083"/>
  <c r="Z49" i="23083"/>
  <c r="W49" i="23083"/>
  <c r="T49" i="23083"/>
  <c r="Q49" i="23083"/>
  <c r="N49" i="23083"/>
  <c r="Z48" i="23083"/>
  <c r="W48" i="23083"/>
  <c r="T48" i="23083"/>
  <c r="Q48" i="23083"/>
  <c r="N48" i="23083"/>
  <c r="P45" i="23083"/>
  <c r="O45" i="23083"/>
  <c r="Y43" i="23083"/>
  <c r="V43" i="23083"/>
  <c r="S43" i="23083"/>
  <c r="P43" i="23083"/>
  <c r="Z41" i="23083"/>
  <c r="Z263" i="23083" s="1"/>
  <c r="X41" i="23083"/>
  <c r="X263" i="23083" s="1"/>
  <c r="W41" i="23083"/>
  <c r="W263" i="23083" s="1"/>
  <c r="U41" i="23083"/>
  <c r="U263" i="23083" s="1"/>
  <c r="T41" i="23083"/>
  <c r="T263" i="23083" s="1"/>
  <c r="R41" i="23083"/>
  <c r="R263" i="23083" s="1"/>
  <c r="Q41" i="23083"/>
  <c r="Q263" i="23083" s="1"/>
  <c r="O41" i="23083"/>
  <c r="N41" i="23083"/>
  <c r="N263" i="23083" s="1"/>
  <c r="S38" i="23083"/>
  <c r="S37" i="23083"/>
  <c r="Z35" i="23083"/>
  <c r="X35" i="23083"/>
  <c r="W35" i="23083"/>
  <c r="U35" i="23083"/>
  <c r="T35" i="23083"/>
  <c r="R35" i="23083"/>
  <c r="Q35" i="23083"/>
  <c r="O35" i="23083"/>
  <c r="N35" i="23083"/>
  <c r="Z33" i="23083"/>
  <c r="Z123" i="23083" s="1"/>
  <c r="Z124" i="23083" s="1"/>
  <c r="X33" i="23083"/>
  <c r="W33" i="23083"/>
  <c r="U33" i="23083"/>
  <c r="T33" i="23083"/>
  <c r="T123" i="23083" s="1"/>
  <c r="T124" i="23083" s="1"/>
  <c r="Q33" i="23083"/>
  <c r="Q123" i="23083" s="1"/>
  <c r="Q124" i="23083" s="1"/>
  <c r="Y32" i="23083"/>
  <c r="V32" i="23083"/>
  <c r="S32" i="23083"/>
  <c r="P32" i="23083"/>
  <c r="W29" i="23083"/>
  <c r="U29" i="23083"/>
  <c r="T29" i="23083"/>
  <c r="R29" i="23083"/>
  <c r="Q29" i="23083"/>
  <c r="O29" i="23083"/>
  <c r="O62" i="23083" s="1"/>
  <c r="N29" i="23083"/>
  <c r="Z28" i="23083"/>
  <c r="Z29" i="23083" s="1"/>
  <c r="X28" i="23083"/>
  <c r="X29" i="23083" s="1"/>
  <c r="V28" i="23083"/>
  <c r="S28" i="23083"/>
  <c r="P28" i="23083"/>
  <c r="Y27" i="23083"/>
  <c r="V27" i="23083"/>
  <c r="S27" i="23083"/>
  <c r="P27" i="23083"/>
  <c r="D24" i="23083"/>
  <c r="G61" i="23083" s="1"/>
  <c r="C24" i="23083"/>
  <c r="F61" i="23083" s="1"/>
  <c r="Z18" i="23083"/>
  <c r="X18" i="23083"/>
  <c r="W18" i="23083"/>
  <c r="U18" i="23083"/>
  <c r="T18" i="23083"/>
  <c r="R18" i="23083"/>
  <c r="Q18" i="23083"/>
  <c r="O18" i="23083"/>
  <c r="O60" i="23083" s="1"/>
  <c r="N18" i="23083"/>
  <c r="Y17" i="23083"/>
  <c r="V17" i="23083"/>
  <c r="S17" i="23083"/>
  <c r="P17" i="23083"/>
  <c r="Y16" i="23083"/>
  <c r="V16" i="23083"/>
  <c r="S16" i="23083"/>
  <c r="P16" i="23083"/>
  <c r="Y15" i="23083"/>
  <c r="Y319" i="23083" s="1"/>
  <c r="V15" i="23083"/>
  <c r="V319" i="23083" s="1"/>
  <c r="S15" i="23083"/>
  <c r="S319" i="23083" s="1"/>
  <c r="P15" i="23083"/>
  <c r="D8" i="23083"/>
  <c r="G56" i="23083" s="1"/>
  <c r="C8" i="23083"/>
  <c r="F56" i="23083" s="1"/>
  <c r="X62" i="23083" l="1"/>
  <c r="T62" i="23083"/>
  <c r="U62" i="23083"/>
  <c r="Z62" i="23083"/>
  <c r="W62" i="23083"/>
  <c r="Q62" i="23083"/>
  <c r="R62" i="23083"/>
  <c r="N72" i="23083"/>
  <c r="CN47" i="23140"/>
  <c r="CQ26" i="23140"/>
  <c r="CQ12" i="23140"/>
  <c r="CQ21" i="23140"/>
  <c r="CQ22" i="23140" s="1"/>
  <c r="CQ18" i="23140"/>
  <c r="CQ19" i="23140" s="1"/>
  <c r="CR132" i="23140"/>
  <c r="CR128" i="23140"/>
  <c r="DH18" i="23140"/>
  <c r="CM19" i="23140"/>
  <c r="CP73" i="23140"/>
  <c r="CP74" i="23140" s="1"/>
  <c r="CR71" i="23140"/>
  <c r="CN35" i="23140"/>
  <c r="CN11" i="23140"/>
  <c r="CP83" i="23140"/>
  <c r="CP84" i="23140"/>
  <c r="CP43" i="23140"/>
  <c r="CP72" i="23140" s="1"/>
  <c r="CP39" i="23140"/>
  <c r="CQ84" i="23140"/>
  <c r="DH21" i="23140"/>
  <c r="CM22" i="23140"/>
  <c r="CO26" i="23140"/>
  <c r="CO12" i="23140"/>
  <c r="CO21" i="23140"/>
  <c r="CO18" i="23140"/>
  <c r="CN20" i="23140"/>
  <c r="CN19" i="23140"/>
  <c r="CR82" i="23140"/>
  <c r="DI68" i="23140"/>
  <c r="CR69" i="23140"/>
  <c r="CN30" i="23140"/>
  <c r="CN31" i="23140"/>
  <c r="CN56" i="23140"/>
  <c r="CN126" i="23140"/>
  <c r="CN127" i="23140" s="1"/>
  <c r="CN42" i="23140"/>
  <c r="CN21" i="23140"/>
  <c r="W316" i="23083"/>
  <c r="X72" i="23083"/>
  <c r="W24" i="23083"/>
  <c r="W223" i="23083" s="1"/>
  <c r="Q72" i="23083"/>
  <c r="Z89" i="23083"/>
  <c r="Z206" i="23083" s="1"/>
  <c r="Z72" i="23083"/>
  <c r="P35" i="23083"/>
  <c r="W163" i="23083"/>
  <c r="Y316" i="23083"/>
  <c r="Q120" i="23083"/>
  <c r="Q122" i="23083" s="1"/>
  <c r="Q299" i="23083"/>
  <c r="X120" i="23083"/>
  <c r="X122" i="23083" s="1"/>
  <c r="U172" i="23083"/>
  <c r="U174" i="23083" s="1"/>
  <c r="Q24" i="23083"/>
  <c r="Q82" i="23083" s="1"/>
  <c r="Q84" i="23083" s="1"/>
  <c r="Q138" i="23083" s="1"/>
  <c r="Y18" i="23083"/>
  <c r="P41" i="23083"/>
  <c r="X114" i="23083"/>
  <c r="X116" i="23083" s="1"/>
  <c r="Q114" i="23083"/>
  <c r="Q116" i="23083" s="1"/>
  <c r="G252" i="23083"/>
  <c r="G254" i="23083" s="1"/>
  <c r="G255" i="23083" s="1"/>
  <c r="V263" i="23083"/>
  <c r="U88" i="23083"/>
  <c r="N140" i="23083"/>
  <c r="U191" i="23083"/>
  <c r="X24" i="23083"/>
  <c r="X30" i="23083" s="1"/>
  <c r="X34" i="23083" s="1"/>
  <c r="X36" i="23083" s="1"/>
  <c r="W293" i="23083"/>
  <c r="U293" i="23083"/>
  <c r="N102" i="23083"/>
  <c r="U102" i="23083"/>
  <c r="W128" i="23083"/>
  <c r="W310" i="23083" s="1"/>
  <c r="T191" i="23083"/>
  <c r="W202" i="23083"/>
  <c r="Q88" i="23083"/>
  <c r="Q90" i="23083" s="1"/>
  <c r="Y59" i="23083"/>
  <c r="Z102" i="23083"/>
  <c r="C18" i="23083"/>
  <c r="F60" i="23083" s="1"/>
  <c r="X321" i="23083"/>
  <c r="X323" i="23083" s="1"/>
  <c r="U60" i="23083"/>
  <c r="W8" i="23083"/>
  <c r="W215" i="23083" s="1"/>
  <c r="W211" i="23083"/>
  <c r="W83" i="23083" s="1"/>
  <c r="Q298" i="23083"/>
  <c r="Q300" i="23083" s="1"/>
  <c r="Q321" i="23083"/>
  <c r="Q323" i="23083" s="1"/>
  <c r="U321" i="23083"/>
  <c r="U323" i="23083" s="1"/>
  <c r="Q19" i="23083"/>
  <c r="Z19" i="23083"/>
  <c r="V29" i="23083"/>
  <c r="S35" i="23083"/>
  <c r="W114" i="23083"/>
  <c r="W116" i="23083" s="1"/>
  <c r="X191" i="23083"/>
  <c r="Z211" i="23083"/>
  <c r="Z83" i="23083" s="1"/>
  <c r="V35" i="23083"/>
  <c r="O102" i="23083"/>
  <c r="S317" i="23083"/>
  <c r="S89" i="23083" s="1"/>
  <c r="R102" i="23083"/>
  <c r="T102" i="23083"/>
  <c r="W120" i="23083"/>
  <c r="W122" i="23083" s="1"/>
  <c r="W172" i="23083"/>
  <c r="W174" i="23083" s="1"/>
  <c r="R321" i="23083"/>
  <c r="R323" i="23083" s="1"/>
  <c r="T309" i="23083"/>
  <c r="AU62" i="23086"/>
  <c r="AG25" i="23086"/>
  <c r="AJ15" i="23086"/>
  <c r="AH24" i="23086"/>
  <c r="AK15" i="23086"/>
  <c r="AL13" i="23086"/>
  <c r="AL11" i="23086"/>
  <c r="Z174" i="23083"/>
  <c r="W191" i="23083"/>
  <c r="P18" i="23083"/>
  <c r="P60" i="23083" s="1"/>
  <c r="X102" i="23083"/>
  <c r="Z112" i="23083"/>
  <c r="Z114" i="23083" s="1"/>
  <c r="Z116" i="23083" s="1"/>
  <c r="Z118" i="23083"/>
  <c r="Z120" i="23083" s="1"/>
  <c r="Z122" i="23083" s="1"/>
  <c r="N309" i="23083"/>
  <c r="Z321" i="23083"/>
  <c r="Z323" i="23083" s="1"/>
  <c r="U13" i="23083"/>
  <c r="X19" i="23083"/>
  <c r="T72" i="23083"/>
  <c r="T88" i="23083"/>
  <c r="T89" i="23083"/>
  <c r="T206" i="23083" s="1"/>
  <c r="N128" i="23083"/>
  <c r="N130" i="23083" s="1"/>
  <c r="Z60" i="23083"/>
  <c r="W72" i="23083"/>
  <c r="X89" i="23083"/>
  <c r="Q309" i="23083"/>
  <c r="Y317" i="23083"/>
  <c r="Y89" i="23083" s="1"/>
  <c r="T321" i="23083"/>
  <c r="T323" i="23083" s="1"/>
  <c r="U19" i="23083"/>
  <c r="K254" i="23083"/>
  <c r="K255" i="23083" s="1"/>
  <c r="V321" i="23083"/>
  <c r="V323" i="23083" s="1"/>
  <c r="T60" i="23083"/>
  <c r="T19" i="23083"/>
  <c r="P29" i="23083"/>
  <c r="P62" i="23083" s="1"/>
  <c r="V41" i="23083"/>
  <c r="Y57" i="23083"/>
  <c r="N88" i="23083"/>
  <c r="N90" i="23083" s="1"/>
  <c r="N285" i="23083" s="1"/>
  <c r="N289" i="23083" s="1"/>
  <c r="X88" i="23083"/>
  <c r="O90" i="23083"/>
  <c r="O92" i="23083" s="1"/>
  <c r="Q102" i="23083"/>
  <c r="W102" i="23083"/>
  <c r="T218" i="23083"/>
  <c r="T221" i="23083" s="1"/>
  <c r="N298" i="23083"/>
  <c r="N300" i="23083" s="1"/>
  <c r="AI84" i="23086"/>
  <c r="AI85" i="23086"/>
  <c r="AL85" i="23086"/>
  <c r="AL84" i="23086"/>
  <c r="AU60" i="23086"/>
  <c r="AX62" i="23086"/>
  <c r="AL60" i="23086"/>
  <c r="AL62" i="23086"/>
  <c r="AO62" i="23086"/>
  <c r="AR62" i="23086"/>
  <c r="T8" i="23083"/>
  <c r="T214" i="23083" s="1"/>
  <c r="U8" i="23083"/>
  <c r="U11" i="23083" s="1"/>
  <c r="AI12" i="23086"/>
  <c r="AA32" i="23086"/>
  <c r="AD49" i="23086" s="1"/>
  <c r="AB25" i="23086"/>
  <c r="AI36" i="23086"/>
  <c r="AF8" i="23086"/>
  <c r="AF24" i="23086" s="1"/>
  <c r="AD36" i="23086"/>
  <c r="AD45" i="23086"/>
  <c r="AF11" i="23086"/>
  <c r="AH25" i="23086"/>
  <c r="AD15" i="23086"/>
  <c r="AD24" i="23086"/>
  <c r="AF12" i="23086"/>
  <c r="AE15" i="23086"/>
  <c r="AE24" i="23086"/>
  <c r="AF14" i="23086"/>
  <c r="AG15" i="23086"/>
  <c r="AI11" i="23086"/>
  <c r="AF13" i="23086"/>
  <c r="AH15" i="23086"/>
  <c r="AD25" i="23086"/>
  <c r="AC8" i="23086"/>
  <c r="AC24" i="23086" s="1"/>
  <c r="AI8" i="23086"/>
  <c r="AL15" i="23086" s="1"/>
  <c r="AA23" i="23086"/>
  <c r="AG23" i="23086"/>
  <c r="AE25" i="23086"/>
  <c r="AI14" i="23086"/>
  <c r="AB23" i="23086"/>
  <c r="AH23" i="23086"/>
  <c r="AA24" i="23086"/>
  <c r="AG24" i="23086"/>
  <c r="AI13" i="23086"/>
  <c r="S29" i="23083"/>
  <c r="P33" i="23083"/>
  <c r="Q292" i="23083"/>
  <c r="Q50" i="23083"/>
  <c r="T297" i="23083"/>
  <c r="T298" i="23083" s="1"/>
  <c r="T300" i="23083" s="1"/>
  <c r="T172" i="23083"/>
  <c r="T174" i="23083" s="1"/>
  <c r="Z13" i="23083"/>
  <c r="Z24" i="23083"/>
  <c r="Z296" i="23083"/>
  <c r="Z218" i="23083"/>
  <c r="Z220" i="23083" s="1"/>
  <c r="N24" i="23083"/>
  <c r="Q13" i="23083"/>
  <c r="N206" i="23083"/>
  <c r="N114" i="23083"/>
  <c r="N116" i="23083" s="1"/>
  <c r="W123" i="23083"/>
  <c r="W124" i="23083" s="1"/>
  <c r="V33" i="23083"/>
  <c r="T13" i="23083"/>
  <c r="T24" i="23083"/>
  <c r="W13" i="23083"/>
  <c r="X123" i="23083"/>
  <c r="Y123" i="23083" s="1"/>
  <c r="Y33" i="23083"/>
  <c r="R19" i="23083"/>
  <c r="R60" i="23083"/>
  <c r="S18" i="23083"/>
  <c r="S321" i="23083"/>
  <c r="S323" i="23083" s="1"/>
  <c r="R24" i="23083"/>
  <c r="Y58" i="23083"/>
  <c r="X60" i="23083"/>
  <c r="U316" i="23083"/>
  <c r="U89" i="23083"/>
  <c r="W321" i="23083"/>
  <c r="S33" i="23083"/>
  <c r="Q140" i="23083"/>
  <c r="W140" i="23083"/>
  <c r="T292" i="23083"/>
  <c r="T50" i="23083"/>
  <c r="T51" i="23083" s="1"/>
  <c r="W88" i="23083"/>
  <c r="W90" i="23083" s="1"/>
  <c r="T140" i="23083"/>
  <c r="T120" i="23083"/>
  <c r="T122" i="23083" s="1"/>
  <c r="R13" i="23083"/>
  <c r="X13" i="23083"/>
  <c r="W19" i="23083"/>
  <c r="S41" i="23083"/>
  <c r="Y41" i="23083"/>
  <c r="W292" i="23083"/>
  <c r="V292" i="23083" s="1"/>
  <c r="W50" i="23083"/>
  <c r="W51" i="23083" s="1"/>
  <c r="T163" i="23083"/>
  <c r="Z191" i="23083"/>
  <c r="V317" i="23083"/>
  <c r="V18" i="23083"/>
  <c r="O24" i="23083"/>
  <c r="U24" i="23083"/>
  <c r="Y28" i="23083"/>
  <c r="Y29" i="23083" s="1"/>
  <c r="Y62" i="23083" s="1"/>
  <c r="Y35" i="23083"/>
  <c r="S263" i="23083"/>
  <c r="Y263" i="23083"/>
  <c r="Z50" i="23083"/>
  <c r="Z51" i="23083" s="1"/>
  <c r="Z292" i="23083"/>
  <c r="Y292" i="23083" s="1"/>
  <c r="Z88" i="23083"/>
  <c r="Z140" i="23083"/>
  <c r="T114" i="23083"/>
  <c r="T116" i="23083" s="1"/>
  <c r="W237" i="23083"/>
  <c r="Z237" i="23083" s="1"/>
  <c r="T239" i="23083"/>
  <c r="Z309" i="23083"/>
  <c r="Q60" i="23083"/>
  <c r="W60" i="23083"/>
  <c r="R88" i="23083"/>
  <c r="R90" i="23083" s="1"/>
  <c r="R92" i="23083" s="1"/>
  <c r="X128" i="23083"/>
  <c r="X130" i="23083" s="1"/>
  <c r="T202" i="23083"/>
  <c r="X174" i="23083"/>
  <c r="Z297" i="23083"/>
  <c r="Z163" i="23083"/>
  <c r="W234" i="23083"/>
  <c r="W235" i="23083" s="1"/>
  <c r="N299" i="23083"/>
  <c r="Y320" i="23083"/>
  <c r="Y321" i="23083" s="1"/>
  <c r="T203" i="23083"/>
  <c r="Z232" i="23083"/>
  <c r="W309" i="23083"/>
  <c r="N321" i="23083"/>
  <c r="N323" i="23083" s="1"/>
  <c r="N292" i="23083"/>
  <c r="N50" i="23083"/>
  <c r="N120" i="23083"/>
  <c r="N122" i="23083" s="1"/>
  <c r="W296" i="23083"/>
  <c r="W218" i="23083"/>
  <c r="W203" i="23083"/>
  <c r="T211" i="23083"/>
  <c r="T83" i="23083" s="1"/>
  <c r="T299" i="23083"/>
  <c r="T234" i="23083"/>
  <c r="X253" i="23083"/>
  <c r="S62" i="23083" l="1"/>
  <c r="V62" i="23083"/>
  <c r="CN128" i="23140"/>
  <c r="CN132" i="23140"/>
  <c r="CO20" i="23140"/>
  <c r="CO19" i="23140"/>
  <c r="CN26" i="23140"/>
  <c r="CN12" i="23140"/>
  <c r="CN14" i="23140"/>
  <c r="CN23" i="23140"/>
  <c r="CN22" i="23140"/>
  <c r="CO22" i="23140"/>
  <c r="CO23" i="23140"/>
  <c r="DI82" i="23140"/>
  <c r="CR83" i="23140"/>
  <c r="CO14" i="23140"/>
  <c r="CP40" i="23140"/>
  <c r="CR39" i="23140"/>
  <c r="CP126" i="23140"/>
  <c r="CP127" i="23140" s="1"/>
  <c r="CP44" i="23140"/>
  <c r="CP45" i="23140"/>
  <c r="CP46" i="23140"/>
  <c r="CP41" i="23140"/>
  <c r="CP34" i="23140"/>
  <c r="CP29" i="23140"/>
  <c r="CQ45" i="23140"/>
  <c r="CN46" i="23140"/>
  <c r="CO46" i="23140"/>
  <c r="CR43" i="23140"/>
  <c r="CQ46" i="23140"/>
  <c r="W204" i="23083"/>
  <c r="W30" i="23083"/>
  <c r="W131" i="23083" s="1"/>
  <c r="T220" i="23083"/>
  <c r="W82" i="23083"/>
  <c r="W135" i="23083" s="1"/>
  <c r="R107" i="23083"/>
  <c r="R109" i="23083" s="1"/>
  <c r="W209" i="23083"/>
  <c r="Z209" i="23083"/>
  <c r="X90" i="23083"/>
  <c r="X92" i="23083" s="1"/>
  <c r="X107" i="23083" s="1"/>
  <c r="X109" i="23083" s="1"/>
  <c r="W76" i="23083"/>
  <c r="W77" i="23083"/>
  <c r="Q137" i="23083"/>
  <c r="Q139" i="23083" s="1"/>
  <c r="W68" i="23083"/>
  <c r="W214" i="23083"/>
  <c r="W75" i="23083"/>
  <c r="U90" i="23083"/>
  <c r="U92" i="23083" s="1"/>
  <c r="U107" i="23083" s="1"/>
  <c r="U109" i="23083" s="1"/>
  <c r="W137" i="23083"/>
  <c r="Q25" i="23083"/>
  <c r="W78" i="23083"/>
  <c r="P88" i="23083"/>
  <c r="Q135" i="23083"/>
  <c r="Y72" i="23083"/>
  <c r="Z199" i="23083"/>
  <c r="Z200" i="23083" s="1"/>
  <c r="W326" i="23083"/>
  <c r="Y19" i="23083"/>
  <c r="W208" i="23083"/>
  <c r="Q30" i="23083"/>
  <c r="Q131" i="23083" s="1"/>
  <c r="W325" i="23083"/>
  <c r="U79" i="23083"/>
  <c r="U325" i="23083"/>
  <c r="X82" i="23083"/>
  <c r="X84" i="23083" s="1"/>
  <c r="X25" i="23083"/>
  <c r="N92" i="23083"/>
  <c r="N107" i="23083" s="1"/>
  <c r="N109" i="23083" s="1"/>
  <c r="U68" i="23083"/>
  <c r="T212" i="23083"/>
  <c r="T325" i="23083"/>
  <c r="T199" i="23083"/>
  <c r="T200" i="23083" s="1"/>
  <c r="W9" i="23083"/>
  <c r="Q285" i="23083"/>
  <c r="Q289" i="23083" s="1"/>
  <c r="Q92" i="23083"/>
  <c r="Q107" i="23083" s="1"/>
  <c r="Q109" i="23083" s="1"/>
  <c r="W130" i="23083"/>
  <c r="W199" i="23083"/>
  <c r="W200" i="23083" s="1"/>
  <c r="D18" i="23083"/>
  <c r="G60" i="23083" s="1"/>
  <c r="U76" i="23083"/>
  <c r="W79" i="23083"/>
  <c r="W213" i="23083"/>
  <c r="W212" i="23083"/>
  <c r="U326" i="23083"/>
  <c r="W69" i="23083"/>
  <c r="W11" i="23083"/>
  <c r="Z293" i="23083"/>
  <c r="X293" i="23083"/>
  <c r="O107" i="23083"/>
  <c r="O109" i="23083" s="1"/>
  <c r="N310" i="23083"/>
  <c r="N311" i="23083" s="1"/>
  <c r="T209" i="23083"/>
  <c r="W56" i="23083"/>
  <c r="T208" i="23083"/>
  <c r="T77" i="23083"/>
  <c r="T326" i="23083"/>
  <c r="T215" i="23083"/>
  <c r="T68" i="23083"/>
  <c r="T75" i="23083"/>
  <c r="T213" i="23083"/>
  <c r="W239" i="23083"/>
  <c r="W242" i="23083" s="1"/>
  <c r="X61" i="23083"/>
  <c r="T11" i="23083"/>
  <c r="T78" i="23083"/>
  <c r="T90" i="23083"/>
  <c r="T79" i="23083"/>
  <c r="AA36" i="23086"/>
  <c r="AD51" i="23086" s="1"/>
  <c r="AF23" i="23086"/>
  <c r="AF25" i="23086"/>
  <c r="AC25" i="23086"/>
  <c r="AF15" i="23086"/>
  <c r="AI24" i="23086"/>
  <c r="AI15" i="23086"/>
  <c r="AI25" i="23086"/>
  <c r="AI23" i="23086"/>
  <c r="AC23" i="23086"/>
  <c r="X71" i="23083"/>
  <c r="O30" i="23083"/>
  <c r="O34" i="23083" s="1"/>
  <c r="O36" i="23083" s="1"/>
  <c r="O40" i="23083" s="1"/>
  <c r="O42" i="23083" s="1"/>
  <c r="O82" i="23083"/>
  <c r="O84" i="23083" s="1"/>
  <c r="O61" i="23083"/>
  <c r="W220" i="23083"/>
  <c r="Z222" i="23083" s="1"/>
  <c r="Z221" i="23083"/>
  <c r="W221" i="23083"/>
  <c r="W225" i="23083" s="1"/>
  <c r="W285" i="23083"/>
  <c r="W289" i="23083" s="1"/>
  <c r="W92" i="23083"/>
  <c r="W107" i="23083" s="1"/>
  <c r="W109" i="23083" s="1"/>
  <c r="W323" i="23083"/>
  <c r="V60" i="23083"/>
  <c r="V19" i="23083"/>
  <c r="Y60" i="23083"/>
  <c r="V316" i="23083"/>
  <c r="W298" i="23083"/>
  <c r="W300" i="23083" s="1"/>
  <c r="W299" i="23083"/>
  <c r="Y323" i="23083"/>
  <c r="W25" i="23083"/>
  <c r="X40" i="23083"/>
  <c r="R82" i="23083"/>
  <c r="R84" i="23083" s="1"/>
  <c r="R30" i="23083"/>
  <c r="R34" i="23083" s="1"/>
  <c r="R25" i="23083"/>
  <c r="R61" i="23083"/>
  <c r="T223" i="23083"/>
  <c r="T61" i="23083"/>
  <c r="T82" i="23083"/>
  <c r="T137" i="23083" s="1"/>
  <c r="T25" i="23083"/>
  <c r="T69" i="23083"/>
  <c r="T204" i="23083"/>
  <c r="T30" i="23083"/>
  <c r="N82" i="23083"/>
  <c r="N30" i="23083"/>
  <c r="T222" i="23083"/>
  <c r="Z82" i="23083"/>
  <c r="Z25" i="23083"/>
  <c r="Z61" i="23083"/>
  <c r="Z30" i="23083"/>
  <c r="Z223" i="23083"/>
  <c r="Z90" i="23083"/>
  <c r="Y88" i="23083"/>
  <c r="S19" i="23083"/>
  <c r="S60" i="23083"/>
  <c r="Q61" i="23083"/>
  <c r="W311" i="23083"/>
  <c r="Z239" i="23083"/>
  <c r="Z234" i="23083"/>
  <c r="T235" i="23083"/>
  <c r="T242" i="23083" s="1"/>
  <c r="U61" i="23083"/>
  <c r="U82" i="23083"/>
  <c r="U84" i="23083" s="1"/>
  <c r="U30" i="23083"/>
  <c r="U34" i="23083" s="1"/>
  <c r="U25" i="23083"/>
  <c r="U69" i="23083"/>
  <c r="V89" i="23083"/>
  <c r="W61" i="23083"/>
  <c r="Z298" i="23083"/>
  <c r="Z300" i="23083" s="1"/>
  <c r="Z299" i="23083"/>
  <c r="W34" i="23083" l="1"/>
  <c r="W71" i="23083" s="1"/>
  <c r="W238" i="23083" s="1"/>
  <c r="W241" i="23083" s="1"/>
  <c r="W227" i="23083" s="1"/>
  <c r="W228" i="23083" s="1"/>
  <c r="CP32" i="23140"/>
  <c r="CP31" i="23140"/>
  <c r="CP30" i="23140"/>
  <c r="CP56" i="23140"/>
  <c r="CQ31" i="23140"/>
  <c r="CQ32" i="23140"/>
  <c r="CO32" i="23140"/>
  <c r="CN32" i="23140"/>
  <c r="CP35" i="23140"/>
  <c r="CP11" i="23140"/>
  <c r="CR34" i="23140"/>
  <c r="CP132" i="23140"/>
  <c r="CP128" i="23140"/>
  <c r="CR44" i="23140"/>
  <c r="DI43" i="23140"/>
  <c r="CR29" i="23140"/>
  <c r="CR47" i="23140" s="1"/>
  <c r="CP42" i="23140"/>
  <c r="CR41" i="23140"/>
  <c r="DI39" i="23140"/>
  <c r="CR40" i="23140"/>
  <c r="CR72" i="23140"/>
  <c r="CP47" i="23140"/>
  <c r="W84" i="23083"/>
  <c r="W138" i="23083" s="1"/>
  <c r="W139" i="23083" s="1"/>
  <c r="V90" i="23083"/>
  <c r="T327" i="23083"/>
  <c r="U327" i="23083"/>
  <c r="W327" i="23083"/>
  <c r="Q34" i="23083"/>
  <c r="Q36" i="23083" s="1"/>
  <c r="Q127" i="23083"/>
  <c r="T126" i="23083" s="1"/>
  <c r="T128" i="23083" s="1"/>
  <c r="T92" i="23083"/>
  <c r="T107" i="23083" s="1"/>
  <c r="T109" i="23083" s="1"/>
  <c r="T285" i="23083"/>
  <c r="T289" i="23083" s="1"/>
  <c r="Z235" i="23083"/>
  <c r="Z242" i="23083" s="1"/>
  <c r="Z226" i="23083"/>
  <c r="Z225" i="23083"/>
  <c r="N131" i="23083"/>
  <c r="N34" i="23083"/>
  <c r="N36" i="23083" s="1"/>
  <c r="N40" i="23083" s="1"/>
  <c r="T84" i="23083"/>
  <c r="T138" i="23083" s="1"/>
  <c r="T139" i="23083" s="1"/>
  <c r="T135" i="23083"/>
  <c r="Z92" i="23083"/>
  <c r="Z107" i="23083" s="1"/>
  <c r="Y90" i="23083"/>
  <c r="Z285" i="23083"/>
  <c r="Z289" i="23083" s="1"/>
  <c r="N137" i="23083"/>
  <c r="N84" i="23083"/>
  <c r="N138" i="23083" s="1"/>
  <c r="N135" i="23083"/>
  <c r="Z34" i="23083"/>
  <c r="Z131" i="23083"/>
  <c r="W222" i="23083"/>
  <c r="W226" i="23083" s="1"/>
  <c r="X259" i="23083"/>
  <c r="X42" i="23083"/>
  <c r="X53" i="23083"/>
  <c r="X52" i="23083"/>
  <c r="R36" i="23083"/>
  <c r="R40" i="23083" s="1"/>
  <c r="R71" i="23083"/>
  <c r="U36" i="23083"/>
  <c r="U71" i="23083"/>
  <c r="Z84" i="23083"/>
  <c r="Z138" i="23083" s="1"/>
  <c r="Z137" i="23083"/>
  <c r="Z135" i="23083"/>
  <c r="T131" i="23083"/>
  <c r="T34" i="23083"/>
  <c r="T226" i="23083"/>
  <c r="T225" i="23083"/>
  <c r="W36" i="23083" l="1"/>
  <c r="V36" i="23083" s="1"/>
  <c r="CR35" i="23140"/>
  <c r="DI34" i="23140"/>
  <c r="CR11" i="23140"/>
  <c r="CP26" i="23140"/>
  <c r="CR26" i="23140" s="1"/>
  <c r="CP21" i="23140"/>
  <c r="CP12" i="23140"/>
  <c r="CP14" i="23140"/>
  <c r="CP18" i="23140"/>
  <c r="CP15" i="23140"/>
  <c r="CQ14" i="23140"/>
  <c r="CO15" i="23140"/>
  <c r="CN15" i="23140"/>
  <c r="CQ15" i="23140"/>
  <c r="CR42" i="23140"/>
  <c r="DI41" i="23140"/>
  <c r="CR30" i="23140"/>
  <c r="DI29" i="23140"/>
  <c r="CR56" i="23140"/>
  <c r="Q128" i="23083"/>
  <c r="Q310" i="23083" s="1"/>
  <c r="Q311" i="23083" s="1"/>
  <c r="Q71" i="23083"/>
  <c r="Z139" i="23083"/>
  <c r="Z109" i="23083"/>
  <c r="Z127" i="23083"/>
  <c r="X262" i="23083"/>
  <c r="X274" i="23083"/>
  <c r="X273" i="23083"/>
  <c r="W230" i="23083"/>
  <c r="T36" i="23083"/>
  <c r="T71" i="23083"/>
  <c r="T238" i="23083" s="1"/>
  <c r="T241" i="23083" s="1"/>
  <c r="T227" i="23083" s="1"/>
  <c r="T228" i="23083" s="1"/>
  <c r="N139" i="23083"/>
  <c r="R259" i="23083"/>
  <c r="R42" i="23083"/>
  <c r="R53" i="23083"/>
  <c r="R52" i="23083"/>
  <c r="U40" i="23083"/>
  <c r="U63" i="23083"/>
  <c r="X63" i="23083"/>
  <c r="Z36" i="23083"/>
  <c r="Z71" i="23083"/>
  <c r="Z238" i="23083" s="1"/>
  <c r="Z241" i="23083" s="1"/>
  <c r="Z227" i="23083" s="1"/>
  <c r="Z230" i="23083" s="1"/>
  <c r="Q63" i="23083"/>
  <c r="P36" i="23083"/>
  <c r="P40" i="23083" s="1"/>
  <c r="P42" i="23083" s="1"/>
  <c r="Q40" i="23083"/>
  <c r="T310" i="23083"/>
  <c r="T311" i="23083" s="1"/>
  <c r="T130" i="23083"/>
  <c r="N42" i="23083"/>
  <c r="N259" i="23083"/>
  <c r="W63" i="23083" l="1"/>
  <c r="W40" i="23083"/>
  <c r="W259" i="23083" s="1"/>
  <c r="CR21" i="23140"/>
  <c r="CR18" i="23140"/>
  <c r="DI11" i="23140"/>
  <c r="CR12" i="23140"/>
  <c r="CP22" i="23140"/>
  <c r="CP23" i="23140"/>
  <c r="CQ23" i="23140"/>
  <c r="CP20" i="23140"/>
  <c r="CP19" i="23140"/>
  <c r="CQ20" i="23140"/>
  <c r="Q130" i="23083"/>
  <c r="T230" i="23083"/>
  <c r="Z228" i="23083"/>
  <c r="R262" i="23083"/>
  <c r="R274" i="23083"/>
  <c r="R273" i="23083"/>
  <c r="Q259" i="23083"/>
  <c r="Q42" i="23083"/>
  <c r="Q64" i="23083"/>
  <c r="Z63" i="23083"/>
  <c r="Y36" i="23083"/>
  <c r="Z40" i="23083"/>
  <c r="N273" i="23083"/>
  <c r="N274" i="23083"/>
  <c r="N262" i="23083"/>
  <c r="U64" i="23083"/>
  <c r="U259" i="23083"/>
  <c r="U42" i="23083"/>
  <c r="U53" i="23083"/>
  <c r="U52" i="23083"/>
  <c r="X64" i="23083"/>
  <c r="T63" i="23083"/>
  <c r="S36" i="23083"/>
  <c r="S40" i="23083" s="1"/>
  <c r="S42" i="23083" s="1"/>
  <c r="T40" i="23083"/>
  <c r="W64" i="23083" s="1"/>
  <c r="Z204" i="23083"/>
  <c r="Z202" i="23083"/>
  <c r="Z203" i="23083"/>
  <c r="Z128" i="23083"/>
  <c r="X267" i="23083"/>
  <c r="X45" i="23083" s="1"/>
  <c r="X268" i="23083"/>
  <c r="X272" i="23083"/>
  <c r="X264" i="23083"/>
  <c r="X269" i="23083" s="1"/>
  <c r="V40" i="23083"/>
  <c r="W53" i="23083" l="1"/>
  <c r="W52" i="23083"/>
  <c r="W42" i="23083"/>
  <c r="CR19" i="23140"/>
  <c r="DI18" i="23140"/>
  <c r="CR22" i="23140"/>
  <c r="DI21" i="23140"/>
  <c r="V63" i="23083"/>
  <c r="Z310" i="23083"/>
  <c r="Z311" i="23083" s="1"/>
  <c r="Z130" i="23083"/>
  <c r="V64" i="23083"/>
  <c r="V42" i="23083"/>
  <c r="W274" i="23083"/>
  <c r="V259" i="23083"/>
  <c r="W273" i="23083"/>
  <c r="W262" i="23083"/>
  <c r="Q274" i="23083"/>
  <c r="Q273" i="23083"/>
  <c r="Q262" i="23083"/>
  <c r="T259" i="23083"/>
  <c r="T42" i="23083"/>
  <c r="T64" i="23083"/>
  <c r="T52" i="23083"/>
  <c r="T53" i="23083"/>
  <c r="U262" i="23083"/>
  <c r="U273" i="23083"/>
  <c r="U274" i="23083"/>
  <c r="Y40" i="23083"/>
  <c r="Y63" i="23083"/>
  <c r="N282" i="23083"/>
  <c r="N284" i="23083" s="1"/>
  <c r="N288" i="23083" s="1"/>
  <c r="N264" i="23083"/>
  <c r="N269" i="23083" s="1"/>
  <c r="N267" i="23083"/>
  <c r="N45" i="23083" s="1"/>
  <c r="N268" i="23083"/>
  <c r="N272" i="23083"/>
  <c r="Z259" i="23083"/>
  <c r="Z42" i="23083"/>
  <c r="Z64" i="23083"/>
  <c r="Z52" i="23083"/>
  <c r="Z53" i="23083"/>
  <c r="R267" i="23083"/>
  <c r="R45" i="23083" s="1"/>
  <c r="R46" i="23083" s="1"/>
  <c r="R268" i="23083"/>
  <c r="R272" i="23083"/>
  <c r="R264" i="23083"/>
  <c r="R269" i="23083" s="1"/>
  <c r="V274" i="23083" l="1"/>
  <c r="T262" i="23083"/>
  <c r="S259" i="23083"/>
  <c r="T273" i="23083"/>
  <c r="S273" i="23083" s="1"/>
  <c r="T274" i="23083"/>
  <c r="S274" i="23083" s="1"/>
  <c r="U272" i="23083"/>
  <c r="U264" i="23083"/>
  <c r="U269" i="23083" s="1"/>
  <c r="U267" i="23083"/>
  <c r="U45" i="23083" s="1"/>
  <c r="U268" i="23083"/>
  <c r="Z262" i="23083"/>
  <c r="Y259" i="23083"/>
  <c r="Z273" i="23083"/>
  <c r="Y273" i="23083" s="1"/>
  <c r="Z274" i="23083"/>
  <c r="Y274" i="23083" s="1"/>
  <c r="Y64" i="23083"/>
  <c r="Y42" i="23083"/>
  <c r="W264" i="23083"/>
  <c r="W267" i="23083"/>
  <c r="W268" i="23083"/>
  <c r="W282" i="23083"/>
  <c r="W284" i="23083" s="1"/>
  <c r="W288" i="23083" s="1"/>
  <c r="V262" i="23083"/>
  <c r="V267" i="23083" s="1"/>
  <c r="W272" i="23083"/>
  <c r="Q264" i="23083"/>
  <c r="Q269" i="23083" s="1"/>
  <c r="Q278" i="23083" s="1"/>
  <c r="Q267" i="23083"/>
  <c r="Q268" i="23083"/>
  <c r="Q282" i="23083"/>
  <c r="Q284" i="23083" s="1"/>
  <c r="Q288" i="23083" s="1"/>
  <c r="Q272" i="23083"/>
  <c r="V273" i="23083"/>
  <c r="V268" i="23083" l="1"/>
  <c r="Q277" i="23083"/>
  <c r="Q45" i="23083"/>
  <c r="W45" i="23083"/>
  <c r="Z272" i="23083"/>
  <c r="Y272" i="23083" s="1"/>
  <c r="Z282" i="23083"/>
  <c r="Z284" i="23083" s="1"/>
  <c r="Z288" i="23083" s="1"/>
  <c r="Y262" i="23083"/>
  <c r="Y267" i="23083" s="1"/>
  <c r="Z264" i="23083"/>
  <c r="Z268" i="23083"/>
  <c r="Y268" i="23083" s="1"/>
  <c r="Z267" i="23083"/>
  <c r="V272" i="23083"/>
  <c r="V264" i="23083"/>
  <c r="W269" i="23083"/>
  <c r="U46" i="23083"/>
  <c r="X65" i="23083"/>
  <c r="X46" i="23083"/>
  <c r="T272" i="23083"/>
  <c r="S272" i="23083" s="1"/>
  <c r="S262" i="23083"/>
  <c r="S267" i="23083" s="1"/>
  <c r="T264" i="23083"/>
  <c r="T282" i="23083"/>
  <c r="T284" i="23083" s="1"/>
  <c r="T288" i="23083" s="1"/>
  <c r="T267" i="23083"/>
  <c r="T268" i="23083"/>
  <c r="S268" i="23083" s="1"/>
  <c r="Z45" i="23083" l="1"/>
  <c r="Z277" i="23083"/>
  <c r="V45" i="23083"/>
  <c r="Q65" i="23083"/>
  <c r="Q46" i="23083"/>
  <c r="T277" i="23083"/>
  <c r="T45" i="23083"/>
  <c r="W65" i="23083" s="1"/>
  <c r="W277" i="23083"/>
  <c r="Z269" i="23083"/>
  <c r="Y264" i="23083"/>
  <c r="T269" i="23083"/>
  <c r="W278" i="23083" s="1"/>
  <c r="S264" i="23083"/>
  <c r="V269" i="23083"/>
  <c r="W46" i="23083" l="1"/>
  <c r="Z278" i="23083"/>
  <c r="Y269" i="23083"/>
  <c r="S45" i="23083"/>
  <c r="S46" i="23083" s="1"/>
  <c r="T46" i="23083"/>
  <c r="T65" i="23083"/>
  <c r="S269" i="23083"/>
  <c r="T278" i="23083"/>
  <c r="Y45" i="23083"/>
  <c r="Z46" i="23083"/>
  <c r="Z65" i="23083"/>
  <c r="Y46" i="23083" l="1"/>
  <c r="Y65" i="23083"/>
  <c r="V46" i="23083"/>
  <c r="Z8" i="23083" l="1"/>
  <c r="X8" i="23083"/>
  <c r="X77" i="23083" l="1"/>
  <c r="X56" i="23083"/>
  <c r="X69" i="23083"/>
  <c r="X79" i="23083"/>
  <c r="X11" i="23083"/>
  <c r="X68" i="23083"/>
  <c r="X326" i="23083"/>
  <c r="X76" i="23083"/>
  <c r="X75" i="23083"/>
  <c r="X78" i="23083"/>
  <c r="X325" i="23083"/>
  <c r="X9" i="23083"/>
  <c r="Z79" i="23083"/>
  <c r="Z76" i="23083"/>
  <c r="Z213" i="23083"/>
  <c r="Z214" i="23083"/>
  <c r="Z212" i="23083"/>
  <c r="Z215" i="23083"/>
  <c r="Z326" i="23083"/>
  <c r="Z9" i="23083"/>
  <c r="Z11" i="23083"/>
  <c r="Z68" i="23083"/>
  <c r="Z75" i="23083"/>
  <c r="Z77" i="23083"/>
  <c r="Z56" i="23083"/>
  <c r="Z325" i="23083"/>
  <c r="Z78" i="23083"/>
  <c r="Z208" i="23083"/>
  <c r="Z69" i="23083"/>
  <c r="X327" i="23083" l="1"/>
  <c r="Z327" i="23083"/>
  <c r="S13" i="23083" l="1"/>
  <c r="S24" i="23083"/>
  <c r="P24" i="23083"/>
  <c r="V13" i="23083"/>
  <c r="V24" i="23083"/>
  <c r="Y13" i="23083"/>
  <c r="Y24" i="23083"/>
  <c r="Y30" i="23083" l="1"/>
  <c r="Y34" i="23083" s="1"/>
  <c r="Y71" i="23083" s="1"/>
  <c r="Y25" i="23083"/>
  <c r="Y61" i="23083"/>
  <c r="S61" i="23083"/>
  <c r="S30" i="23083"/>
  <c r="S34" i="23083" s="1"/>
  <c r="S71" i="23083" s="1"/>
  <c r="S25" i="23083"/>
  <c r="P30" i="23083"/>
  <c r="P34" i="23083" s="1"/>
  <c r="P61" i="23083"/>
  <c r="V61" i="23083"/>
  <c r="V25" i="23083"/>
  <c r="V30" i="23083"/>
  <c r="V34" i="23083" s="1"/>
  <c r="V71" i="23083" s="1"/>
  <c r="Q8" i="23083" l="1"/>
  <c r="V8" i="23083" l="1"/>
  <c r="V326" i="23083" s="1"/>
  <c r="Y8" i="23083"/>
  <c r="Y75" i="23083" s="1"/>
  <c r="T56" i="23083"/>
  <c r="Q11" i="23083"/>
  <c r="Q326" i="23083"/>
  <c r="T9" i="23083"/>
  <c r="Q208" i="23083"/>
  <c r="Q68" i="23083"/>
  <c r="Q75" i="23083"/>
  <c r="Q79" i="23083"/>
  <c r="Q325" i="23083"/>
  <c r="Q327" i="23083" s="1"/>
  <c r="Q78" i="23083"/>
  <c r="Q77" i="23083"/>
  <c r="Q69" i="23083"/>
  <c r="V11" i="23083" l="1"/>
  <c r="V76" i="23083"/>
  <c r="Y79" i="23083"/>
  <c r="Y325" i="23083"/>
  <c r="Y326" i="23083"/>
  <c r="Y11" i="23083"/>
  <c r="Y69" i="23083"/>
  <c r="Y68" i="23083"/>
  <c r="Y76" i="23083"/>
  <c r="Y77" i="23083"/>
  <c r="Y78" i="23083"/>
  <c r="Y9" i="23083"/>
  <c r="V79" i="23083"/>
  <c r="Y56" i="23083"/>
  <c r="V69" i="23083"/>
  <c r="V325" i="23083"/>
  <c r="V327" i="23083" s="1"/>
  <c r="V68" i="23083"/>
  <c r="N8" i="23083"/>
  <c r="O11" i="23083"/>
  <c r="O325" i="23083"/>
  <c r="O56" i="23083"/>
  <c r="O326" i="23083"/>
  <c r="O68" i="23083"/>
  <c r="O69" i="23083"/>
  <c r="Y327" i="23083" l="1"/>
  <c r="O327" i="23083"/>
  <c r="N56" i="23083"/>
  <c r="N78" i="23083"/>
  <c r="N11" i="23083"/>
  <c r="N77" i="23083"/>
  <c r="N208" i="23083"/>
  <c r="N326" i="23083"/>
  <c r="N68" i="23083"/>
  <c r="N325" i="23083"/>
  <c r="N75" i="23083"/>
  <c r="N69" i="23083"/>
  <c r="Q9" i="23083"/>
  <c r="Q56" i="23083"/>
  <c r="N327" i="23083" l="1"/>
  <c r="R11" i="23083" l="1"/>
  <c r="U56" i="23083"/>
  <c r="R68" i="23083"/>
  <c r="R9" i="23083"/>
  <c r="R79" i="23083"/>
  <c r="R325" i="23083"/>
  <c r="R56" i="23083"/>
  <c r="U9" i="23083"/>
  <c r="R326" i="23083"/>
  <c r="R69" i="23083"/>
  <c r="R327" i="23083" l="1"/>
  <c r="P11" i="23083" l="1"/>
  <c r="P56" i="23083"/>
  <c r="P325" i="23083"/>
  <c r="P326" i="23083"/>
  <c r="P68" i="23083"/>
  <c r="P69" i="23083"/>
  <c r="S11" i="23083"/>
  <c r="S9" i="23083"/>
  <c r="S79" i="23083"/>
  <c r="S326" i="23083"/>
  <c r="S325" i="23083"/>
  <c r="S56" i="23083"/>
  <c r="S68" i="23083"/>
  <c r="S69" i="23083"/>
  <c r="V56" i="23083"/>
  <c r="V9" i="23083"/>
  <c r="S327" i="23083" l="1"/>
  <c r="P327" i="23083"/>
  <c r="AO41" i="23083" l="1"/>
  <c r="AL41" i="23083"/>
  <c r="AI41" i="23083"/>
  <c r="AH41" i="23083" s="1"/>
  <c r="AC41" i="23083"/>
  <c r="AB41" i="23083" s="1"/>
  <c r="AE41" i="23083"/>
  <c r="AM41" i="23083"/>
  <c r="AJ41" i="23083"/>
  <c r="AK41" i="23083" l="1"/>
  <c r="AN41" i="23083"/>
  <c r="L2" i="23083" l="1"/>
  <c r="M2" i="23083"/>
  <c r="O2" i="23083"/>
  <c r="P2" i="23083"/>
  <c r="R2" i="23083"/>
  <c r="S2" i="23083"/>
  <c r="U2" i="23083"/>
  <c r="V2" i="23083"/>
  <c r="X2" i="23083"/>
  <c r="Y2" i="23083"/>
  <c r="AA306" i="23083"/>
  <c r="AC306" i="23083"/>
  <c r="AD306" i="23083"/>
  <c r="AF306" i="23083"/>
  <c r="AG306" i="23083"/>
  <c r="AI306" i="23083"/>
  <c r="AJ306" i="23083"/>
  <c r="AL306" i="23083"/>
  <c r="AM306" i="23083"/>
  <c r="AO306" i="23083"/>
  <c r="AA307" i="23083"/>
  <c r="AD307" i="23083" s="1"/>
  <c r="AG307" i="23083" s="1"/>
  <c r="AJ307" i="23083" s="1"/>
  <c r="AM307" i="23083" s="1"/>
  <c r="AP307" i="23083" s="1"/>
  <c r="AP309" i="23083" s="1"/>
  <c r="AC307" i="23083"/>
  <c r="AF307" i="23083" s="1"/>
  <c r="AI307" i="23083" s="1"/>
  <c r="AL307" i="23083" s="1"/>
  <c r="AO307" i="23083" s="1"/>
  <c r="AA303" i="23083"/>
  <c r="AA304" i="23083" s="1"/>
  <c r="AC303" i="23083"/>
  <c r="AC304" i="23083" s="1"/>
  <c r="AD303" i="23083"/>
  <c r="AD304" i="23083" s="1"/>
  <c r="AF303" i="23083"/>
  <c r="AF304" i="23083" s="1"/>
  <c r="AG303" i="23083"/>
  <c r="AG304" i="23083" s="1"/>
  <c r="AI303" i="23083"/>
  <c r="AI304" i="23083" s="1"/>
  <c r="AJ303" i="23083"/>
  <c r="AJ304" i="23083" s="1"/>
  <c r="AL303" i="23083"/>
  <c r="AL304" i="23083" s="1"/>
  <c r="AM303" i="23083"/>
  <c r="AM304" i="23083" s="1"/>
  <c r="AO303" i="23083"/>
  <c r="AO304" i="23083" s="1"/>
  <c r="AA293" i="23083"/>
  <c r="AC293" i="23083"/>
  <c r="AC232" i="23083"/>
  <c r="AC233" i="23083"/>
  <c r="AC236" i="23083"/>
  <c r="AC237" i="23083"/>
  <c r="AC240" i="23083"/>
  <c r="AG35" i="23083"/>
  <c r="AI35" i="23083"/>
  <c r="AJ35" i="23083"/>
  <c r="AJ32" i="23083"/>
  <c r="AL35" i="23083"/>
  <c r="AL32" i="23083"/>
  <c r="AM35" i="23083"/>
  <c r="AM32" i="23083"/>
  <c r="AC35" i="23083"/>
  <c r="AE32" i="23083"/>
  <c r="AC194" i="23083"/>
  <c r="AC181" i="23083"/>
  <c r="AB32" i="23083"/>
  <c r="AH32" i="23083"/>
  <c r="AO32" i="23083"/>
  <c r="AR307" i="23083" l="1"/>
  <c r="AR309" i="23083" s="1"/>
  <c r="AG309" i="23083"/>
  <c r="AN32" i="23083"/>
  <c r="AM309" i="23083"/>
  <c r="AD309" i="23083"/>
  <c r="AJ309" i="23083"/>
  <c r="AA309" i="23083"/>
  <c r="AF309" i="23083"/>
  <c r="AC239" i="23083"/>
  <c r="AC309" i="23083"/>
  <c r="AI309" i="23083"/>
  <c r="AL309" i="23083"/>
  <c r="AO309" i="23083"/>
  <c r="AC234" i="23083"/>
  <c r="AC235" i="23083" s="1"/>
  <c r="AK32" i="23083"/>
  <c r="AS307" i="23083" l="1"/>
  <c r="AT307" i="23083" s="1"/>
  <c r="AU307" i="23083" s="1"/>
  <c r="AC242" i="23083"/>
  <c r="BB75" i="23086" l="1"/>
  <c r="AZ75" i="23086"/>
  <c r="AY75" i="23086"/>
  <c r="AW75" i="23086"/>
  <c r="AV75" i="23086"/>
  <c r="AT75" i="23086"/>
  <c r="AS75" i="23086"/>
  <c r="AQ75" i="23086"/>
  <c r="AN136" i="23086"/>
  <c r="AN133" i="23086" s="1"/>
  <c r="AN134" i="23086" s="1"/>
  <c r="BB136" i="23086"/>
  <c r="AZ136" i="23086"/>
  <c r="BC140" i="23086" s="1"/>
  <c r="AY136" i="23086"/>
  <c r="AW136" i="23086"/>
  <c r="AV136" i="23086"/>
  <c r="AT136" i="23086"/>
  <c r="AS136" i="23086"/>
  <c r="AQ136" i="23086"/>
  <c r="AP136" i="23086"/>
  <c r="BB133" i="23086" l="1"/>
  <c r="BE140" i="23086"/>
  <c r="AQ140" i="23086"/>
  <c r="AZ140" i="23086"/>
  <c r="AY133" i="23086"/>
  <c r="AY134" i="23086" s="1"/>
  <c r="AY140" i="23086"/>
  <c r="BB140" i="23086"/>
  <c r="AV140" i="23086"/>
  <c r="AS140" i="23086"/>
  <c r="AT140" i="23086"/>
  <c r="AW133" i="23086"/>
  <c r="AW134" i="23086" s="1"/>
  <c r="AW140" i="23086"/>
  <c r="AP133" i="23086"/>
  <c r="AP134" i="23086" s="1"/>
  <c r="AO134" i="23086" s="1"/>
  <c r="AV133" i="23086"/>
  <c r="AQ133" i="23086"/>
  <c r="AS133" i="23086"/>
  <c r="AT133" i="23086"/>
  <c r="AX134" i="23086" l="1"/>
  <c r="BF136" i="23086"/>
  <c r="AT134" i="23086"/>
  <c r="AV134" i="23086"/>
  <c r="AS134" i="23086"/>
  <c r="AQ134" i="23086"/>
  <c r="BG136" i="23086" l="1"/>
  <c r="BF70" i="23086"/>
  <c r="BF133" i="23086"/>
  <c r="AR134" i="23086"/>
  <c r="AU134" i="23086"/>
  <c r="BH136" i="23086" l="1"/>
  <c r="BG70" i="23086"/>
  <c r="BG133" i="23086"/>
  <c r="BH70" i="23086" l="1"/>
  <c r="BH133" i="23086"/>
  <c r="AO317" i="23083"/>
  <c r="AO89" i="23083" s="1"/>
  <c r="AM317" i="23083"/>
  <c r="AM316" i="23083" s="1"/>
  <c r="AL317" i="23083"/>
  <c r="AL316" i="23083" s="1"/>
  <c r="AJ317" i="23083"/>
  <c r="AJ316" i="23083" s="1"/>
  <c r="AI317" i="23083"/>
  <c r="AI89" i="23083" s="1"/>
  <c r="AG317" i="23083"/>
  <c r="AF317" i="23083"/>
  <c r="AF316" i="23083" s="1"/>
  <c r="AD317" i="23083"/>
  <c r="AD316" i="23083" s="1"/>
  <c r="AC317" i="23083"/>
  <c r="AC89" i="23083" s="1"/>
  <c r="AA317" i="23083"/>
  <c r="AA316" i="23083" s="1"/>
  <c r="AN315" i="23083"/>
  <c r="AK315" i="23083"/>
  <c r="AH315" i="23083"/>
  <c r="AE315" i="23083"/>
  <c r="AI316" i="23083" l="1"/>
  <c r="AH317" i="23083"/>
  <c r="AH89" i="23083" s="1"/>
  <c r="AJ89" i="23083"/>
  <c r="AO316" i="23083"/>
  <c r="AN316" i="23083" s="1"/>
  <c r="AD89" i="23083"/>
  <c r="AM89" i="23083"/>
  <c r="AG89" i="23083"/>
  <c r="AA89" i="23083"/>
  <c r="AB317" i="23083"/>
  <c r="AB89" i="23083" s="1"/>
  <c r="AL89" i="23083"/>
  <c r="AF89" i="23083"/>
  <c r="AN317" i="23083"/>
  <c r="AN89" i="23083" s="1"/>
  <c r="AG316" i="23083"/>
  <c r="AK317" i="23083"/>
  <c r="AK89" i="23083" s="1"/>
  <c r="AE317" i="23083"/>
  <c r="AE89" i="23083" s="1"/>
  <c r="AE316" i="23083"/>
  <c r="AK316" i="23083"/>
  <c r="AH316" i="23083" l="1"/>
  <c r="AC149" i="23083" l="1"/>
  <c r="AC150" i="23083" s="1"/>
  <c r="AC198" i="23083"/>
  <c r="AC189" i="23083"/>
  <c r="AC182" i="23083"/>
  <c r="AC164" i="23083"/>
  <c r="AC172" i="23083" s="1"/>
  <c r="AF194" i="23083"/>
  <c r="AF198" i="23083" s="1"/>
  <c r="AF181" i="23083"/>
  <c r="AF182" i="23083" s="1"/>
  <c r="AF149" i="23083"/>
  <c r="AF150" i="23083" s="1"/>
  <c r="AF189" i="23083"/>
  <c r="AF164" i="23083"/>
  <c r="AF163" i="23083" s="1"/>
  <c r="AI181" i="23083"/>
  <c r="AI182" i="23083" s="1"/>
  <c r="AI149" i="23083"/>
  <c r="AI150" i="23083" s="1"/>
  <c r="AI198" i="23083"/>
  <c r="AI189" i="23083"/>
  <c r="AI164" i="23083"/>
  <c r="AI172" i="23083" s="1"/>
  <c r="AA194" i="23083"/>
  <c r="AA198" i="23083" s="1"/>
  <c r="AA149" i="23083"/>
  <c r="AA150" i="23083" s="1"/>
  <c r="AA189" i="23083"/>
  <c r="AA182" i="23083"/>
  <c r="AA164" i="23083"/>
  <c r="AA172" i="23083" s="1"/>
  <c r="AD194" i="23083"/>
  <c r="AD198" i="23083" s="1"/>
  <c r="AD181" i="23083"/>
  <c r="AD182" i="23083" s="1"/>
  <c r="AD149" i="23083"/>
  <c r="AD150" i="23083" s="1"/>
  <c r="AD189" i="23083"/>
  <c r="AD164" i="23083"/>
  <c r="AD172" i="23083" s="1"/>
  <c r="AG194" i="23083"/>
  <c r="AG198" i="23083" s="1"/>
  <c r="AG181" i="23083"/>
  <c r="AG182" i="23083" s="1"/>
  <c r="AG149" i="23083"/>
  <c r="AG150" i="23083" s="1"/>
  <c r="AG189" i="23083"/>
  <c r="AG164" i="23083"/>
  <c r="AG172" i="23083" s="1"/>
  <c r="AJ194" i="23083"/>
  <c r="AJ198" i="23083" s="1"/>
  <c r="AJ189" i="23083"/>
  <c r="AJ181" i="23083"/>
  <c r="AJ182" i="23083" s="1"/>
  <c r="AJ164" i="23083"/>
  <c r="AJ163" i="23083" s="1"/>
  <c r="AJ149" i="23083"/>
  <c r="AJ150" i="23083" s="1"/>
  <c r="AL181" i="23083"/>
  <c r="AL182" i="23083" s="1"/>
  <c r="AL188" i="23083"/>
  <c r="AL189" i="23083" s="1"/>
  <c r="AL171" i="23083"/>
  <c r="AL149" i="23083"/>
  <c r="AL150" i="23083" s="1"/>
  <c r="AL198" i="23083"/>
  <c r="AL169" i="23083"/>
  <c r="AL164" i="23083"/>
  <c r="AL163" i="23083" s="1"/>
  <c r="AL160" i="23083"/>
  <c r="AL156" i="23083"/>
  <c r="AM196" i="23083"/>
  <c r="AM198" i="23083" s="1"/>
  <c r="AM188" i="23083"/>
  <c r="AM189" i="23083" s="1"/>
  <c r="AM181" i="23083"/>
  <c r="AM182" i="23083" s="1"/>
  <c r="AM171" i="23083"/>
  <c r="AM164" i="23083"/>
  <c r="AM163" i="23083" s="1"/>
  <c r="AM149" i="23083"/>
  <c r="AM150" i="23083" s="1"/>
  <c r="AM169" i="23083"/>
  <c r="AM160" i="23083"/>
  <c r="AM156" i="23083"/>
  <c r="AO181" i="23083"/>
  <c r="AO188" i="23083"/>
  <c r="AO164" i="23083"/>
  <c r="AO171" i="23083"/>
  <c r="AO123" i="23083"/>
  <c r="AL123" i="23083"/>
  <c r="AJ123" i="23083"/>
  <c r="AI123" i="23083"/>
  <c r="AI124" i="23083" s="1"/>
  <c r="AG123" i="23083"/>
  <c r="AG124" i="23083" s="1"/>
  <c r="AF123" i="23083"/>
  <c r="AF124" i="23083" s="1"/>
  <c r="AD123" i="23083"/>
  <c r="AD124" i="23083" s="1"/>
  <c r="AC112" i="23083"/>
  <c r="AC113" i="23083"/>
  <c r="AF112" i="23083" s="1"/>
  <c r="AD113" i="23083"/>
  <c r="AF113" i="23083"/>
  <c r="AI112" i="23083" s="1"/>
  <c r="AG113" i="23083"/>
  <c r="AI113" i="23083"/>
  <c r="AJ113" i="23083"/>
  <c r="AC118" i="23083"/>
  <c r="AC119" i="23083"/>
  <c r="AF118" i="23083" s="1"/>
  <c r="AD119" i="23083"/>
  <c r="AG118" i="23083" s="1"/>
  <c r="AF119" i="23083"/>
  <c r="AI118" i="23083" s="1"/>
  <c r="AG119" i="23083"/>
  <c r="AJ118" i="23083" s="1"/>
  <c r="AI119" i="23083"/>
  <c r="AJ119" i="23083"/>
  <c r="AC123" i="23083"/>
  <c r="AC124" i="23083" s="1"/>
  <c r="AC126" i="23083"/>
  <c r="AH127" i="23083"/>
  <c r="AA96" i="23083"/>
  <c r="AA102" i="23083" s="1"/>
  <c r="AA90" i="23083"/>
  <c r="AA92" i="23083" s="1"/>
  <c r="AC90" i="23083"/>
  <c r="AC92" i="23083" s="1"/>
  <c r="AC96" i="23083"/>
  <c r="AC102" i="23083" s="1"/>
  <c r="AD96" i="23083"/>
  <c r="AD102" i="23083" s="1"/>
  <c r="AD90" i="23083"/>
  <c r="AD92" i="23083" s="1"/>
  <c r="AF90" i="23083"/>
  <c r="AF92" i="23083" s="1"/>
  <c r="AF96" i="23083"/>
  <c r="AF102" i="23083" s="1"/>
  <c r="AG90" i="23083"/>
  <c r="AG92" i="23083" s="1"/>
  <c r="AG96" i="23083"/>
  <c r="AG102" i="23083" s="1"/>
  <c r="AI90" i="23083"/>
  <c r="AI92" i="23083" s="1"/>
  <c r="AI96" i="23083"/>
  <c r="AI102" i="23083" s="1"/>
  <c r="AJ90" i="23083"/>
  <c r="AJ92" i="23083" s="1"/>
  <c r="AM106" i="23083"/>
  <c r="AM103" i="23083"/>
  <c r="AM86" i="23083"/>
  <c r="AM85" i="23083"/>
  <c r="AL108" i="23083"/>
  <c r="AL106" i="23083"/>
  <c r="AL103" i="23083"/>
  <c r="AL100" i="23083"/>
  <c r="AL96" i="23083"/>
  <c r="AL86" i="23083"/>
  <c r="AL85" i="23083"/>
  <c r="AM100" i="23083"/>
  <c r="AM96" i="23083"/>
  <c r="AO106" i="23083"/>
  <c r="AO108" i="23083"/>
  <c r="AO103" i="23083"/>
  <c r="AO86" i="23083"/>
  <c r="AO85" i="23083"/>
  <c r="AJ96" i="23083"/>
  <c r="AJ102" i="23083" s="1"/>
  <c r="AS106" i="23083" l="1"/>
  <c r="AT106" i="23083"/>
  <c r="AL102" i="23083"/>
  <c r="AL88" i="23083"/>
  <c r="AL90" i="23083" s="1"/>
  <c r="AL92" i="23083" s="1"/>
  <c r="AC120" i="23083"/>
  <c r="AC122" i="23083" s="1"/>
  <c r="AI163" i="23083"/>
  <c r="AM88" i="23083"/>
  <c r="AM90" i="23083" s="1"/>
  <c r="AM92" i="23083" s="1"/>
  <c r="AG120" i="23083"/>
  <c r="AG122" i="23083" s="1"/>
  <c r="AI120" i="23083"/>
  <c r="AI122" i="23083" s="1"/>
  <c r="AI191" i="23083"/>
  <c r="AC163" i="23083"/>
  <c r="AD107" i="23083"/>
  <c r="AD109" i="23083" s="1"/>
  <c r="AC191" i="23083"/>
  <c r="AF120" i="23083"/>
  <c r="AF122" i="23083" s="1"/>
  <c r="AD191" i="23083"/>
  <c r="AG191" i="23083"/>
  <c r="AC107" i="23083"/>
  <c r="AC109" i="23083" s="1"/>
  <c r="AI107" i="23083"/>
  <c r="AI109" i="23083" s="1"/>
  <c r="AJ127" i="23083"/>
  <c r="AA107" i="23083"/>
  <c r="AA109" i="23083" s="1"/>
  <c r="AL172" i="23083"/>
  <c r="AL174" i="23083" s="1"/>
  <c r="AM102" i="23083"/>
  <c r="AG127" i="23083"/>
  <c r="AJ191" i="23083"/>
  <c r="AD163" i="23083"/>
  <c r="AC174" i="23083"/>
  <c r="AC114" i="23083"/>
  <c r="AC116" i="23083" s="1"/>
  <c r="AC127" i="23083"/>
  <c r="AF191" i="23083"/>
  <c r="AF172" i="23083"/>
  <c r="AF174" i="23083" s="1"/>
  <c r="AF127" i="23083"/>
  <c r="AF114" i="23083"/>
  <c r="AF116" i="23083" s="1"/>
  <c r="AI174" i="23083"/>
  <c r="AA191" i="23083"/>
  <c r="AA163" i="23083"/>
  <c r="AA174" i="23083"/>
  <c r="AD127" i="23083"/>
  <c r="AG126" i="23083" s="1"/>
  <c r="AD174" i="23083"/>
  <c r="AG163" i="23083"/>
  <c r="AG174" i="23083"/>
  <c r="AJ112" i="23083"/>
  <c r="AJ114" i="23083" s="1"/>
  <c r="AJ116" i="23083" s="1"/>
  <c r="AJ172" i="23083"/>
  <c r="AJ174" i="23083" s="1"/>
  <c r="AJ199" i="23083" s="1"/>
  <c r="AI114" i="23083"/>
  <c r="AI116" i="23083" s="1"/>
  <c r="AG112" i="23083"/>
  <c r="AG114" i="23083" s="1"/>
  <c r="AG116" i="23083" s="1"/>
  <c r="AJ120" i="23083"/>
  <c r="AJ122" i="23083" s="1"/>
  <c r="AL191" i="23083"/>
  <c r="AM191" i="23083"/>
  <c r="AM172" i="23083"/>
  <c r="AM174" i="23083" s="1"/>
  <c r="AI127" i="23083"/>
  <c r="AG107" i="23083"/>
  <c r="AG109" i="23083" s="1"/>
  <c r="AJ107" i="23083"/>
  <c r="AJ109" i="23083" s="1"/>
  <c r="AF107" i="23083"/>
  <c r="AF109" i="23083" s="1"/>
  <c r="AJ29" i="23083"/>
  <c r="AJ62" i="23083" s="1"/>
  <c r="AJ17" i="23083"/>
  <c r="AM29" i="23083"/>
  <c r="AM17" i="23083"/>
  <c r="AM62" i="23083" l="1"/>
  <c r="AP62" i="23083"/>
  <c r="AJ126" i="23083"/>
  <c r="AF126" i="23083"/>
  <c r="AF128" i="23083" s="1"/>
  <c r="AI126" i="23083"/>
  <c r="AI128" i="23083" s="1"/>
  <c r="AI130" i="23083" s="1"/>
  <c r="AP59" i="23083"/>
  <c r="AI199" i="23083"/>
  <c r="AD199" i="23083"/>
  <c r="AL107" i="23083"/>
  <c r="AL109" i="23083" s="1"/>
  <c r="AC199" i="23083"/>
  <c r="AJ128" i="23083"/>
  <c r="AG199" i="23083"/>
  <c r="AM107" i="23083"/>
  <c r="AM109" i="23083" s="1"/>
  <c r="AG128" i="23083"/>
  <c r="AF199" i="23083"/>
  <c r="AC128" i="23083"/>
  <c r="AA199" i="23083"/>
  <c r="AL199" i="23083"/>
  <c r="AM199" i="23083"/>
  <c r="AF18" i="23083"/>
  <c r="AI17" i="23083"/>
  <c r="AI29" i="23083"/>
  <c r="AL29" i="23083"/>
  <c r="AL17" i="23083"/>
  <c r="AO35" i="23083"/>
  <c r="AO29" i="23083"/>
  <c r="AR62" i="23083" s="1"/>
  <c r="AO17" i="23083"/>
  <c r="AN33" i="23083"/>
  <c r="AK33" i="23083"/>
  <c r="AH33" i="23083"/>
  <c r="AE33" i="23083"/>
  <c r="AB33" i="23083"/>
  <c r="AE29" i="23083"/>
  <c r="AB29" i="23083"/>
  <c r="AR59" i="23083" l="1"/>
  <c r="AK29" i="23083"/>
  <c r="AL62" i="23083"/>
  <c r="AO62" i="23083"/>
  <c r="AH29" i="23083"/>
  <c r="AH62" i="23083" s="1"/>
  <c r="AI62" i="23083"/>
  <c r="AE62" i="23083"/>
  <c r="AI310" i="23083"/>
  <c r="AI311" i="23083" s="1"/>
  <c r="AN29" i="23083"/>
  <c r="AQ62" i="23083" s="1"/>
  <c r="AJ130" i="23083"/>
  <c r="AJ310" i="23083"/>
  <c r="AJ311" i="23083" s="1"/>
  <c r="AF130" i="23083"/>
  <c r="AF310" i="23083"/>
  <c r="AF311" i="23083" s="1"/>
  <c r="AG130" i="23083"/>
  <c r="AG310" i="23083"/>
  <c r="AG311" i="23083" s="1"/>
  <c r="AC130" i="23083"/>
  <c r="AC310" i="23083"/>
  <c r="AC311" i="23083" s="1"/>
  <c r="AN17" i="23083"/>
  <c r="AN16" i="23083"/>
  <c r="AN15" i="23083"/>
  <c r="AK17" i="23083"/>
  <c r="AK16" i="23083"/>
  <c r="AK15" i="23083"/>
  <c r="AH17" i="23083"/>
  <c r="AH16" i="23083"/>
  <c r="AH15" i="23083"/>
  <c r="AE17" i="23083"/>
  <c r="AE16" i="23083"/>
  <c r="AE15" i="23083"/>
  <c r="AB17" i="23083"/>
  <c r="AB16" i="23083"/>
  <c r="AB15" i="23083"/>
  <c r="AQ59" i="23083" l="1"/>
  <c r="AQ58" i="23083"/>
  <c r="AQ57" i="23083"/>
  <c r="AN62" i="23083"/>
  <c r="AK62" i="23083"/>
  <c r="BA86" i="23086"/>
  <c r="AX86" i="23086"/>
  <c r="AU86" i="23086"/>
  <c r="AR86" i="23086"/>
  <c r="AO86" i="23086"/>
  <c r="BB81" i="23086"/>
  <c r="AZ81" i="23086"/>
  <c r="AY81" i="23086"/>
  <c r="AW81" i="23086"/>
  <c r="AV81" i="23086"/>
  <c r="AT81" i="23086"/>
  <c r="AS81" i="23086"/>
  <c r="AQ81" i="23086"/>
  <c r="AN81" i="23086"/>
  <c r="BB80" i="23086"/>
  <c r="AZ80" i="23086"/>
  <c r="AY80" i="23086"/>
  <c r="AW80" i="23086"/>
  <c r="AV80" i="23086"/>
  <c r="AT80" i="23086"/>
  <c r="AS80" i="23086"/>
  <c r="AQ80" i="23086"/>
  <c r="AN80" i="23086"/>
  <c r="BB76" i="23086"/>
  <c r="AZ76" i="23086"/>
  <c r="AY76" i="23086"/>
  <c r="AW76" i="23086"/>
  <c r="AV76" i="23086"/>
  <c r="AT76" i="23086"/>
  <c r="AS76" i="23086"/>
  <c r="AQ76" i="23086"/>
  <c r="BB72" i="23086"/>
  <c r="BE77" i="23086" s="1"/>
  <c r="AZ72" i="23086"/>
  <c r="BC77" i="23086" s="1"/>
  <c r="AY72" i="23086"/>
  <c r="AW72" i="23086"/>
  <c r="AV72" i="23086"/>
  <c r="AT72" i="23086"/>
  <c r="AS72" i="23086"/>
  <c r="AQ72" i="23086"/>
  <c r="AP72" i="23086"/>
  <c r="AN72" i="23086"/>
  <c r="BA71" i="23086"/>
  <c r="BD76" i="23086" s="1"/>
  <c r="AX71" i="23086"/>
  <c r="AX144" i="23086" s="1"/>
  <c r="AX147" i="23086" s="1"/>
  <c r="AU71" i="23086"/>
  <c r="AU144" i="23086" s="1"/>
  <c r="AU147" i="23086" s="1"/>
  <c r="AR71" i="23086"/>
  <c r="AR144" i="23086" s="1"/>
  <c r="AR147" i="23086" s="1"/>
  <c r="AO71" i="23086"/>
  <c r="AO144" i="23086" s="1"/>
  <c r="AO147" i="23086" s="1"/>
  <c r="BA70" i="23086"/>
  <c r="AX70" i="23086"/>
  <c r="AU70" i="23086"/>
  <c r="AR70" i="23086"/>
  <c r="AO70" i="23086"/>
  <c r="AO136" i="23086" s="1"/>
  <c r="AO133" i="23086" s="1"/>
  <c r="AO2" i="23086"/>
  <c r="AN2" i="23086"/>
  <c r="BD75" i="23086" l="1"/>
  <c r="BA144" i="23086"/>
  <c r="BA147" i="23086" s="1"/>
  <c r="AR75" i="23086"/>
  <c r="AR136" i="23086"/>
  <c r="AU136" i="23086"/>
  <c r="AU75" i="23086"/>
  <c r="AX75" i="23086"/>
  <c r="AX136" i="23086"/>
  <c r="BF75" i="23086"/>
  <c r="BA136" i="23086"/>
  <c r="BD140" i="23086" s="1"/>
  <c r="BA75" i="23086"/>
  <c r="AO81" i="23086"/>
  <c r="AU81" i="23086"/>
  <c r="AX81" i="23086"/>
  <c r="BA80" i="23086"/>
  <c r="AO80" i="23086"/>
  <c r="AR81" i="23086"/>
  <c r="AR80" i="23086"/>
  <c r="AU80" i="23086"/>
  <c r="AX80" i="23086"/>
  <c r="BA81" i="23086"/>
  <c r="AV77" i="23086"/>
  <c r="AW77" i="23086"/>
  <c r="AO72" i="23086"/>
  <c r="AY77" i="23086"/>
  <c r="BA72" i="23086"/>
  <c r="BD77" i="23086" s="1"/>
  <c r="AR76" i="23086"/>
  <c r="BB77" i="23086"/>
  <c r="AX76" i="23086"/>
  <c r="AQ77" i="23086"/>
  <c r="AS77" i="23086"/>
  <c r="BA76" i="23086"/>
  <c r="AT77" i="23086"/>
  <c r="AU76" i="23086"/>
  <c r="AR72" i="23086"/>
  <c r="AZ77" i="23086"/>
  <c r="AX72" i="23086"/>
  <c r="AU72" i="23086"/>
  <c r="BF122" i="23086"/>
  <c r="AU133" i="23086" l="1"/>
  <c r="AU140" i="23086"/>
  <c r="BA133" i="23086"/>
  <c r="BA140" i="23086"/>
  <c r="AR133" i="23086"/>
  <c r="AR140" i="23086"/>
  <c r="AX133" i="23086"/>
  <c r="AX140" i="23086"/>
  <c r="BG75" i="23086"/>
  <c r="AR77" i="23086"/>
  <c r="AU77" i="23086"/>
  <c r="AX77" i="23086"/>
  <c r="BA77" i="23086"/>
  <c r="BH75" i="23086" l="1"/>
  <c r="AN115" i="23083" l="1"/>
  <c r="AO140" i="23083" l="1"/>
  <c r="AB252" i="23083"/>
  <c r="AE252" i="23083"/>
  <c r="AH252" i="23083"/>
  <c r="AK252" i="23083"/>
  <c r="AN252" i="23083"/>
  <c r="BB120" i="23086"/>
  <c r="BA119" i="23086"/>
  <c r="BD120" i="23086" s="1"/>
  <c r="BB114" i="23086"/>
  <c r="BB112" i="23086"/>
  <c r="BA110" i="23086"/>
  <c r="BC112" i="23086" s="1"/>
  <c r="BA105" i="23086"/>
  <c r="BB98" i="23086"/>
  <c r="BE99" i="23086" s="1"/>
  <c r="AO320" i="23083"/>
  <c r="AO319" i="23083"/>
  <c r="AO283" i="23083"/>
  <c r="AO263" i="23083"/>
  <c r="AO255" i="23083"/>
  <c r="AO253" i="23083"/>
  <c r="AP253" i="23083" s="1"/>
  <c r="AO251" i="23083"/>
  <c r="AO246" i="23083"/>
  <c r="AO248" i="23083" s="1"/>
  <c r="AO210" i="23083"/>
  <c r="AR211" i="23083" s="1"/>
  <c r="AR83" i="23083" s="1"/>
  <c r="AO205" i="23083"/>
  <c r="AO189" i="23083"/>
  <c r="AO182" i="23083"/>
  <c r="AO198" i="23083"/>
  <c r="AO296" i="23083" s="1"/>
  <c r="AO169" i="23083"/>
  <c r="AO160" i="23083"/>
  <c r="AO150" i="23083"/>
  <c r="AO124" i="23083"/>
  <c r="AO119" i="23083"/>
  <c r="AR118" i="23083" s="1"/>
  <c r="AR120" i="23083" s="1"/>
  <c r="AR122" i="23083" s="1"/>
  <c r="AO113" i="23083"/>
  <c r="AR112" i="23083" s="1"/>
  <c r="AR114" i="23083" s="1"/>
  <c r="AR116" i="23083" s="1"/>
  <c r="AN320" i="23083"/>
  <c r="AO100" i="23083"/>
  <c r="AO96" i="23083"/>
  <c r="AO58" i="23083"/>
  <c r="AO57" i="23083"/>
  <c r="AN50" i="23083"/>
  <c r="AO49" i="23083"/>
  <c r="AO48" i="23083"/>
  <c r="AN319" i="23083"/>
  <c r="BB92" i="23086"/>
  <c r="AR137" i="23083" l="1"/>
  <c r="AR84" i="23083"/>
  <c r="AR138" i="23083" s="1"/>
  <c r="BA114" i="23086"/>
  <c r="AO206" i="23083"/>
  <c r="AO292" i="23083"/>
  <c r="AO163" i="23083"/>
  <c r="AO299" i="23083"/>
  <c r="AO102" i="23083"/>
  <c r="AO297" i="23083"/>
  <c r="AO298" i="23083" s="1"/>
  <c r="AO300" i="23083" s="1"/>
  <c r="AO172" i="23083"/>
  <c r="AO174" i="23083" s="1"/>
  <c r="AN321" i="23083"/>
  <c r="AN323" i="23083" s="1"/>
  <c r="AO50" i="23083"/>
  <c r="AO321" i="23083"/>
  <c r="AO323" i="23083" s="1"/>
  <c r="AO191" i="23083"/>
  <c r="AO127" i="23083"/>
  <c r="AO88" i="23083"/>
  <c r="AO18" i="23083"/>
  <c r="BA92" i="23086"/>
  <c r="AR60" i="23083" l="1"/>
  <c r="AR19" i="23083"/>
  <c r="AR139" i="23083"/>
  <c r="AR126" i="23083"/>
  <c r="AR128" i="23083" s="1"/>
  <c r="AO51" i="23083"/>
  <c r="AO90" i="23083"/>
  <c r="AO92" i="23083" s="1"/>
  <c r="AO107" i="23083" s="1"/>
  <c r="AO109" i="23083" s="1"/>
  <c r="AO202" i="23083"/>
  <c r="AO203" i="23083"/>
  <c r="AO199" i="23083"/>
  <c r="AO200" i="23083" s="1"/>
  <c r="AR130" i="23083" l="1"/>
  <c r="AR310" i="23083"/>
  <c r="AR311" i="23083" s="1"/>
  <c r="AO285" i="23083"/>
  <c r="AO289" i="23083" s="1"/>
  <c r="E22" i="23120"/>
  <c r="E24" i="23120" s="1"/>
  <c r="AO59" i="23083" l="1"/>
  <c r="AZ130" i="23086" l="1"/>
  <c r="AZ120" i="23086"/>
  <c r="AZ114" i="23086"/>
  <c r="AM320" i="23083"/>
  <c r="AM319" i="23083"/>
  <c r="AM292" i="23083"/>
  <c r="AN292" i="23083" s="1"/>
  <c r="AM283" i="23083"/>
  <c r="AM263" i="23083"/>
  <c r="AN263" i="23083" s="1"/>
  <c r="AM255" i="23083"/>
  <c r="AM251" i="23083"/>
  <c r="AM246" i="23083"/>
  <c r="AM248" i="23083" s="1"/>
  <c r="AM210" i="23083"/>
  <c r="AP211" i="23083" s="1"/>
  <c r="AP83" i="23083" s="1"/>
  <c r="AM205" i="23083"/>
  <c r="AM297" i="23083"/>
  <c r="AM119" i="23083"/>
  <c r="AP118" i="23083" s="1"/>
  <c r="AP120" i="23083" s="1"/>
  <c r="AP122" i="23083" s="1"/>
  <c r="AM113" i="23083"/>
  <c r="AP112" i="23083" s="1"/>
  <c r="AP114" i="23083" s="1"/>
  <c r="AP116" i="23083" s="1"/>
  <c r="AM58" i="23083"/>
  <c r="AM57" i="23083"/>
  <c r="AM50" i="23083"/>
  <c r="AN35" i="23083"/>
  <c r="AB17" i="23123"/>
  <c r="AC20" i="23123"/>
  <c r="AA16" i="23123"/>
  <c r="AC16" i="23123"/>
  <c r="AC17" i="23123"/>
  <c r="AB16" i="23123"/>
  <c r="AD17" i="23123"/>
  <c r="AA17" i="23123"/>
  <c r="AD20" i="23123"/>
  <c r="AA19" i="23123"/>
  <c r="AB18" i="23123"/>
  <c r="AC18" i="23123"/>
  <c r="AB20" i="23123"/>
  <c r="AD19" i="23123"/>
  <c r="AC19" i="23123"/>
  <c r="AB19" i="23123"/>
  <c r="AA20" i="23123"/>
  <c r="AD18" i="23123"/>
  <c r="AD16" i="23123"/>
  <c r="AA18" i="23123"/>
  <c r="AP137" i="23083" l="1"/>
  <c r="AP84" i="23083"/>
  <c r="AP138" i="23083" s="1"/>
  <c r="AM123" i="23083"/>
  <c r="AN121" i="23083"/>
  <c r="AM206" i="23083"/>
  <c r="AM140" i="23083"/>
  <c r="AM51" i="23083"/>
  <c r="AM296" i="23083"/>
  <c r="AM299" i="23083" s="1"/>
  <c r="AM72" i="23083"/>
  <c r="AM18" i="23083"/>
  <c r="AM321" i="23083"/>
  <c r="AM127" i="23083"/>
  <c r="AZ92" i="23086"/>
  <c r="AP126" i="23083" l="1"/>
  <c r="AP128" i="23083" s="1"/>
  <c r="AP130" i="23083" s="1"/>
  <c r="AP139" i="23083"/>
  <c r="AN18" i="23083"/>
  <c r="AP19" i="23083"/>
  <c r="AP60" i="23083"/>
  <c r="AM323" i="23083"/>
  <c r="AM285" i="23083"/>
  <c r="AM289" i="23083" s="1"/>
  <c r="AM298" i="23083"/>
  <c r="AM300" i="23083" s="1"/>
  <c r="AM203" i="23083"/>
  <c r="AM202" i="23083"/>
  <c r="AP101" i="23086"/>
  <c r="AP100" i="23086"/>
  <c r="AS101" i="23086" s="1"/>
  <c r="AP99" i="23086"/>
  <c r="AS100" i="23086" s="1"/>
  <c r="AV101" i="23086" s="1"/>
  <c r="AP98" i="23086"/>
  <c r="AS99" i="23086" s="1"/>
  <c r="AV100" i="23086" s="1"/>
  <c r="AY101" i="23086" s="1"/>
  <c r="AS98" i="23086"/>
  <c r="AV99" i="23086" s="1"/>
  <c r="AY100" i="23086" s="1"/>
  <c r="BB101" i="23086" s="1"/>
  <c r="AV98" i="23086"/>
  <c r="AY99" i="23086" s="1"/>
  <c r="BB100" i="23086" s="1"/>
  <c r="BE101" i="23086" s="1"/>
  <c r="AY98" i="23086"/>
  <c r="BB99" i="23086" s="1"/>
  <c r="BE100" i="23086" s="1"/>
  <c r="AQ19" i="23083" l="1"/>
  <c r="AQ60" i="23083"/>
  <c r="AP310" i="23083"/>
  <c r="AP311" i="23083" s="1"/>
  <c r="AP102" i="23086"/>
  <c r="AS102" i="23086" s="1"/>
  <c r="AV102" i="23086" s="1"/>
  <c r="AY102" i="23086" s="1"/>
  <c r="AY104" i="23086" s="1"/>
  <c r="AZ104" i="23086" s="1"/>
  <c r="BB102" i="23086" l="1"/>
  <c r="AL119" i="23083"/>
  <c r="AO118" i="23083" s="1"/>
  <c r="AO120" i="23083" s="1"/>
  <c r="AO122" i="23083" s="1"/>
  <c r="AL113" i="23083"/>
  <c r="AO112" i="23083" s="1"/>
  <c r="AO114" i="23083" s="1"/>
  <c r="AO116" i="23083" s="1"/>
  <c r="AV130" i="23086"/>
  <c r="AS124" i="23086"/>
  <c r="AS130" i="23086" s="1"/>
  <c r="BB104" i="23086" l="1"/>
  <c r="BA104" i="23086" s="1"/>
  <c r="BE102" i="23086"/>
  <c r="BE104" i="23086" s="1"/>
  <c r="BD104" i="23086" s="1"/>
  <c r="AL124" i="23083"/>
  <c r="AL127" i="23083"/>
  <c r="BC104" i="23086" l="1"/>
  <c r="AO126" i="23083"/>
  <c r="AO128" i="23083" s="1"/>
  <c r="AO310" i="23083" s="1"/>
  <c r="AO311" i="23083" s="1"/>
  <c r="AO130" i="23083" l="1"/>
  <c r="AL255" i="23083"/>
  <c r="AL253" i="23083"/>
  <c r="AM253" i="23083" s="1"/>
  <c r="AL251" i="23083"/>
  <c r="AL246" i="23083"/>
  <c r="AL248" i="23083" s="1"/>
  <c r="AL320" i="23083" l="1"/>
  <c r="AL319" i="23083"/>
  <c r="AL59" i="23083"/>
  <c r="AL58" i="23083"/>
  <c r="AK50" i="23083"/>
  <c r="AL49" i="23083"/>
  <c r="AL48" i="23083"/>
  <c r="AL18" i="23083"/>
  <c r="AN58" i="23083"/>
  <c r="AN57" i="23083"/>
  <c r="AY120" i="23086"/>
  <c r="AX119" i="23086"/>
  <c r="BA120" i="23086" s="1"/>
  <c r="AY114" i="23086"/>
  <c r="AY112" i="23086"/>
  <c r="AX110" i="23086"/>
  <c r="AX105" i="23086"/>
  <c r="AO19" i="23083" l="1"/>
  <c r="AO60" i="23083"/>
  <c r="AL321" i="23083"/>
  <c r="AL323" i="23083" s="1"/>
  <c r="AX114" i="23086"/>
  <c r="AZ112" i="23086"/>
  <c r="AL50" i="23083"/>
  <c r="AK319" i="23083"/>
  <c r="AK320" i="23083"/>
  <c r="AK321" i="23083" l="1"/>
  <c r="AY92" i="23086"/>
  <c r="Y29" i="23134"/>
  <c r="AG29" i="23134"/>
  <c r="AC29" i="23134"/>
  <c r="AJ29" i="23134"/>
  <c r="L18" i="23134"/>
  <c r="P18" i="23134"/>
  <c r="E18" i="23134"/>
  <c r="J18" i="23134"/>
  <c r="N18" i="23134"/>
  <c r="G18" i="23134"/>
  <c r="H18" i="23134"/>
  <c r="F18" i="23134"/>
  <c r="M18" i="23134"/>
  <c r="N10" i="23134"/>
  <c r="O18" i="23134"/>
  <c r="O10" i="23134"/>
  <c r="D18" i="23134"/>
  <c r="C18" i="23134"/>
  <c r="K18" i="23134"/>
  <c r="I18" i="23134"/>
  <c r="M10" i="23134"/>
  <c r="AK323" i="23083" l="1"/>
  <c r="Y14" i="23134"/>
  <c r="AC14" i="23134"/>
  <c r="AA6" i="23083" l="1"/>
  <c r="AJ6" i="23083"/>
  <c r="AM6" i="23083" l="1"/>
  <c r="AJ5" i="23083"/>
  <c r="AA5" i="23083"/>
  <c r="AP81" i="23086"/>
  <c r="AP80" i="23086"/>
  <c r="AJ8" i="23083" l="1"/>
  <c r="AO6" i="23083"/>
  <c r="AX92" i="23086" l="1"/>
  <c r="AS6" i="23083" l="1"/>
  <c r="AM5" i="23083" l="1"/>
  <c r="AT6" i="23083"/>
  <c r="AM8" i="23083" l="1"/>
  <c r="AM325" i="23083" s="1"/>
  <c r="AM208" i="23083"/>
  <c r="AM78" i="23083"/>
  <c r="AM77" i="23083"/>
  <c r="AJ255" i="23083"/>
  <c r="AJ251" i="23083"/>
  <c r="AJ246" i="23083"/>
  <c r="AJ248" i="23083" s="1"/>
  <c r="AJ320" i="23083"/>
  <c r="AJ319" i="23083"/>
  <c r="AJ292" i="23083"/>
  <c r="AJ283" i="23083"/>
  <c r="AJ263" i="23083"/>
  <c r="AJ210" i="23083"/>
  <c r="AM211" i="23083" s="1"/>
  <c r="AM83" i="23083" s="1"/>
  <c r="AJ205" i="23083"/>
  <c r="AJ296" i="23083"/>
  <c r="AJ297" i="23083"/>
  <c r="AM118" i="23083"/>
  <c r="AM120" i="23083" s="1"/>
  <c r="AM122" i="23083" s="1"/>
  <c r="AM112" i="23083"/>
  <c r="AM114" i="23083" s="1"/>
  <c r="AM116" i="23083" s="1"/>
  <c r="AJ58" i="23083"/>
  <c r="AJ57" i="23083"/>
  <c r="AJ50" i="23083"/>
  <c r="AJ12" i="23083"/>
  <c r="AW120" i="23086"/>
  <c r="AW114" i="23086"/>
  <c r="V131" i="23133"/>
  <c r="W73" i="23133"/>
  <c r="X73" i="23133"/>
  <c r="Y73" i="23133"/>
  <c r="Z73" i="23133"/>
  <c r="AA73" i="23133"/>
  <c r="AB73" i="23133"/>
  <c r="AG73" i="23133"/>
  <c r="W74" i="23133"/>
  <c r="X74" i="23133"/>
  <c r="Y74" i="23133"/>
  <c r="Z74" i="23133"/>
  <c r="AA74" i="23133"/>
  <c r="AB74" i="23133"/>
  <c r="AG74" i="23133"/>
  <c r="AF90" i="23133"/>
  <c r="V130" i="23133"/>
  <c r="V124" i="23133"/>
  <c r="V125" i="23133"/>
  <c r="AM214" i="23083" l="1"/>
  <c r="AM212" i="23083"/>
  <c r="AM75" i="23083"/>
  <c r="AM79" i="23083"/>
  <c r="AM215" i="23083"/>
  <c r="AM326" i="23083"/>
  <c r="AM327" i="23083" s="1"/>
  <c r="AM213" i="23083"/>
  <c r="AP56" i="23083"/>
  <c r="AP9" i="23083"/>
  <c r="AJ11" i="23083"/>
  <c r="AJ51" i="23083"/>
  <c r="AJ18" i="23083"/>
  <c r="AJ24" i="23083" s="1"/>
  <c r="AM59" i="23083"/>
  <c r="AN59" i="23083"/>
  <c r="AK35" i="23083"/>
  <c r="AJ59" i="23083"/>
  <c r="AJ298" i="23083"/>
  <c r="AJ300" i="23083" s="1"/>
  <c r="AJ299" i="23083"/>
  <c r="AM126" i="23083"/>
  <c r="AM128" i="23083" s="1"/>
  <c r="AM310" i="23083" s="1"/>
  <c r="AM311" i="23083" s="1"/>
  <c r="AJ206" i="23083"/>
  <c r="AJ321" i="23083"/>
  <c r="AW92" i="23086"/>
  <c r="AJ72" i="23083"/>
  <c r="AJ285" i="23083"/>
  <c r="AJ289" i="23083" s="1"/>
  <c r="AJ30" i="23083" l="1"/>
  <c r="AJ34" i="23083" s="1"/>
  <c r="AJ36" i="23083" s="1"/>
  <c r="AM56" i="23083"/>
  <c r="AM130" i="23083"/>
  <c r="AK18" i="23083"/>
  <c r="AM60" i="23083"/>
  <c r="AM19" i="23083"/>
  <c r="AJ323" i="23083"/>
  <c r="AM9" i="23083"/>
  <c r="AJ325" i="23083"/>
  <c r="AJ203" i="23083"/>
  <c r="AJ202" i="23083"/>
  <c r="AJ78" i="23083"/>
  <c r="AJ213" i="23083"/>
  <c r="AJ76" i="23083"/>
  <c r="AJ75" i="23083"/>
  <c r="AJ215" i="23083"/>
  <c r="AJ68" i="23083"/>
  <c r="AJ77" i="23083"/>
  <c r="AJ208" i="23083"/>
  <c r="AJ326" i="23083"/>
  <c r="AJ214" i="23083"/>
  <c r="AJ212" i="23083"/>
  <c r="AJ79" i="23083"/>
  <c r="AJ204" i="23083"/>
  <c r="AJ209" i="23083"/>
  <c r="AJ69" i="23083"/>
  <c r="H73" i="23133"/>
  <c r="E86" i="23133" s="1"/>
  <c r="E73" i="23133"/>
  <c r="G73" i="23133" s="1"/>
  <c r="V73" i="23133" s="1"/>
  <c r="AJ131" i="23083" l="1"/>
  <c r="AN19" i="23083"/>
  <c r="AN60" i="23083"/>
  <c r="AJ70" i="23083"/>
  <c r="AJ327" i="23083"/>
  <c r="E74" i="23133"/>
  <c r="G74" i="23133" s="1"/>
  <c r="E87" i="23133"/>
  <c r="AJ71" i="23083"/>
  <c r="AG75" i="23133"/>
  <c r="AB75" i="23133"/>
  <c r="AA75" i="23133"/>
  <c r="Z75" i="23133"/>
  <c r="Y75" i="23133"/>
  <c r="X75" i="23133"/>
  <c r="W75" i="23133"/>
  <c r="V75" i="23133"/>
  <c r="AG72" i="23133"/>
  <c r="AB72" i="23133"/>
  <c r="AA72" i="23133"/>
  <c r="Z72" i="23133"/>
  <c r="Y72" i="23133"/>
  <c r="X72" i="23133"/>
  <c r="W72" i="23133"/>
  <c r="AG71" i="23133"/>
  <c r="AD71" i="23133"/>
  <c r="AD90" i="23133" s="1"/>
  <c r="AC71" i="23133"/>
  <c r="AC90" i="23133" s="1"/>
  <c r="AB71" i="23133"/>
  <c r="AA71" i="23133"/>
  <c r="Z71" i="23133"/>
  <c r="Y71" i="23133"/>
  <c r="X71" i="23133"/>
  <c r="W71" i="23133"/>
  <c r="V71" i="23133"/>
  <c r="G72" i="23133"/>
  <c r="H72" i="23133"/>
  <c r="H74" i="23133" s="1"/>
  <c r="G71" i="23133"/>
  <c r="I71" i="23133" s="1"/>
  <c r="AA90" i="23133" l="1"/>
  <c r="AE71" i="23133"/>
  <c r="AE90" i="23133" s="1"/>
  <c r="Z90" i="23133"/>
  <c r="AB90" i="23133"/>
  <c r="W90" i="23133"/>
  <c r="X90" i="23133"/>
  <c r="Y90" i="23133"/>
  <c r="V72" i="23133"/>
  <c r="V90" i="23133" s="1"/>
  <c r="I74" i="23133"/>
  <c r="AJ40" i="23083" l="1"/>
  <c r="AJ259" i="23083" l="1"/>
  <c r="AJ274" i="23083" s="1"/>
  <c r="AJ53" i="23083"/>
  <c r="AJ52" i="23083"/>
  <c r="AJ42" i="23083"/>
  <c r="AJ262" i="23083" l="1"/>
  <c r="AJ267" i="23083" s="1"/>
  <c r="AJ273" i="23083"/>
  <c r="AT114" i="23086"/>
  <c r="AU110" i="23086"/>
  <c r="AU114" i="23086" s="1"/>
  <c r="AU105" i="23086"/>
  <c r="AJ268" i="23083" l="1"/>
  <c r="AJ282" i="23083"/>
  <c r="AJ284" i="23083" s="1"/>
  <c r="AJ288" i="23083" s="1"/>
  <c r="AJ272" i="23083"/>
  <c r="AJ264" i="23083"/>
  <c r="AJ269" i="23083" s="1"/>
  <c r="AJ45" i="23083"/>
  <c r="AU119" i="23086"/>
  <c r="AX120" i="23086" s="1"/>
  <c r="AI210" i="23083" l="1"/>
  <c r="AI205" i="23083"/>
  <c r="AL118" i="23083"/>
  <c r="AL120" i="23083" s="1"/>
  <c r="AL122" i="23083" s="1"/>
  <c r="AL112" i="23083"/>
  <c r="AL114" i="23083" s="1"/>
  <c r="AL116" i="23083" s="1"/>
  <c r="AI59" i="23083"/>
  <c r="AI58" i="23083"/>
  <c r="AI320" i="23083"/>
  <c r="AV114" i="23086"/>
  <c r="AV112" i="23086"/>
  <c r="AV120" i="23086"/>
  <c r="AI206" i="23083" l="1"/>
  <c r="AL126" i="23083"/>
  <c r="AL128" i="23083" s="1"/>
  <c r="AL130" i="23083" l="1"/>
  <c r="AL310" i="23083"/>
  <c r="AL311" i="23083" s="1"/>
  <c r="AI202" i="23083"/>
  <c r="V123" i="23133"/>
  <c r="V127" i="23133" s="1"/>
  <c r="AI218" i="23083"/>
  <c r="AI220" i="23083" s="1"/>
  <c r="AI200" i="23083"/>
  <c r="AI203" i="23083"/>
  <c r="AI255" i="23083" l="1"/>
  <c r="AI253" i="23083"/>
  <c r="AJ253" i="23083" s="1"/>
  <c r="AI251" i="23083"/>
  <c r="AI246" i="23083"/>
  <c r="AI248" i="23083" s="1"/>
  <c r="AH50" i="23083"/>
  <c r="AI49" i="23083"/>
  <c r="AI48" i="23083"/>
  <c r="AI72" i="23083" l="1"/>
  <c r="AL57" i="23083"/>
  <c r="AK58" i="23083"/>
  <c r="AI18" i="23083"/>
  <c r="AL19" i="23083" s="1"/>
  <c r="AK59" i="23083"/>
  <c r="AI50" i="23083"/>
  <c r="AI319" i="23083"/>
  <c r="AI51" i="23083" l="1"/>
  <c r="AK57" i="23083"/>
  <c r="AL60" i="23083"/>
  <c r="AI321" i="23083"/>
  <c r="AI323" i="23083" l="1"/>
  <c r="AI5" i="23083" l="1"/>
  <c r="AI6" i="23083"/>
  <c r="AI8" i="23083" l="1"/>
  <c r="AV92" i="23086"/>
  <c r="D27" i="23134" l="1"/>
  <c r="C27" i="23134"/>
  <c r="BB130" i="23086" l="1"/>
  <c r="D26" i="23134"/>
  <c r="C26" i="23134"/>
  <c r="G14" i="23134"/>
  <c r="E8" i="23134"/>
  <c r="P8" i="23134"/>
  <c r="H15" i="23134"/>
  <c r="I12" i="23134"/>
  <c r="K14" i="23134"/>
  <c r="C8" i="23134"/>
  <c r="F8" i="23134"/>
  <c r="K8" i="23134"/>
  <c r="F15" i="23134"/>
  <c r="E14" i="23134"/>
  <c r="M15" i="23134"/>
  <c r="D12" i="23134"/>
  <c r="N12" i="23134"/>
  <c r="O8" i="23134"/>
  <c r="E15" i="23134"/>
  <c r="L12" i="23134"/>
  <c r="H14" i="23134"/>
  <c r="O14" i="23134"/>
  <c r="C10" i="23134"/>
  <c r="N8" i="23134"/>
  <c r="K12" i="23134"/>
  <c r="J15" i="23134"/>
  <c r="K15" i="23134"/>
  <c r="H8" i="23134"/>
  <c r="D14" i="23134"/>
  <c r="C14" i="23134"/>
  <c r="E10" i="23134"/>
  <c r="I15" i="23134"/>
  <c r="O12" i="23134"/>
  <c r="P15" i="23134"/>
  <c r="H10" i="23134"/>
  <c r="G8" i="23134"/>
  <c r="D8" i="23134"/>
  <c r="N15" i="23134"/>
  <c r="L14" i="23134"/>
  <c r="F14" i="23134"/>
  <c r="J10" i="23134"/>
  <c r="J12" i="23134"/>
  <c r="N14" i="23134"/>
  <c r="P14" i="23134"/>
  <c r="O15" i="23134"/>
  <c r="L10" i="23134"/>
  <c r="I14" i="23134"/>
  <c r="G10" i="23134"/>
  <c r="I10" i="23134"/>
  <c r="F12" i="23134"/>
  <c r="P10" i="23134"/>
  <c r="M14" i="23134"/>
  <c r="M12" i="23134"/>
  <c r="J14" i="23134"/>
  <c r="G15" i="23134"/>
  <c r="D10" i="23134"/>
  <c r="G12" i="23134"/>
  <c r="F10" i="23134"/>
  <c r="I8" i="23134"/>
  <c r="C12" i="23134"/>
  <c r="E12" i="23134"/>
  <c r="D15" i="23134"/>
  <c r="L8" i="23134"/>
  <c r="L15" i="23134"/>
  <c r="K10" i="23134"/>
  <c r="C15" i="23134"/>
  <c r="H12" i="23134"/>
  <c r="J8" i="23134"/>
  <c r="M8" i="23134"/>
  <c r="P12" i="23134"/>
  <c r="AG26" i="23134" l="1"/>
  <c r="Y26" i="23134"/>
  <c r="AC26" i="23134"/>
  <c r="Y11" i="23134"/>
  <c r="AC11" i="23134"/>
  <c r="AC17" i="23134"/>
  <c r="Y17" i="23134"/>
  <c r="AG14" i="23134"/>
  <c r="AG17" i="23134"/>
  <c r="AG11" i="23134"/>
  <c r="H16" i="23134"/>
  <c r="H24" i="23134" s="1"/>
  <c r="E16" i="23134"/>
  <c r="E24" i="23134" s="1"/>
  <c r="M16" i="23134"/>
  <c r="AC20" i="23134" s="1"/>
  <c r="F16" i="23134"/>
  <c r="F24" i="23134" s="1"/>
  <c r="J16" i="23134"/>
  <c r="J24" i="23134" s="1"/>
  <c r="N16" i="23134"/>
  <c r="N24" i="23134" s="1"/>
  <c r="D16" i="23134"/>
  <c r="D24" i="23134" s="1"/>
  <c r="L16" i="23134"/>
  <c r="Y20" i="23134" s="1"/>
  <c r="I16" i="23134"/>
  <c r="I24" i="23134" s="1"/>
  <c r="C16" i="23134"/>
  <c r="C24" i="23134" s="1"/>
  <c r="G16" i="23134"/>
  <c r="G24" i="23134" s="1"/>
  <c r="K16" i="23134"/>
  <c r="K24" i="23134" s="1"/>
  <c r="O16" i="23134"/>
  <c r="O24" i="23134" s="1"/>
  <c r="P16" i="23134"/>
  <c r="P24" i="23134" s="1"/>
  <c r="E23" i="23134"/>
  <c r="I23" i="23134"/>
  <c r="M23" i="23134"/>
  <c r="F23" i="23134"/>
  <c r="J23" i="23134"/>
  <c r="N23" i="23134"/>
  <c r="O23" i="23134"/>
  <c r="C23" i="23134"/>
  <c r="G23" i="23134"/>
  <c r="K23" i="23134"/>
  <c r="D23" i="23134"/>
  <c r="H23" i="23134"/>
  <c r="L23" i="23134"/>
  <c r="P23" i="23134"/>
  <c r="D22" i="23134"/>
  <c r="L22" i="23134"/>
  <c r="P22" i="23134"/>
  <c r="E22" i="23134"/>
  <c r="I22" i="23134"/>
  <c r="M22" i="23134"/>
  <c r="F22" i="23134"/>
  <c r="J22" i="23134"/>
  <c r="N22" i="23134"/>
  <c r="H22" i="23134"/>
  <c r="C22" i="23134"/>
  <c r="G22" i="23134"/>
  <c r="K22" i="23134"/>
  <c r="O22" i="23134"/>
  <c r="AC316" i="23083"/>
  <c r="AA12" i="23083"/>
  <c r="AC12" i="23083"/>
  <c r="AD12" i="23083"/>
  <c r="AF12" i="23083"/>
  <c r="AG12" i="23083"/>
  <c r="J6" i="23134"/>
  <c r="L7" i="23134"/>
  <c r="D6" i="23134"/>
  <c r="M7" i="23134"/>
  <c r="M6" i="23134"/>
  <c r="L6" i="23134"/>
  <c r="N6" i="23134"/>
  <c r="F6" i="23134"/>
  <c r="J7" i="23134"/>
  <c r="K6" i="23134"/>
  <c r="H7" i="23134"/>
  <c r="N7" i="23134"/>
  <c r="E6" i="23134"/>
  <c r="I7" i="23134"/>
  <c r="O6" i="23134"/>
  <c r="F7" i="23134"/>
  <c r="O7" i="23134"/>
  <c r="I6" i="23134"/>
  <c r="H6" i="23134"/>
  <c r="K7" i="23134"/>
  <c r="G7" i="23134"/>
  <c r="P7" i="23134"/>
  <c r="C6" i="23134"/>
  <c r="G6" i="23134"/>
  <c r="D7" i="23134"/>
  <c r="E7" i="23134"/>
  <c r="C7" i="23134"/>
  <c r="P6" i="23134"/>
  <c r="AF24" i="23083" l="1"/>
  <c r="AG12" i="23134"/>
  <c r="AG37" i="23134"/>
  <c r="AC12" i="23134"/>
  <c r="AC37" i="23134"/>
  <c r="Y12" i="23134"/>
  <c r="Y37" i="23134"/>
  <c r="AJ13" i="23083"/>
  <c r="AG20" i="23134"/>
  <c r="AG21" i="23134" s="1"/>
  <c r="F30" i="23134"/>
  <c r="F48" i="23134" s="1"/>
  <c r="D30" i="23134"/>
  <c r="D48" i="23134" s="1"/>
  <c r="I30" i="23134"/>
  <c r="I48" i="23134" s="1"/>
  <c r="C30" i="23134"/>
  <c r="C48" i="23134" s="1"/>
  <c r="G30" i="23134"/>
  <c r="G48" i="23134" s="1"/>
  <c r="AC18" i="23134"/>
  <c r="AC21" i="23134"/>
  <c r="AC15" i="23134"/>
  <c r="J30" i="23134"/>
  <c r="J48" i="23134" s="1"/>
  <c r="Y21" i="23134"/>
  <c r="AG18" i="23134"/>
  <c r="M24" i="23134"/>
  <c r="Y15" i="23134"/>
  <c r="L24" i="23134"/>
  <c r="Y18" i="23134"/>
  <c r="AG15" i="23134"/>
  <c r="C44" i="23134"/>
  <c r="D44" i="23134"/>
  <c r="AF30" i="23083" l="1"/>
  <c r="AF131" i="23083" s="1"/>
  <c r="D28" i="23134"/>
  <c r="D45" i="23134"/>
  <c r="C45" i="23134"/>
  <c r="C28" i="23134"/>
  <c r="AF34" i="23083" l="1"/>
  <c r="C46" i="23134"/>
  <c r="C39" i="23134"/>
  <c r="C57" i="23134" s="1"/>
  <c r="D46" i="23134"/>
  <c r="D39" i="23134"/>
  <c r="D57" i="23134" s="1"/>
  <c r="AB12" i="23083"/>
  <c r="AE12" i="23083"/>
  <c r="E30" i="23134" l="1"/>
  <c r="E48" i="23134" s="1"/>
  <c r="H30" i="23134"/>
  <c r="H48" i="23134" s="1"/>
  <c r="L27" i="23134" l="1"/>
  <c r="AL6" i="23083" l="1"/>
  <c r="M27" i="23134"/>
  <c r="L45" i="23134"/>
  <c r="AK6" i="23083" l="1"/>
  <c r="M45" i="23134"/>
  <c r="N27" i="23134"/>
  <c r="AN6" i="23083" l="1"/>
  <c r="N45" i="23134"/>
  <c r="O27" i="23134"/>
  <c r="P27" i="23134" l="1"/>
  <c r="P45" i="23134" s="1"/>
  <c r="O45" i="23134"/>
  <c r="AT117" i="23086" l="1"/>
  <c r="AS117" i="23086"/>
  <c r="AQ117" i="23086"/>
  <c r="AP117" i="23086"/>
  <c r="AP120" i="23086"/>
  <c r="AQ120" i="23086"/>
  <c r="AS120" i="23086"/>
  <c r="AR119" i="23086"/>
  <c r="AR116" i="23086"/>
  <c r="AT120" i="23086"/>
  <c r="AU120" i="23086" l="1"/>
  <c r="AR120" i="23086"/>
  <c r="AR117" i="23086"/>
  <c r="H66" i="23133"/>
  <c r="G66" i="23133"/>
  <c r="H68" i="23133"/>
  <c r="G68" i="23133"/>
  <c r="AG70" i="23133"/>
  <c r="AE70" i="23133"/>
  <c r="AD70" i="23133"/>
  <c r="AC70" i="23133"/>
  <c r="AB70" i="23133"/>
  <c r="AA70" i="23133"/>
  <c r="Z70" i="23133"/>
  <c r="Y70" i="23133"/>
  <c r="X70" i="23133"/>
  <c r="W70" i="23133"/>
  <c r="V70" i="23133"/>
  <c r="AG69" i="23133"/>
  <c r="AE69" i="23133"/>
  <c r="AD69" i="23133"/>
  <c r="AC69" i="23133"/>
  <c r="AB69" i="23133"/>
  <c r="AA69" i="23133"/>
  <c r="Z69" i="23133"/>
  <c r="Y69" i="23133"/>
  <c r="X69" i="23133"/>
  <c r="W69" i="23133"/>
  <c r="V69" i="23133"/>
  <c r="AG68" i="23133"/>
  <c r="AE68" i="23133"/>
  <c r="AD68" i="23133"/>
  <c r="AC68" i="23133"/>
  <c r="AB68" i="23133"/>
  <c r="AA68" i="23133"/>
  <c r="Z68" i="23133"/>
  <c r="Y68" i="23133"/>
  <c r="X68" i="23133"/>
  <c r="W68" i="23133"/>
  <c r="V68" i="23133"/>
  <c r="AG67" i="23133"/>
  <c r="Y67" i="23133" s="1"/>
  <c r="AD67" i="23133"/>
  <c r="AC67" i="23133"/>
  <c r="AB67" i="23133"/>
  <c r="AA67" i="23133"/>
  <c r="Z67" i="23133"/>
  <c r="X67" i="23133"/>
  <c r="W67" i="23133"/>
  <c r="V67" i="23133"/>
  <c r="AG66" i="23133"/>
  <c r="AD66" i="23133" s="1"/>
  <c r="AE66" i="23133"/>
  <c r="AB66" i="23133"/>
  <c r="AA66" i="23133"/>
  <c r="Z66" i="23133"/>
  <c r="Y66" i="23133"/>
  <c r="X66" i="23133"/>
  <c r="W66" i="23133"/>
  <c r="V66" i="23133"/>
  <c r="AG65" i="23133"/>
  <c r="AE65" i="23133"/>
  <c r="AD65" i="23133"/>
  <c r="AC65" i="23133"/>
  <c r="AB65" i="23133"/>
  <c r="AA65" i="23133"/>
  <c r="Z65" i="23133"/>
  <c r="Y65" i="23133"/>
  <c r="X65" i="23133"/>
  <c r="W65" i="23133"/>
  <c r="V65" i="23133"/>
  <c r="AG50" i="23083"/>
  <c r="AG89" i="23133"/>
  <c r="AG320" i="23083"/>
  <c r="AG319" i="23083"/>
  <c r="AG283" i="23083"/>
  <c r="AG255" i="23083"/>
  <c r="AG251" i="23083"/>
  <c r="AG246" i="23083"/>
  <c r="AG248" i="23083" s="1"/>
  <c r="AG210" i="23083"/>
  <c r="AJ211" i="23083" s="1"/>
  <c r="AG205" i="23083"/>
  <c r="AH35" i="23083" l="1"/>
  <c r="I68" i="23133"/>
  <c r="AG263" i="23083"/>
  <c r="AG296" i="23083"/>
  <c r="AG299" i="23083" s="1"/>
  <c r="J36" i="23134"/>
  <c r="J54" i="23134" s="1"/>
  <c r="Y89" i="23133"/>
  <c r="V89" i="23133"/>
  <c r="Z89" i="23133"/>
  <c r="AD89" i="23133"/>
  <c r="I66" i="23133"/>
  <c r="W89" i="23133"/>
  <c r="AA89" i="23133"/>
  <c r="X89" i="23133"/>
  <c r="AB89" i="23133"/>
  <c r="AE67" i="23133"/>
  <c r="AE89" i="23133" s="1"/>
  <c r="AC66" i="23133"/>
  <c r="AC89" i="23133" s="1"/>
  <c r="AG321" i="23083"/>
  <c r="AG297" i="23083"/>
  <c r="AG206" i="23083"/>
  <c r="AG57" i="23083"/>
  <c r="AG58" i="23083"/>
  <c r="AG59" i="23083"/>
  <c r="AD6" i="23083"/>
  <c r="AD5" i="23083"/>
  <c r="AD8" i="23083" l="1"/>
  <c r="AG203" i="23083"/>
  <c r="AG298" i="23083"/>
  <c r="AG300" i="23083" s="1"/>
  <c r="AG323" i="23083"/>
  <c r="AG202" i="23083"/>
  <c r="G27" i="23134"/>
  <c r="G45" i="23134" s="1"/>
  <c r="G26" i="23134"/>
  <c r="AF89" i="23133"/>
  <c r="AB2" i="23083"/>
  <c r="AA2" i="23083"/>
  <c r="AE2" i="23083"/>
  <c r="AD2" i="23083"/>
  <c r="AR2" i="23086"/>
  <c r="AQ2" i="23086"/>
  <c r="AD11" i="23083" l="1"/>
  <c r="AG285" i="23083"/>
  <c r="AG289" i="23083" s="1"/>
  <c r="G28" i="23134"/>
  <c r="G44" i="23134"/>
  <c r="AU33" i="23083"/>
  <c r="AU96" i="23083"/>
  <c r="AU100" i="23083"/>
  <c r="AU263" i="23083"/>
  <c r="AU283" i="23083"/>
  <c r="AD59" i="23083"/>
  <c r="AD58" i="23083"/>
  <c r="AD57" i="23083"/>
  <c r="AC49" i="23083"/>
  <c r="AC48" i="23083"/>
  <c r="AF49" i="23083"/>
  <c r="AF48" i="23083"/>
  <c r="AU86" i="23083" l="1"/>
  <c r="G46" i="23134"/>
  <c r="G39" i="23134"/>
  <c r="G57" i="23134" s="1"/>
  <c r="AU102" i="23083"/>
  <c r="AG18" i="23083"/>
  <c r="AG24" i="23083" s="1"/>
  <c r="AG30" i="23083" l="1"/>
  <c r="AG34" i="23083" s="1"/>
  <c r="AJ60" i="23083"/>
  <c r="AJ19" i="23083"/>
  <c r="AH18" i="23083"/>
  <c r="AG131" i="23083" l="1"/>
  <c r="AK19" i="23083"/>
  <c r="AK60" i="23083"/>
  <c r="AS155" i="23083" l="1"/>
  <c r="AT155" i="23083" l="1"/>
  <c r="AU155" i="23083" s="1"/>
  <c r="AU205" i="23083" l="1"/>
  <c r="AA255" i="23083" l="1"/>
  <c r="AA251" i="23083"/>
  <c r="AA246" i="23083"/>
  <c r="AA248" i="23083" s="1"/>
  <c r="AB316" i="23083"/>
  <c r="AB315" i="23083"/>
  <c r="AD72" i="23083" l="1"/>
  <c r="AA72" i="23083"/>
  <c r="AA18" i="23083"/>
  <c r="AD18" i="23083" l="1"/>
  <c r="AD24" i="23083" s="1"/>
  <c r="AC6" i="23083"/>
  <c r="AF6" i="23083"/>
  <c r="AC5" i="23083"/>
  <c r="AF5" i="23083"/>
  <c r="AG88" i="23133"/>
  <c r="AG85" i="23133"/>
  <c r="AG84" i="23133"/>
  <c r="AG83" i="23133"/>
  <c r="I31" i="23133"/>
  <c r="AA82" i="23133"/>
  <c r="AB82" i="23133"/>
  <c r="AC82" i="23133"/>
  <c r="AD82" i="23133"/>
  <c r="AE82" i="23133"/>
  <c r="Z82" i="23133"/>
  <c r="X82" i="23133"/>
  <c r="Y82" i="23133"/>
  <c r="V82" i="23133"/>
  <c r="W82" i="23133"/>
  <c r="V9" i="23133"/>
  <c r="W9" i="23133"/>
  <c r="Y9" i="23133"/>
  <c r="Z9" i="23133"/>
  <c r="AA9" i="23133"/>
  <c r="AC9" i="23133"/>
  <c r="AE9" i="23133"/>
  <c r="V10" i="23133"/>
  <c r="W10" i="23133"/>
  <c r="X10" i="23133"/>
  <c r="Y10" i="23133"/>
  <c r="Z10" i="23133"/>
  <c r="AA10" i="23133"/>
  <c r="AB10" i="23133"/>
  <c r="AC10" i="23133"/>
  <c r="AD10" i="23133"/>
  <c r="AE10" i="23133"/>
  <c r="V11" i="23133"/>
  <c r="W11" i="23133"/>
  <c r="X11" i="23133"/>
  <c r="Y11" i="23133"/>
  <c r="Z11" i="23133"/>
  <c r="AA11" i="23133"/>
  <c r="AB11" i="23133"/>
  <c r="AC11" i="23133"/>
  <c r="AD11" i="23133"/>
  <c r="AE11" i="23133"/>
  <c r="V12" i="23133"/>
  <c r="W12" i="23133"/>
  <c r="X12" i="23133"/>
  <c r="Y12" i="23133"/>
  <c r="Z12" i="23133"/>
  <c r="AA12" i="23133"/>
  <c r="AB12" i="23133"/>
  <c r="AC12" i="23133"/>
  <c r="AD12" i="23133"/>
  <c r="AE12" i="23133"/>
  <c r="V13" i="23133"/>
  <c r="X13" i="23133"/>
  <c r="Y13" i="23133"/>
  <c r="Z13" i="23133"/>
  <c r="AA13" i="23133"/>
  <c r="AB13" i="23133"/>
  <c r="AC13" i="23133"/>
  <c r="AD13" i="23133"/>
  <c r="AE13" i="23133"/>
  <c r="V14" i="23133"/>
  <c r="W14" i="23133"/>
  <c r="X14" i="23133"/>
  <c r="Y14" i="23133"/>
  <c r="Z14" i="23133"/>
  <c r="AA14" i="23133"/>
  <c r="AB14" i="23133"/>
  <c r="AC14" i="23133"/>
  <c r="AE14" i="23133"/>
  <c r="V15" i="23133"/>
  <c r="W15" i="23133"/>
  <c r="X15" i="23133"/>
  <c r="Y15" i="23133"/>
  <c r="Z15" i="23133"/>
  <c r="AA15" i="23133"/>
  <c r="AB15" i="23133"/>
  <c r="AC15" i="23133"/>
  <c r="AE15" i="23133"/>
  <c r="V16" i="23133"/>
  <c r="W16" i="23133"/>
  <c r="X16" i="23133"/>
  <c r="Y16" i="23133"/>
  <c r="Z16" i="23133"/>
  <c r="AA16" i="23133"/>
  <c r="AB16" i="23133"/>
  <c r="AC16" i="23133"/>
  <c r="AD16" i="23133"/>
  <c r="AE16" i="23133"/>
  <c r="V17" i="23133"/>
  <c r="W17" i="23133"/>
  <c r="X17" i="23133"/>
  <c r="Y17" i="23133"/>
  <c r="Z17" i="23133"/>
  <c r="AA17" i="23133"/>
  <c r="AB17" i="23133"/>
  <c r="AC17" i="23133"/>
  <c r="AD17" i="23133"/>
  <c r="AE17" i="23133"/>
  <c r="V18" i="23133"/>
  <c r="W18" i="23133"/>
  <c r="X18" i="23133"/>
  <c r="Y18" i="23133"/>
  <c r="Z18" i="23133"/>
  <c r="AA18" i="23133"/>
  <c r="AB18" i="23133"/>
  <c r="AC18" i="23133"/>
  <c r="AD18" i="23133"/>
  <c r="AE18" i="23133"/>
  <c r="V19" i="23133"/>
  <c r="W19" i="23133"/>
  <c r="X19" i="23133"/>
  <c r="Y19" i="23133"/>
  <c r="Z19" i="23133"/>
  <c r="AA19" i="23133"/>
  <c r="AB19" i="23133"/>
  <c r="AC19" i="23133"/>
  <c r="AD19" i="23133"/>
  <c r="AE19" i="23133"/>
  <c r="V20" i="23133"/>
  <c r="W20" i="23133"/>
  <c r="X20" i="23133"/>
  <c r="Y20" i="23133"/>
  <c r="Z20" i="23133"/>
  <c r="AA20" i="23133"/>
  <c r="AB20" i="23133"/>
  <c r="AC20" i="23133"/>
  <c r="AE20" i="23133"/>
  <c r="V21" i="23133"/>
  <c r="W21" i="23133"/>
  <c r="X21" i="23133"/>
  <c r="Y21" i="23133"/>
  <c r="Z21" i="23133"/>
  <c r="AA21" i="23133"/>
  <c r="AB21" i="23133"/>
  <c r="AC21" i="23133"/>
  <c r="AE21" i="23133"/>
  <c r="V22" i="23133"/>
  <c r="W22" i="23133"/>
  <c r="X22" i="23133"/>
  <c r="Y22" i="23133"/>
  <c r="Z22" i="23133"/>
  <c r="AA22" i="23133"/>
  <c r="AC22" i="23133"/>
  <c r="AE22" i="23133"/>
  <c r="W23" i="23133"/>
  <c r="X23" i="23133"/>
  <c r="Y23" i="23133"/>
  <c r="Z23" i="23133"/>
  <c r="AA23" i="23133"/>
  <c r="AB23" i="23133"/>
  <c r="AC23" i="23133"/>
  <c r="AD23" i="23133"/>
  <c r="AE23" i="23133"/>
  <c r="V24" i="23133"/>
  <c r="W24" i="23133"/>
  <c r="Y24" i="23133"/>
  <c r="Z24" i="23133"/>
  <c r="AA24" i="23133"/>
  <c r="AB24" i="23133"/>
  <c r="AC24" i="23133"/>
  <c r="AD24" i="23133"/>
  <c r="AE24" i="23133"/>
  <c r="V25" i="23133"/>
  <c r="X25" i="23133"/>
  <c r="Y25" i="23133"/>
  <c r="Z25" i="23133"/>
  <c r="AA25" i="23133"/>
  <c r="AB25" i="23133"/>
  <c r="AC25" i="23133"/>
  <c r="AD25" i="23133"/>
  <c r="AE25" i="23133"/>
  <c r="V26" i="23133"/>
  <c r="W26" i="23133"/>
  <c r="X26" i="23133"/>
  <c r="Y26" i="23133"/>
  <c r="Z26" i="23133"/>
  <c r="AA26" i="23133"/>
  <c r="AB26" i="23133"/>
  <c r="AC26" i="23133"/>
  <c r="AD26" i="23133"/>
  <c r="AE26" i="23133"/>
  <c r="V27" i="23133"/>
  <c r="W27" i="23133"/>
  <c r="X27" i="23133"/>
  <c r="Y27" i="23133"/>
  <c r="Z27" i="23133"/>
  <c r="AA27" i="23133"/>
  <c r="AB27" i="23133"/>
  <c r="AC27" i="23133"/>
  <c r="AE27" i="23133"/>
  <c r="V28" i="23133"/>
  <c r="W28" i="23133"/>
  <c r="X28" i="23133"/>
  <c r="Z28" i="23133"/>
  <c r="AA28" i="23133"/>
  <c r="AB28" i="23133"/>
  <c r="AC28" i="23133"/>
  <c r="AE28" i="23133"/>
  <c r="V29" i="23133"/>
  <c r="W29" i="23133"/>
  <c r="X29" i="23133"/>
  <c r="Y29" i="23133"/>
  <c r="Z29" i="23133"/>
  <c r="AA29" i="23133"/>
  <c r="AC29" i="23133"/>
  <c r="AE29" i="23133"/>
  <c r="V30" i="23133"/>
  <c r="W30" i="23133"/>
  <c r="X30" i="23133"/>
  <c r="Z30" i="23133"/>
  <c r="AA30" i="23133"/>
  <c r="AB30" i="23133"/>
  <c r="AC30" i="23133"/>
  <c r="AD30" i="23133"/>
  <c r="AE30" i="23133"/>
  <c r="V31" i="23133"/>
  <c r="W31" i="23133"/>
  <c r="X31" i="23133"/>
  <c r="Z31" i="23133"/>
  <c r="AA31" i="23133"/>
  <c r="AB31" i="23133"/>
  <c r="AC31" i="23133"/>
  <c r="AE31" i="23133"/>
  <c r="V32" i="23133"/>
  <c r="W32" i="23133"/>
  <c r="X32" i="23133"/>
  <c r="Y32" i="23133"/>
  <c r="Z32" i="23133"/>
  <c r="AA32" i="23133"/>
  <c r="AC32" i="23133"/>
  <c r="AE32" i="23133"/>
  <c r="V33" i="23133"/>
  <c r="W33" i="23133"/>
  <c r="X33" i="23133"/>
  <c r="Y33" i="23133"/>
  <c r="Z33" i="23133"/>
  <c r="AA33" i="23133"/>
  <c r="AC33" i="23133"/>
  <c r="AD33" i="23133"/>
  <c r="AE33" i="23133"/>
  <c r="V34" i="23133"/>
  <c r="W34" i="23133"/>
  <c r="X34" i="23133"/>
  <c r="Y34" i="23133"/>
  <c r="Z34" i="23133"/>
  <c r="AA34" i="23133"/>
  <c r="AC34" i="23133"/>
  <c r="AD34" i="23133"/>
  <c r="AE34" i="23133"/>
  <c r="V35" i="23133"/>
  <c r="W35" i="23133"/>
  <c r="X35" i="23133"/>
  <c r="Y35" i="23133"/>
  <c r="Z35" i="23133"/>
  <c r="AA35" i="23133"/>
  <c r="AB35" i="23133"/>
  <c r="AC35" i="23133"/>
  <c r="AD35" i="23133"/>
  <c r="AE35" i="23133"/>
  <c r="V36" i="23133"/>
  <c r="W36" i="23133"/>
  <c r="X36" i="23133"/>
  <c r="Y36" i="23133"/>
  <c r="Z36" i="23133"/>
  <c r="AA36" i="23133"/>
  <c r="AB36" i="23133"/>
  <c r="AC36" i="23133"/>
  <c r="AD36" i="23133"/>
  <c r="AE36" i="23133"/>
  <c r="V37" i="23133"/>
  <c r="W37" i="23133"/>
  <c r="X37" i="23133"/>
  <c r="Y37" i="23133"/>
  <c r="Z37" i="23133"/>
  <c r="AA37" i="23133"/>
  <c r="AB37" i="23133"/>
  <c r="AC37" i="23133"/>
  <c r="AD37" i="23133"/>
  <c r="AE37" i="23133"/>
  <c r="V38" i="23133"/>
  <c r="W38" i="23133"/>
  <c r="X38" i="23133"/>
  <c r="Y38" i="23133"/>
  <c r="Z38" i="23133"/>
  <c r="AA38" i="23133"/>
  <c r="AB38" i="23133"/>
  <c r="AC38" i="23133"/>
  <c r="AE38" i="23133"/>
  <c r="W39" i="23133"/>
  <c r="X39" i="23133"/>
  <c r="Y39" i="23133"/>
  <c r="Z39" i="23133"/>
  <c r="AA39" i="23133"/>
  <c r="AB39" i="23133"/>
  <c r="AC39" i="23133"/>
  <c r="AD39" i="23133"/>
  <c r="AE39" i="23133"/>
  <c r="V40" i="23133"/>
  <c r="W40" i="23133"/>
  <c r="X40" i="23133"/>
  <c r="Y40" i="23133"/>
  <c r="Z40" i="23133"/>
  <c r="AA40" i="23133"/>
  <c r="AB40" i="23133"/>
  <c r="AC40" i="23133"/>
  <c r="AE40" i="23133"/>
  <c r="V41" i="23133"/>
  <c r="W41" i="23133"/>
  <c r="X41" i="23133"/>
  <c r="Y41" i="23133"/>
  <c r="Z41" i="23133"/>
  <c r="AB41" i="23133"/>
  <c r="AC41" i="23133"/>
  <c r="AD41" i="23133"/>
  <c r="AE41" i="23133"/>
  <c r="V42" i="23133"/>
  <c r="W42" i="23133"/>
  <c r="X42" i="23133"/>
  <c r="Y42" i="23133"/>
  <c r="Z42" i="23133"/>
  <c r="AA42" i="23133"/>
  <c r="AB42" i="23133"/>
  <c r="AC42" i="23133"/>
  <c r="AE42" i="23133"/>
  <c r="V43" i="23133"/>
  <c r="W43" i="23133"/>
  <c r="X43" i="23133"/>
  <c r="Y43" i="23133"/>
  <c r="Z43" i="23133"/>
  <c r="AA43" i="23133"/>
  <c r="AB43" i="23133"/>
  <c r="AC43" i="23133"/>
  <c r="AE43" i="23133"/>
  <c r="W44" i="23133"/>
  <c r="X44" i="23133"/>
  <c r="Y44" i="23133"/>
  <c r="Z44" i="23133"/>
  <c r="AA44" i="23133"/>
  <c r="AB44" i="23133"/>
  <c r="AC44" i="23133"/>
  <c r="AD44" i="23133"/>
  <c r="AE44" i="23133"/>
  <c r="V45" i="23133"/>
  <c r="W45" i="23133"/>
  <c r="X45" i="23133"/>
  <c r="Y45" i="23133"/>
  <c r="Z45" i="23133"/>
  <c r="AA45" i="23133"/>
  <c r="AB45" i="23133"/>
  <c r="AC45" i="23133"/>
  <c r="AD45" i="23133"/>
  <c r="V46" i="23133"/>
  <c r="W46" i="23133"/>
  <c r="X46" i="23133"/>
  <c r="Z46" i="23133"/>
  <c r="AA46" i="23133"/>
  <c r="AC46" i="23133"/>
  <c r="AE46" i="23133"/>
  <c r="V47" i="23133"/>
  <c r="W47" i="23133"/>
  <c r="X47" i="23133"/>
  <c r="Y47" i="23133"/>
  <c r="Z47" i="23133"/>
  <c r="AB47" i="23133"/>
  <c r="AC47" i="23133"/>
  <c r="AD47" i="23133"/>
  <c r="AE47" i="23133"/>
  <c r="V48" i="23133"/>
  <c r="W48" i="23133"/>
  <c r="X48" i="23133"/>
  <c r="Y48" i="23133"/>
  <c r="Z48" i="23133"/>
  <c r="AA48" i="23133"/>
  <c r="AB48" i="23133"/>
  <c r="AC48" i="23133"/>
  <c r="AE48" i="23133"/>
  <c r="V49" i="23133"/>
  <c r="W49" i="23133"/>
  <c r="X49" i="23133"/>
  <c r="Y49" i="23133"/>
  <c r="AA49" i="23133"/>
  <c r="AB49" i="23133"/>
  <c r="AC49" i="23133"/>
  <c r="AD49" i="23133"/>
  <c r="AE49" i="23133"/>
  <c r="V50" i="23133"/>
  <c r="W50" i="23133"/>
  <c r="X50" i="23133"/>
  <c r="Y50" i="23133"/>
  <c r="Z50" i="23133"/>
  <c r="AA50" i="23133"/>
  <c r="AB50" i="23133"/>
  <c r="AD50" i="23133"/>
  <c r="AE50" i="23133"/>
  <c r="V51" i="23133"/>
  <c r="W51" i="23133"/>
  <c r="X51" i="23133"/>
  <c r="Y51" i="23133"/>
  <c r="Z51" i="23133"/>
  <c r="AA51" i="23133"/>
  <c r="AB51" i="23133"/>
  <c r="AC51" i="23133"/>
  <c r="AD51" i="23133"/>
  <c r="AE51" i="23133"/>
  <c r="V52" i="23133"/>
  <c r="W52" i="23133"/>
  <c r="X52" i="23133"/>
  <c r="Y52" i="23133"/>
  <c r="Z52" i="23133"/>
  <c r="AA52" i="23133"/>
  <c r="AB52" i="23133"/>
  <c r="AC52" i="23133"/>
  <c r="AD52" i="23133"/>
  <c r="AE52" i="23133"/>
  <c r="V53" i="23133"/>
  <c r="W53" i="23133"/>
  <c r="X53" i="23133"/>
  <c r="Y53" i="23133"/>
  <c r="Z53" i="23133"/>
  <c r="AA53" i="23133"/>
  <c r="AB53" i="23133"/>
  <c r="AC53" i="23133"/>
  <c r="AD53" i="23133"/>
  <c r="AE53" i="23133"/>
  <c r="V54" i="23133"/>
  <c r="W54" i="23133"/>
  <c r="X54" i="23133"/>
  <c r="Y54" i="23133"/>
  <c r="Z54" i="23133"/>
  <c r="AA54" i="23133"/>
  <c r="AB54" i="23133"/>
  <c r="AC54" i="23133"/>
  <c r="AE54" i="23133"/>
  <c r="V55" i="23133"/>
  <c r="W55" i="23133"/>
  <c r="X55" i="23133"/>
  <c r="Z55" i="23133"/>
  <c r="AA55" i="23133"/>
  <c r="AB55" i="23133"/>
  <c r="AC55" i="23133"/>
  <c r="AD55" i="23133"/>
  <c r="AE55" i="23133"/>
  <c r="V56" i="23133"/>
  <c r="W56" i="23133"/>
  <c r="X56" i="23133"/>
  <c r="Y56" i="23133"/>
  <c r="Z56" i="23133"/>
  <c r="AA56" i="23133"/>
  <c r="AB56" i="23133"/>
  <c r="AC56" i="23133"/>
  <c r="AE56" i="23133"/>
  <c r="V57" i="23133"/>
  <c r="W57" i="23133"/>
  <c r="X57" i="23133"/>
  <c r="Y57" i="23133"/>
  <c r="Z57" i="23133"/>
  <c r="AA57" i="23133"/>
  <c r="AB57" i="23133"/>
  <c r="AC57" i="23133"/>
  <c r="AE57" i="23133"/>
  <c r="V58" i="23133"/>
  <c r="W58" i="23133"/>
  <c r="X58" i="23133"/>
  <c r="Y58" i="23133"/>
  <c r="Z58" i="23133"/>
  <c r="AA58" i="23133"/>
  <c r="AB58" i="23133"/>
  <c r="AC58" i="23133"/>
  <c r="AE58" i="23133"/>
  <c r="V59" i="23133"/>
  <c r="W59" i="23133"/>
  <c r="X59" i="23133"/>
  <c r="Y59" i="23133"/>
  <c r="Z59" i="23133"/>
  <c r="AA59" i="23133"/>
  <c r="AB59" i="23133"/>
  <c r="AC59" i="23133"/>
  <c r="AD59" i="23133"/>
  <c r="AE59" i="23133"/>
  <c r="V60" i="23133"/>
  <c r="W60" i="23133"/>
  <c r="X60" i="23133"/>
  <c r="Y60" i="23133"/>
  <c r="Z60" i="23133"/>
  <c r="AA60" i="23133"/>
  <c r="AB60" i="23133"/>
  <c r="AC60" i="23133"/>
  <c r="AD60" i="23133"/>
  <c r="AE60" i="23133"/>
  <c r="V61" i="23133"/>
  <c r="W61" i="23133"/>
  <c r="X61" i="23133"/>
  <c r="Y61" i="23133"/>
  <c r="Z61" i="23133"/>
  <c r="AA61" i="23133"/>
  <c r="AB61" i="23133"/>
  <c r="AC61" i="23133"/>
  <c r="AD61" i="23133"/>
  <c r="AE61" i="23133"/>
  <c r="V62" i="23133"/>
  <c r="V88" i="23133" s="1"/>
  <c r="W62" i="23133"/>
  <c r="W88" i="23133" s="1"/>
  <c r="X62" i="23133"/>
  <c r="X88" i="23133" s="1"/>
  <c r="Y62" i="23133"/>
  <c r="Y88" i="23133" s="1"/>
  <c r="Z62" i="23133"/>
  <c r="Z88" i="23133" s="1"/>
  <c r="AA62" i="23133"/>
  <c r="AA88" i="23133" s="1"/>
  <c r="AB62" i="23133"/>
  <c r="AB88" i="23133" s="1"/>
  <c r="AC62" i="23133"/>
  <c r="AC88" i="23133" s="1"/>
  <c r="AE62" i="23133"/>
  <c r="AE88" i="23133" s="1"/>
  <c r="W8" i="23133"/>
  <c r="Y8" i="23133"/>
  <c r="Z8" i="23133"/>
  <c r="AA8" i="23133"/>
  <c r="AB8" i="23133"/>
  <c r="AD8" i="23133"/>
  <c r="AE8" i="23133"/>
  <c r="V8" i="23133"/>
  <c r="AG9" i="23133"/>
  <c r="AG10" i="23133"/>
  <c r="AG11" i="23133"/>
  <c r="AG12" i="23133"/>
  <c r="AG13" i="23133"/>
  <c r="AG14" i="23133"/>
  <c r="AG15" i="23133"/>
  <c r="AD15" i="23133" s="1"/>
  <c r="AG16" i="23133"/>
  <c r="AG17" i="23133"/>
  <c r="AG18" i="23133"/>
  <c r="AG19" i="23133"/>
  <c r="AG20" i="23133"/>
  <c r="AG21" i="23133"/>
  <c r="AG22" i="23133"/>
  <c r="AB22" i="23133" s="1"/>
  <c r="AG23" i="23133"/>
  <c r="AG24" i="23133"/>
  <c r="AG25" i="23133"/>
  <c r="AG26" i="23133"/>
  <c r="AG27" i="23133"/>
  <c r="AG28" i="23133"/>
  <c r="Y28" i="23133" s="1"/>
  <c r="AG29" i="23133"/>
  <c r="AG30" i="23133"/>
  <c r="Y30" i="23133" s="1"/>
  <c r="AG31" i="23133"/>
  <c r="Y31" i="23133" s="1"/>
  <c r="AG32" i="23133"/>
  <c r="AG33" i="23133"/>
  <c r="AB33" i="23133" s="1"/>
  <c r="AG34" i="23133"/>
  <c r="AB34" i="23133" s="1"/>
  <c r="AG35" i="23133"/>
  <c r="AG36" i="23133"/>
  <c r="AG37" i="23133"/>
  <c r="AG38" i="23133"/>
  <c r="AG39" i="23133"/>
  <c r="AG40" i="23133"/>
  <c r="AG41" i="23133"/>
  <c r="AG42" i="23133"/>
  <c r="AD42" i="23133" s="1"/>
  <c r="AG43" i="23133"/>
  <c r="AG44" i="23133"/>
  <c r="AG45" i="23133"/>
  <c r="AE45" i="23133" s="1"/>
  <c r="AG46" i="23133"/>
  <c r="AG47" i="23133"/>
  <c r="AG48" i="23133"/>
  <c r="AG49" i="23133"/>
  <c r="AG50" i="23133"/>
  <c r="AG51" i="23133"/>
  <c r="AG52" i="23133"/>
  <c r="AG53" i="23133"/>
  <c r="AG54" i="23133"/>
  <c r="AD54" i="23133" s="1"/>
  <c r="AG55" i="23133"/>
  <c r="AG56" i="23133"/>
  <c r="AG57" i="23133"/>
  <c r="AG58" i="23133"/>
  <c r="AD58" i="23133" s="1"/>
  <c r="AG59" i="23133"/>
  <c r="AG60" i="23133"/>
  <c r="AG61" i="23133"/>
  <c r="AG62" i="23133"/>
  <c r="AG8" i="23133"/>
  <c r="H26" i="23133"/>
  <c r="G21" i="23133"/>
  <c r="I21" i="23133" s="1"/>
  <c r="G20" i="23133"/>
  <c r="F10" i="23133"/>
  <c r="H10" i="23133"/>
  <c r="G9" i="23133"/>
  <c r="I9" i="23133" s="1"/>
  <c r="T79" i="23133"/>
  <c r="L79" i="23133"/>
  <c r="M79" i="23133"/>
  <c r="N79" i="23133"/>
  <c r="O79" i="23133"/>
  <c r="P79" i="23133"/>
  <c r="Q79" i="23133"/>
  <c r="R79" i="23133"/>
  <c r="S79" i="23133"/>
  <c r="K79" i="23133"/>
  <c r="E8" i="23133"/>
  <c r="G8" i="23133" s="1"/>
  <c r="I8" i="23133" s="1"/>
  <c r="F16" i="23133"/>
  <c r="H16" i="23133"/>
  <c r="E13" i="23133"/>
  <c r="G13" i="23133" s="1"/>
  <c r="H13" i="23133"/>
  <c r="G44" i="23133"/>
  <c r="I44" i="23133" s="1"/>
  <c r="E26" i="23133"/>
  <c r="G35" i="23133"/>
  <c r="I35" i="23133" s="1"/>
  <c r="G51" i="23133"/>
  <c r="I51" i="23133" s="1"/>
  <c r="H63" i="23133"/>
  <c r="F63" i="23133"/>
  <c r="E63" i="23133"/>
  <c r="AD30" i="23083" l="1"/>
  <c r="AD34" i="23083" s="1"/>
  <c r="AF8" i="23083"/>
  <c r="AC8" i="23083"/>
  <c r="AQ92" i="23086"/>
  <c r="F78" i="23133"/>
  <c r="I27" i="23134"/>
  <c r="I45" i="23134" s="1"/>
  <c r="F27" i="23134"/>
  <c r="F45" i="23134" s="1"/>
  <c r="F26" i="23134"/>
  <c r="F44" i="23134" s="1"/>
  <c r="I26" i="23134"/>
  <c r="I44" i="23134" s="1"/>
  <c r="AE83" i="23133"/>
  <c r="Y83" i="23133"/>
  <c r="V83" i="23133"/>
  <c r="AA83" i="23133"/>
  <c r="H78" i="23133"/>
  <c r="V84" i="23133"/>
  <c r="V44" i="23133"/>
  <c r="AD20" i="23133"/>
  <c r="AC87" i="23133"/>
  <c r="AE84" i="23133"/>
  <c r="AA84" i="23133"/>
  <c r="X8" i="23133"/>
  <c r="Z83" i="23133"/>
  <c r="AB87" i="23133"/>
  <c r="X87" i="23133"/>
  <c r="Z84" i="23133"/>
  <c r="AA87" i="23133"/>
  <c r="W87" i="23133"/>
  <c r="X86" i="23133"/>
  <c r="AC84" i="23133"/>
  <c r="Y84" i="23133"/>
  <c r="AE86" i="23133"/>
  <c r="AD21" i="23133"/>
  <c r="W13" i="23133"/>
  <c r="W84" i="23133" s="1"/>
  <c r="X9" i="23133"/>
  <c r="W83" i="23133"/>
  <c r="AE87" i="23133"/>
  <c r="Z87" i="23133"/>
  <c r="V87" i="23133"/>
  <c r="W86" i="23133"/>
  <c r="AB84" i="23133"/>
  <c r="X84" i="23133"/>
  <c r="AC8" i="23133"/>
  <c r="AC83" i="23133" s="1"/>
  <c r="AD31" i="23133"/>
  <c r="Z85" i="23133"/>
  <c r="AD28" i="23133"/>
  <c r="AD22" i="23133"/>
  <c r="AC85" i="23133"/>
  <c r="AD9" i="23133"/>
  <c r="AD83" i="23133" s="1"/>
  <c r="AE85" i="23133"/>
  <c r="AA85" i="23133"/>
  <c r="AB9" i="23133"/>
  <c r="AB83" i="23133" s="1"/>
  <c r="AE58" i="23083"/>
  <c r="AD60" i="23083"/>
  <c r="AG60" i="23083"/>
  <c r="AG19" i="23083"/>
  <c r="AE59" i="23083"/>
  <c r="Y85" i="23133"/>
  <c r="E10" i="23133"/>
  <c r="I13" i="23133"/>
  <c r="G10" i="23133"/>
  <c r="I10" i="23133" s="1"/>
  <c r="E16" i="23133"/>
  <c r="H14" i="23133"/>
  <c r="AD131" i="23083" l="1"/>
  <c r="AF11" i="23083"/>
  <c r="AC11" i="23083"/>
  <c r="AB6" i="23083"/>
  <c r="AB5" i="23083"/>
  <c r="AE92" i="23133"/>
  <c r="E78" i="23133"/>
  <c r="AE5" i="23083"/>
  <c r="AE6" i="23083"/>
  <c r="AS92" i="23086"/>
  <c r="E27" i="23134"/>
  <c r="E45" i="23134" s="1"/>
  <c r="F28" i="23134"/>
  <c r="F46" i="23134" s="1"/>
  <c r="I28" i="23134"/>
  <c r="I39" i="23134" s="1"/>
  <c r="I57" i="23134" s="1"/>
  <c r="H27" i="23134"/>
  <c r="H45" i="23134" s="1"/>
  <c r="H26" i="23134"/>
  <c r="E26" i="23134"/>
  <c r="AP92" i="23086"/>
  <c r="X83" i="23133"/>
  <c r="T78" i="23133"/>
  <c r="AG5" i="23083"/>
  <c r="G16" i="23133"/>
  <c r="G14" i="23133" s="1"/>
  <c r="AD14" i="23133" s="1"/>
  <c r="AD84" i="23133" s="1"/>
  <c r="AF84" i="23133" s="1"/>
  <c r="AB8" i="23083" l="1"/>
  <c r="AE8" i="23083"/>
  <c r="E28" i="23134"/>
  <c r="E46" i="23134" s="1"/>
  <c r="AF83" i="23133"/>
  <c r="H28" i="23134"/>
  <c r="H39" i="23134" s="1"/>
  <c r="H57" i="23134" s="1"/>
  <c r="F39" i="23134"/>
  <c r="F57" i="23134" s="1"/>
  <c r="I46" i="23134"/>
  <c r="E44" i="23134"/>
  <c r="H44" i="23134"/>
  <c r="J26" i="23134"/>
  <c r="J44" i="23134" s="1"/>
  <c r="AR92" i="23086"/>
  <c r="I14" i="23133"/>
  <c r="AG6" i="23083"/>
  <c r="AG8" i="23083" s="1"/>
  <c r="I16" i="23133"/>
  <c r="AB11" i="23083" l="1"/>
  <c r="AE11" i="23083"/>
  <c r="AG11" i="23083"/>
  <c r="E39" i="23134"/>
  <c r="E57" i="23134" s="1"/>
  <c r="H46" i="23134"/>
  <c r="J27" i="23134"/>
  <c r="J45" i="23134" l="1"/>
  <c r="J28" i="23134"/>
  <c r="AT92" i="23086"/>
  <c r="J39" i="23134" l="1"/>
  <c r="J57" i="23134" s="1"/>
  <c r="J46" i="23134"/>
  <c r="AL5" i="23083" l="1"/>
  <c r="G26" i="23133"/>
  <c r="G25" i="23133"/>
  <c r="G24" i="23133"/>
  <c r="G27" i="23133"/>
  <c r="AL8" i="23083" l="1"/>
  <c r="AK5" i="23083"/>
  <c r="AK8" i="23083" s="1"/>
  <c r="I27" i="23133"/>
  <c r="AD27" i="23133"/>
  <c r="I24" i="23133"/>
  <c r="X24" i="23133"/>
  <c r="X85" i="23133" s="1"/>
  <c r="I25" i="23133"/>
  <c r="W25" i="23133"/>
  <c r="W85" i="23133" s="1"/>
  <c r="AJ4" i="23083" l="1"/>
  <c r="M78" i="23133"/>
  <c r="X92" i="23133"/>
  <c r="L78" i="23133"/>
  <c r="W92" i="23133"/>
  <c r="G23" i="23133" l="1"/>
  <c r="G29" i="23133"/>
  <c r="G32" i="23133"/>
  <c r="AB32" i="23133" s="1"/>
  <c r="G38" i="23133"/>
  <c r="G39" i="23133"/>
  <c r="G40" i="23133"/>
  <c r="G41" i="23133"/>
  <c r="G43" i="23133"/>
  <c r="G46" i="23133"/>
  <c r="G47" i="23133"/>
  <c r="G48" i="23133"/>
  <c r="G49" i="23133"/>
  <c r="G50" i="23133"/>
  <c r="G55" i="23133"/>
  <c r="G56" i="23133"/>
  <c r="G57" i="23133"/>
  <c r="G59" i="23133"/>
  <c r="I59" i="23133" s="1"/>
  <c r="G62" i="23133"/>
  <c r="I57" i="23133" l="1"/>
  <c r="AD57" i="23133"/>
  <c r="I43" i="23133"/>
  <c r="AD43" i="23133"/>
  <c r="I38" i="23133"/>
  <c r="AD38" i="23133"/>
  <c r="I41" i="23133"/>
  <c r="AA41" i="23133"/>
  <c r="I49" i="23133"/>
  <c r="Z49" i="23133"/>
  <c r="Z86" i="23133" s="1"/>
  <c r="I56" i="23133"/>
  <c r="AD56" i="23133"/>
  <c r="I48" i="23133"/>
  <c r="AD48" i="23133"/>
  <c r="I32" i="23133"/>
  <c r="AD32" i="23133"/>
  <c r="I62" i="23133"/>
  <c r="I63" i="23133" s="1"/>
  <c r="AD62" i="23133"/>
  <c r="AD88" i="23133" s="1"/>
  <c r="AF88" i="23133" s="1"/>
  <c r="I55" i="23133"/>
  <c r="Y55" i="23133"/>
  <c r="Y87" i="23133" s="1"/>
  <c r="I47" i="23133"/>
  <c r="AA47" i="23133"/>
  <c r="I40" i="23133"/>
  <c r="AD40" i="23133"/>
  <c r="I29" i="23133"/>
  <c r="AB29" i="23133"/>
  <c r="AB85" i="23133" s="1"/>
  <c r="AD29" i="23133"/>
  <c r="I50" i="23133"/>
  <c r="AC50" i="23133"/>
  <c r="AC86" i="23133" s="1"/>
  <c r="I46" i="23133"/>
  <c r="AD46" i="23133"/>
  <c r="AB46" i="23133"/>
  <c r="AB86" i="23133" s="1"/>
  <c r="Y46" i="23133"/>
  <c r="Y86" i="23133" s="1"/>
  <c r="I39" i="23133"/>
  <c r="V39" i="23133"/>
  <c r="V86" i="23133" s="1"/>
  <c r="I23" i="23133"/>
  <c r="V23" i="23133"/>
  <c r="V85" i="23133" s="1"/>
  <c r="G63" i="23133"/>
  <c r="G78" i="23133" s="1"/>
  <c r="I78" i="23133" s="1"/>
  <c r="AB92" i="23133" l="1"/>
  <c r="V92" i="23133"/>
  <c r="K78" i="23133"/>
  <c r="Y92" i="23133"/>
  <c r="R78" i="23133"/>
  <c r="AC92" i="23133"/>
  <c r="O78" i="23133"/>
  <c r="Z92" i="23133"/>
  <c r="AD85" i="23133"/>
  <c r="N78" i="23133"/>
  <c r="Q78" i="23133"/>
  <c r="AD87" i="23133"/>
  <c r="AF87" i="23133" s="1"/>
  <c r="AA86" i="23133"/>
  <c r="AA92" i="23133" s="1"/>
  <c r="AD86" i="23133"/>
  <c r="B84" i="23132"/>
  <c r="B85" i="23132"/>
  <c r="B83" i="23132"/>
  <c r="J76" i="23132"/>
  <c r="J75" i="23132"/>
  <c r="I76" i="23132"/>
  <c r="I75" i="23132"/>
  <c r="H76" i="23132"/>
  <c r="G77" i="23132"/>
  <c r="G76" i="23132"/>
  <c r="F77" i="23132"/>
  <c r="F76" i="23132"/>
  <c r="F75" i="23132"/>
  <c r="E76" i="23132"/>
  <c r="E77" i="23132"/>
  <c r="E75" i="23132"/>
  <c r="V53" i="23132"/>
  <c r="R53" i="23132" s="1"/>
  <c r="S53" i="23132" s="1"/>
  <c r="T53" i="23132" s="1"/>
  <c r="U53" i="23132" s="1"/>
  <c r="U52" i="23132"/>
  <c r="V52" i="23132" s="1"/>
  <c r="T51" i="23132"/>
  <c r="P51" i="23132" s="1"/>
  <c r="Q51" i="23132" s="1"/>
  <c r="R51" i="23132" s="1"/>
  <c r="S51" i="23132" s="1"/>
  <c r="L48" i="23132"/>
  <c r="M48" i="23132" s="1"/>
  <c r="N48" i="23132" s="1"/>
  <c r="O48" i="23132" s="1"/>
  <c r="P48" i="23132" s="1"/>
  <c r="Q48" i="23132" s="1"/>
  <c r="R48" i="23132" s="1"/>
  <c r="S48" i="23132" s="1"/>
  <c r="T48" i="23132" s="1"/>
  <c r="U48" i="23132" s="1"/>
  <c r="V48" i="23132" s="1"/>
  <c r="K47" i="23132"/>
  <c r="G47" i="23132" s="1"/>
  <c r="H47" i="23132" s="1"/>
  <c r="I47" i="23132" s="1"/>
  <c r="J47" i="23132" s="1"/>
  <c r="J46" i="23132"/>
  <c r="K46" i="23132" s="1"/>
  <c r="L46" i="23132" s="1"/>
  <c r="M46" i="23132" s="1"/>
  <c r="N46" i="23132" s="1"/>
  <c r="O46" i="23132" s="1"/>
  <c r="P46" i="23132" s="1"/>
  <c r="Q46" i="23132" s="1"/>
  <c r="R46" i="23132" s="1"/>
  <c r="S46" i="23132" s="1"/>
  <c r="T46" i="23132" s="1"/>
  <c r="U46" i="23132" s="1"/>
  <c r="V46" i="23132" s="1"/>
  <c r="I45" i="23132"/>
  <c r="E45" i="23132" s="1"/>
  <c r="F45" i="23132" s="1"/>
  <c r="G45" i="23132" s="1"/>
  <c r="H45" i="23132" s="1"/>
  <c r="H44" i="23132"/>
  <c r="D44" i="23132" s="1"/>
  <c r="R40" i="23132"/>
  <c r="Q39" i="23132"/>
  <c r="R39" i="23132" s="1"/>
  <c r="N38" i="23132"/>
  <c r="R50" i="23132" s="1"/>
  <c r="M37" i="23132"/>
  <c r="N37" i="23132" s="1"/>
  <c r="O37" i="23132" s="1"/>
  <c r="P37" i="23132" s="1"/>
  <c r="Q37" i="23132" s="1"/>
  <c r="R37" i="23132" s="1"/>
  <c r="I36" i="23132"/>
  <c r="J36" i="23132" s="1"/>
  <c r="K36" i="23132" s="1"/>
  <c r="L36" i="23132" s="1"/>
  <c r="M36" i="23132" s="1"/>
  <c r="N36" i="23132" s="1"/>
  <c r="O36" i="23132" s="1"/>
  <c r="P36" i="23132" s="1"/>
  <c r="Q36" i="23132" s="1"/>
  <c r="R36" i="23132" s="1"/>
  <c r="H35" i="23132"/>
  <c r="I35" i="23132" s="1"/>
  <c r="J35" i="23132" s="1"/>
  <c r="K35" i="23132" s="1"/>
  <c r="L35" i="23132" s="1"/>
  <c r="M35" i="23132" s="1"/>
  <c r="N35" i="23132" s="1"/>
  <c r="O35" i="23132" s="1"/>
  <c r="P35" i="23132" s="1"/>
  <c r="Q35" i="23132" s="1"/>
  <c r="R35" i="23132" s="1"/>
  <c r="G34" i="23132"/>
  <c r="H34" i="23132" s="1"/>
  <c r="I34" i="23132" s="1"/>
  <c r="J34" i="23132" s="1"/>
  <c r="K34" i="23132" s="1"/>
  <c r="L34" i="23132" s="1"/>
  <c r="M34" i="23132" s="1"/>
  <c r="N34" i="23132" s="1"/>
  <c r="O34" i="23132" s="1"/>
  <c r="P34" i="23132" s="1"/>
  <c r="Q34" i="23132" s="1"/>
  <c r="R34" i="23132" s="1"/>
  <c r="F33" i="23132"/>
  <c r="G33" i="23132" s="1"/>
  <c r="H33" i="23132" s="1"/>
  <c r="I33" i="23132" s="1"/>
  <c r="J33" i="23132" s="1"/>
  <c r="K33" i="23132" s="1"/>
  <c r="L33" i="23132" s="1"/>
  <c r="M33" i="23132" s="1"/>
  <c r="N33" i="23132" s="1"/>
  <c r="O33" i="23132" s="1"/>
  <c r="P33" i="23132" s="1"/>
  <c r="Q33" i="23132" s="1"/>
  <c r="R33" i="23132" s="1"/>
  <c r="E32" i="23132"/>
  <c r="F32" i="23132" s="1"/>
  <c r="G32" i="23132" s="1"/>
  <c r="H32" i="23132" s="1"/>
  <c r="I32" i="23132" s="1"/>
  <c r="J32" i="23132" s="1"/>
  <c r="K32" i="23132" s="1"/>
  <c r="L32" i="23132" s="1"/>
  <c r="M32" i="23132" s="1"/>
  <c r="N32" i="23132" s="1"/>
  <c r="O32" i="23132" s="1"/>
  <c r="P32" i="23132" s="1"/>
  <c r="Q32" i="23132" s="1"/>
  <c r="R32" i="23132" s="1"/>
  <c r="AF85" i="23133" l="1"/>
  <c r="AD92" i="23133"/>
  <c r="AF86" i="23133"/>
  <c r="P78" i="23133"/>
  <c r="S78" i="23133"/>
  <c r="H48" i="23132"/>
  <c r="I48" i="23132" s="1"/>
  <c r="J48" i="23132" s="1"/>
  <c r="K48" i="23132" s="1"/>
  <c r="Q52" i="23132"/>
  <c r="R52" i="23132" s="1"/>
  <c r="S52" i="23132" s="1"/>
  <c r="T52" i="23132" s="1"/>
  <c r="L47" i="23132"/>
  <c r="M47" i="23132" s="1"/>
  <c r="N47" i="23132" s="1"/>
  <c r="O47" i="23132" s="1"/>
  <c r="P47" i="23132" s="1"/>
  <c r="Q47" i="23132" s="1"/>
  <c r="R47" i="23132" s="1"/>
  <c r="S47" i="23132" s="1"/>
  <c r="T47" i="23132" s="1"/>
  <c r="U47" i="23132" s="1"/>
  <c r="V47" i="23132" s="1"/>
  <c r="U51" i="23132"/>
  <c r="V51" i="23132" s="1"/>
  <c r="Q49" i="23132"/>
  <c r="R49" i="23132" s="1"/>
  <c r="S49" i="23132" s="1"/>
  <c r="T49" i="23132" s="1"/>
  <c r="U49" i="23132" s="1"/>
  <c r="V49" i="23132" s="1"/>
  <c r="N50" i="23132"/>
  <c r="O50" i="23132" s="1"/>
  <c r="P50" i="23132" s="1"/>
  <c r="Q50" i="23132" s="1"/>
  <c r="S50" i="23132"/>
  <c r="T50" i="23132" s="1"/>
  <c r="U50" i="23132" s="1"/>
  <c r="V50" i="23132" s="1"/>
  <c r="O38" i="23132"/>
  <c r="P38" i="23132" s="1"/>
  <c r="Q38" i="23132" s="1"/>
  <c r="R38" i="23132" s="1"/>
  <c r="J45" i="23132"/>
  <c r="K45" i="23132" s="1"/>
  <c r="L45" i="23132" s="1"/>
  <c r="M45" i="23132" s="1"/>
  <c r="N45" i="23132" s="1"/>
  <c r="O45" i="23132" s="1"/>
  <c r="P45" i="23132" s="1"/>
  <c r="Q45" i="23132" s="1"/>
  <c r="R45" i="23132" s="1"/>
  <c r="S45" i="23132" s="1"/>
  <c r="T45" i="23132" s="1"/>
  <c r="U45" i="23132" s="1"/>
  <c r="V45" i="23132" s="1"/>
  <c r="E44" i="23132"/>
  <c r="F44" i="23132" s="1"/>
  <c r="G44" i="23132" s="1"/>
  <c r="F46" i="23132"/>
  <c r="G46" i="23132" s="1"/>
  <c r="H46" i="23132" s="1"/>
  <c r="I46" i="23132" s="1"/>
  <c r="I44" i="23132"/>
  <c r="J44" i="23132" s="1"/>
  <c r="K44" i="23132" s="1"/>
  <c r="L44" i="23132" s="1"/>
  <c r="M44" i="23132" s="1"/>
  <c r="N44" i="23132" s="1"/>
  <c r="O44" i="23132" s="1"/>
  <c r="P44" i="23132" s="1"/>
  <c r="Q44" i="23132" s="1"/>
  <c r="R44" i="23132" s="1"/>
  <c r="S44" i="23132" s="1"/>
  <c r="T44" i="23132" s="1"/>
  <c r="U44" i="23132" s="1"/>
  <c r="V44" i="23132" s="1"/>
  <c r="AP114" i="23086"/>
  <c r="AS114" i="23086"/>
  <c r="AP112" i="23086"/>
  <c r="AS112" i="23086"/>
  <c r="AA319" i="23083"/>
  <c r="AB319" i="23083"/>
  <c r="AC319" i="23083"/>
  <c r="AD319" i="23083"/>
  <c r="AA320" i="23083"/>
  <c r="AB320" i="23083"/>
  <c r="AC320" i="23083"/>
  <c r="AD320" i="23083"/>
  <c r="AE320" i="23083"/>
  <c r="AF320" i="23083"/>
  <c r="AF59" i="23083"/>
  <c r="AF58" i="23083"/>
  <c r="AC18" i="23083"/>
  <c r="AC24" i="23083" s="1"/>
  <c r="AF13" i="23083"/>
  <c r="AE13" i="23083"/>
  <c r="AD13" i="23083"/>
  <c r="G75" i="23132"/>
  <c r="AC30" i="23083" l="1"/>
  <c r="AI57" i="23083"/>
  <c r="D36" i="23134"/>
  <c r="D54" i="23134" s="1"/>
  <c r="AE35" i="23083"/>
  <c r="AB35" i="23083"/>
  <c r="G36" i="23134"/>
  <c r="G54" i="23134" s="1"/>
  <c r="AG87" i="23133"/>
  <c r="AG86" i="23133"/>
  <c r="AC72" i="23083"/>
  <c r="AB18" i="23083"/>
  <c r="AB24" i="23083" s="1"/>
  <c r="J77" i="23132"/>
  <c r="I77" i="23132"/>
  <c r="H77" i="23132"/>
  <c r="H75" i="23132"/>
  <c r="J90" i="23132" s="1"/>
  <c r="J91" i="23132" s="1"/>
  <c r="K91" i="23132" s="1"/>
  <c r="AD321" i="23083"/>
  <c r="AA321" i="23083"/>
  <c r="L54" i="23132"/>
  <c r="E80" i="23132"/>
  <c r="AB321" i="23083"/>
  <c r="P66" i="23132"/>
  <c r="J67" i="23132" s="1"/>
  <c r="K67" i="23132" s="1"/>
  <c r="L67" i="23132" s="1"/>
  <c r="M67" i="23132" s="1"/>
  <c r="N67" i="23132" s="1"/>
  <c r="M49" i="23132"/>
  <c r="N49" i="23132" s="1"/>
  <c r="O49" i="23132" s="1"/>
  <c r="P49" i="23132" s="1"/>
  <c r="AA8" i="23083"/>
  <c r="AF319" i="23083"/>
  <c r="AF57" i="23083"/>
  <c r="AC321" i="23083"/>
  <c r="AB30" i="23083" l="1"/>
  <c r="AB34" i="23083" s="1"/>
  <c r="AC34" i="23083"/>
  <c r="AA208" i="23083"/>
  <c r="AC131" i="23083"/>
  <c r="AI19" i="23083"/>
  <c r="AI60" i="23083"/>
  <c r="AF321" i="23083"/>
  <c r="AF76" i="23083" s="1"/>
  <c r="AF72" i="23083"/>
  <c r="AH58" i="23083"/>
  <c r="F32" i="23134"/>
  <c r="F50" i="23134" s="1"/>
  <c r="C36" i="23134"/>
  <c r="C54" i="23134" s="1"/>
  <c r="F36" i="23134"/>
  <c r="F54" i="23134" s="1"/>
  <c r="I36" i="23134"/>
  <c r="I54" i="23134" s="1"/>
  <c r="C32" i="23134"/>
  <c r="C50" i="23134" s="1"/>
  <c r="AC323" i="23083"/>
  <c r="AC76" i="23083"/>
  <c r="AB323" i="23083"/>
  <c r="AD323" i="23083"/>
  <c r="AD76" i="23083"/>
  <c r="AA323" i="23083"/>
  <c r="AA76" i="23083"/>
  <c r="AA326" i="23083"/>
  <c r="AA325" i="23083"/>
  <c r="AC325" i="23083"/>
  <c r="AC326" i="23083"/>
  <c r="AD325" i="23083"/>
  <c r="AD326" i="23083"/>
  <c r="AF326" i="23083"/>
  <c r="AF325" i="23083"/>
  <c r="E36" i="23134"/>
  <c r="E54" i="23134" s="1"/>
  <c r="AB72" i="23083"/>
  <c r="AE57" i="23083"/>
  <c r="AC79" i="23083"/>
  <c r="AH59" i="23083"/>
  <c r="AD78" i="23083"/>
  <c r="AD56" i="23083"/>
  <c r="AD68" i="23083"/>
  <c r="AD77" i="23083"/>
  <c r="AD75" i="23083"/>
  <c r="AD79" i="23083"/>
  <c r="AA75" i="23083"/>
  <c r="AA68" i="23083"/>
  <c r="AA77" i="23083"/>
  <c r="AA78" i="23083"/>
  <c r="AA79" i="23083"/>
  <c r="H36" i="23134"/>
  <c r="H54" i="23134" s="1"/>
  <c r="AE18" i="23083"/>
  <c r="AE24" i="23083" s="1"/>
  <c r="AF77" i="23083"/>
  <c r="AC68" i="23083"/>
  <c r="AF78" i="23083"/>
  <c r="AF79" i="23083"/>
  <c r="AF75" i="23083"/>
  <c r="AF68" i="23083"/>
  <c r="AA11" i="23083"/>
  <c r="AC78" i="23083"/>
  <c r="AC77" i="23083"/>
  <c r="E84" i="23132"/>
  <c r="E85" i="23132"/>
  <c r="E83" i="23132"/>
  <c r="AC75" i="23083"/>
  <c r="AE30" i="23083" l="1"/>
  <c r="AE34" i="23083" s="1"/>
  <c r="AC70" i="23083"/>
  <c r="AF323" i="23083"/>
  <c r="AE72" i="23083"/>
  <c r="AE60" i="23083"/>
  <c r="AH19" i="23083"/>
  <c r="F40" i="23134"/>
  <c r="F58" i="23134" s="1"/>
  <c r="C40" i="23134"/>
  <c r="C58" i="23134" s="1"/>
  <c r="C41" i="23134"/>
  <c r="C59" i="23134" s="1"/>
  <c r="F41" i="23134"/>
  <c r="F59" i="23134" s="1"/>
  <c r="AU106" i="23083"/>
  <c r="E32" i="23134"/>
  <c r="E41" i="23134" s="1"/>
  <c r="E59" i="23134" s="1"/>
  <c r="L26" i="23134"/>
  <c r="I32" i="23134"/>
  <c r="I41" i="23134" s="1"/>
  <c r="I59" i="23134" s="1"/>
  <c r="AC327" i="23083"/>
  <c r="AF327" i="23083"/>
  <c r="AD327" i="23083"/>
  <c r="AA327" i="23083"/>
  <c r="AS16" i="23083"/>
  <c r="AT16" i="23083" s="1"/>
  <c r="AS17" i="23083"/>
  <c r="AT17" i="23083" s="1"/>
  <c r="AU17" i="23083" s="1"/>
  <c r="AU16" i="23083" l="1"/>
  <c r="AF70" i="23083"/>
  <c r="AH5" i="23083"/>
  <c r="E50" i="23134"/>
  <c r="E40" i="23134"/>
  <c r="E58" i="23134" s="1"/>
  <c r="AC36" i="23083"/>
  <c r="L28" i="23134"/>
  <c r="L46" i="23134" s="1"/>
  <c r="L44" i="23134"/>
  <c r="K26" i="23134"/>
  <c r="K44" i="23134" s="1"/>
  <c r="M26" i="23134"/>
  <c r="I40" i="23134"/>
  <c r="I58" i="23134" s="1"/>
  <c r="I50" i="23134"/>
  <c r="AF255" i="23083"/>
  <c r="AF253" i="23083"/>
  <c r="AG253" i="23083" s="1"/>
  <c r="AF251" i="23083"/>
  <c r="AF246" i="23083"/>
  <c r="AF205" i="23083"/>
  <c r="AD206" i="23083"/>
  <c r="AD205" i="23083"/>
  <c r="AF210" i="23083"/>
  <c r="AI211" i="23083" s="1"/>
  <c r="AF50" i="23083"/>
  <c r="AF51" i="23083" l="1"/>
  <c r="M44" i="23134"/>
  <c r="AC40" i="23083"/>
  <c r="M28" i="23134"/>
  <c r="X25" i="23134" s="1"/>
  <c r="AI12" i="23083"/>
  <c r="AF248" i="23083"/>
  <c r="K80" i="23132"/>
  <c r="R54" i="23132"/>
  <c r="AU7" i="23083"/>
  <c r="AT7" i="23083"/>
  <c r="AI11" i="23083" l="1"/>
  <c r="AI24" i="23083"/>
  <c r="X26" i="23134"/>
  <c r="Z26" i="23134" s="1"/>
  <c r="Z25" i="23134"/>
  <c r="X11" i="23134"/>
  <c r="AI213" i="23083"/>
  <c r="AI77" i="23083"/>
  <c r="AI56" i="23083"/>
  <c r="AI215" i="23083"/>
  <c r="AI79" i="23083"/>
  <c r="AI325" i="23083"/>
  <c r="AI214" i="23083"/>
  <c r="AI78" i="23083"/>
  <c r="AI326" i="23083"/>
  <c r="AI208" i="23083"/>
  <c r="AI212" i="23083"/>
  <c r="AI75" i="23083"/>
  <c r="AI76" i="23083"/>
  <c r="AI68" i="23083"/>
  <c r="M46" i="23134"/>
  <c r="AI13" i="23083"/>
  <c r="L30" i="23134"/>
  <c r="AH12" i="23083"/>
  <c r="K84" i="23132"/>
  <c r="K85" i="23132"/>
  <c r="K83" i="23132"/>
  <c r="AF202" i="23083"/>
  <c r="AF203" i="23083"/>
  <c r="AH24" i="23083" l="1"/>
  <c r="AI30" i="23083"/>
  <c r="AI131" i="23083" s="1"/>
  <c r="AH30" i="23083"/>
  <c r="AH34" i="23083" s="1"/>
  <c r="X12" i="23134"/>
  <c r="Z12" i="23134" s="1"/>
  <c r="Z11" i="23134"/>
  <c r="AI25" i="23083"/>
  <c r="AI327" i="23083"/>
  <c r="AI223" i="23083"/>
  <c r="AI69" i="23083"/>
  <c r="AI61" i="23083"/>
  <c r="AI209" i="23083"/>
  <c r="AI204" i="23083"/>
  <c r="K30" i="23134"/>
  <c r="K48" i="23134" s="1"/>
  <c r="L39" i="23134"/>
  <c r="L57" i="23134" s="1"/>
  <c r="L48" i="23134"/>
  <c r="AI34" i="23083" l="1"/>
  <c r="AI71" i="23083" s="1"/>
  <c r="AI70" i="23083"/>
  <c r="AI36" i="23083" l="1"/>
  <c r="AH57" i="23083"/>
  <c r="AP104" i="23086"/>
  <c r="AX104" i="23086" l="1"/>
  <c r="AI40" i="23083"/>
  <c r="AH319" i="23083"/>
  <c r="AH60" i="23083"/>
  <c r="AS104" i="23086"/>
  <c r="AV104" i="23086"/>
  <c r="AP106" i="23086"/>
  <c r="AI53" i="23083" l="1"/>
  <c r="AI52" i="23083"/>
  <c r="L34" i="23134"/>
  <c r="AI42" i="23083"/>
  <c r="AW104" i="23086"/>
  <c r="AU104" i="23086"/>
  <c r="AS106" i="23086"/>
  <c r="AT104" i="23086"/>
  <c r="AC253" i="23083" l="1"/>
  <c r="AD253" i="23083" s="1"/>
  <c r="AD210" i="23083"/>
  <c r="AG211" i="23083" s="1"/>
  <c r="AD283" i="23083"/>
  <c r="AD263" i="23083"/>
  <c r="AD251" i="23083"/>
  <c r="AD246" i="23083"/>
  <c r="AD248" i="23083" s="1"/>
  <c r="AD140" i="23083"/>
  <c r="AD296" i="23083" l="1"/>
  <c r="AD299" i="23083" s="1"/>
  <c r="AD297" i="23083"/>
  <c r="AD255" i="23083"/>
  <c r="AD298" i="23083" l="1"/>
  <c r="AD300" i="23083" s="1"/>
  <c r="AD203" i="23083"/>
  <c r="AD202" i="23083"/>
  <c r="AD285" i="23083" l="1"/>
  <c r="AD289" i="23083" s="1"/>
  <c r="AD292" i="23083" l="1"/>
  <c r="AD50" i="23083"/>
  <c r="AD51" i="23083" l="1"/>
  <c r="AC251" i="23083" l="1"/>
  <c r="AC246" i="23083"/>
  <c r="AC248" i="23083" s="1"/>
  <c r="AC206" i="23083"/>
  <c r="AC205" i="23083"/>
  <c r="AC210" i="23083" l="1"/>
  <c r="AC50" i="23083"/>
  <c r="AF211" i="23083" l="1"/>
  <c r="AC51" i="23083"/>
  <c r="Q54" i="23132" l="1"/>
  <c r="J80" i="23132"/>
  <c r="J83" i="23132" l="1"/>
  <c r="J84" i="23132"/>
  <c r="J85" i="23132"/>
  <c r="J87" i="23132"/>
  <c r="S11" i="23123" l="1"/>
  <c r="S7" i="23123"/>
  <c r="S9" i="23123"/>
  <c r="S5" i="23123"/>
  <c r="AA123" i="23083" l="1"/>
  <c r="AA113" i="23083"/>
  <c r="AD112" i="23083" s="1"/>
  <c r="AD114" i="23083" s="1"/>
  <c r="AD116" i="23083" s="1"/>
  <c r="AA205" i="23083"/>
  <c r="AS171" i="23083" l="1"/>
  <c r="AT171" i="23083" s="1"/>
  <c r="AU171" i="23083" s="1"/>
  <c r="AA50" i="23083" l="1"/>
  <c r="AA283" i="23083"/>
  <c r="AA263" i="23083"/>
  <c r="P11" i="23123" l="1"/>
  <c r="P5" i="23123"/>
  <c r="P7" i="23123"/>
  <c r="P9" i="23123"/>
  <c r="AC211" i="23083" l="1"/>
  <c r="I80" i="23132" l="1"/>
  <c r="P54" i="23132"/>
  <c r="AA297" i="23083"/>
  <c r="I84" i="23132" l="1"/>
  <c r="I83" i="23132"/>
  <c r="I85" i="23132"/>
  <c r="I87" i="23132"/>
  <c r="AA118" i="23083" l="1"/>
  <c r="AA112" i="23083"/>
  <c r="AA126" i="23083" l="1"/>
  <c r="M9" i="23123" l="1"/>
  <c r="M11" i="23123"/>
  <c r="M7" i="23123"/>
  <c r="M5" i="23123"/>
  <c r="G15" i="23123"/>
  <c r="E28" i="23124" l="1"/>
  <c r="E25" i="23124"/>
  <c r="E13" i="23124"/>
  <c r="F13" i="23124"/>
  <c r="E14" i="23124"/>
  <c r="H19" i="23124" l="1"/>
  <c r="I19" i="23124" s="1"/>
  <c r="J19" i="23124" s="1"/>
  <c r="K19" i="23124" s="1"/>
  <c r="L19" i="23124" s="1"/>
  <c r="M19" i="23124" s="1"/>
  <c r="N19" i="23124" s="1"/>
  <c r="O19" i="23124" s="1"/>
  <c r="E30" i="23124"/>
  <c r="H42" i="23124"/>
  <c r="I42" i="23124" s="1"/>
  <c r="J42" i="23124" s="1"/>
  <c r="K42" i="23124" s="1"/>
  <c r="F44" i="23124"/>
  <c r="F45" i="23124" s="1"/>
  <c r="F46" i="23124" s="1"/>
  <c r="F47" i="23124" s="1"/>
  <c r="G53" i="23124"/>
  <c r="G56" i="23124"/>
  <c r="G62" i="23124"/>
  <c r="G64" i="23124"/>
  <c r="G61" i="23124" l="1"/>
  <c r="G63" i="23124" s="1"/>
  <c r="G66" i="23124" s="1"/>
  <c r="G60" i="23124"/>
  <c r="J20" i="23124" l="1"/>
  <c r="N20" i="23124"/>
  <c r="H20" i="23124"/>
  <c r="L20" i="23124"/>
  <c r="F20" i="23124"/>
  <c r="E20" i="23124"/>
  <c r="E32" i="23124" s="1"/>
  <c r="O20" i="23124"/>
  <c r="C46" i="23124" s="1"/>
  <c r="K20" i="23124"/>
  <c r="M20" i="23124"/>
  <c r="I20" i="23124"/>
  <c r="G20" i="23124"/>
  <c r="E23" i="23124" l="1"/>
  <c r="AS168" i="23083" l="1"/>
  <c r="AS195" i="23083"/>
  <c r="AT195" i="23083" l="1"/>
  <c r="AT168" i="23083"/>
  <c r="AU168" i="23083" l="1"/>
  <c r="AU195" i="23083"/>
  <c r="M54" i="23132" l="1"/>
  <c r="F80" i="23132"/>
  <c r="G80" i="23132"/>
  <c r="N54" i="23132"/>
  <c r="F87" i="23132" l="1"/>
  <c r="G85" i="23132"/>
  <c r="G84" i="23132"/>
  <c r="G83" i="23132"/>
  <c r="E87" i="23132"/>
  <c r="F85" i="23132"/>
  <c r="F84" i="23132"/>
  <c r="F83" i="23132"/>
  <c r="F23" i="23124" l="1"/>
  <c r="C56" i="23124" l="1"/>
  <c r="J5" i="23123" l="1"/>
  <c r="J7" i="23123"/>
  <c r="J9" i="23123"/>
  <c r="J11" i="23123"/>
  <c r="AT263" i="23083" l="1"/>
  <c r="AS263" i="23083"/>
  <c r="AI263" i="23083"/>
  <c r="AH263" i="23083" s="1"/>
  <c r="AT100" i="23083"/>
  <c r="AS100" i="23083"/>
  <c r="AT96" i="23083"/>
  <c r="AS96" i="23083"/>
  <c r="AS33" i="23083"/>
  <c r="AT33" i="23083"/>
  <c r="AS86" i="23083" l="1"/>
  <c r="O23" i="23124"/>
  <c r="N23" i="23124"/>
  <c r="L23" i="23124"/>
  <c r="D11" i="23123"/>
  <c r="D5" i="23123"/>
  <c r="G5" i="23123"/>
  <c r="G7" i="23123"/>
  <c r="G11" i="23123"/>
  <c r="D9" i="23123"/>
  <c r="D7" i="23123"/>
  <c r="G9" i="23123"/>
  <c r="J23" i="23124"/>
  <c r="H23" i="23124"/>
  <c r="K23" i="23124"/>
  <c r="I23" i="23124"/>
  <c r="G23" i="23124"/>
  <c r="AS102" i="23083"/>
  <c r="AT102" i="23083"/>
  <c r="AT86" i="23083"/>
  <c r="AS165" i="23083" l="1"/>
  <c r="AT165" i="23083" s="1"/>
  <c r="AU165" i="23083" s="1"/>
  <c r="AF293" i="23083" l="1"/>
  <c r="AD293" i="23083" l="1"/>
  <c r="AI293" i="23083"/>
  <c r="AL293" i="23083" l="1"/>
  <c r="AG293" i="23083"/>
  <c r="AJ293" i="23083" s="1"/>
  <c r="AM293" i="23083" s="1"/>
  <c r="AP293" i="23083" s="1"/>
  <c r="AS148" i="23083"/>
  <c r="AT148" i="23083" s="1"/>
  <c r="AU148" i="23083" s="1"/>
  <c r="AS146" i="23083"/>
  <c r="AT146" i="23083" s="1"/>
  <c r="AU146" i="23083" s="1"/>
  <c r="AS188" i="23083"/>
  <c r="AT188" i="23083" s="1"/>
  <c r="AU188" i="23083" s="1"/>
  <c r="AS181" i="23083"/>
  <c r="AT181" i="23083" s="1"/>
  <c r="AU181" i="23083" s="1"/>
  <c r="AS187" i="23083"/>
  <c r="AT187" i="23083" s="1"/>
  <c r="AU187" i="23083" s="1"/>
  <c r="AO293" i="23083" l="1"/>
  <c r="AS179" i="23083"/>
  <c r="AS170" i="23083"/>
  <c r="AS149" i="23083"/>
  <c r="AS186" i="23083"/>
  <c r="AR293" i="23083" l="1"/>
  <c r="AS293" i="23083" s="1"/>
  <c r="AT149" i="23083"/>
  <c r="AT170" i="23083"/>
  <c r="AT186" i="23083"/>
  <c r="AT179" i="23083"/>
  <c r="AS159" i="23083"/>
  <c r="AS177" i="23083"/>
  <c r="AU179" i="23083" l="1"/>
  <c r="AU186" i="23083"/>
  <c r="AU170" i="23083"/>
  <c r="AU149" i="23083"/>
  <c r="AT293" i="23083"/>
  <c r="AS160" i="23083"/>
  <c r="AT159" i="23083"/>
  <c r="AS153" i="23083"/>
  <c r="AS194" i="23083"/>
  <c r="AT177" i="23083"/>
  <c r="AU177" i="23083" l="1"/>
  <c r="AU293" i="23083"/>
  <c r="AT160" i="23083"/>
  <c r="AS161" i="23083"/>
  <c r="AU159" i="23083"/>
  <c r="AT194" i="23083"/>
  <c r="AT153" i="23083"/>
  <c r="AU153" i="23083" l="1"/>
  <c r="AU194" i="23083"/>
  <c r="AU160" i="23083"/>
  <c r="AT161" i="23083"/>
  <c r="AU161" i="23083" l="1"/>
  <c r="AL51" i="23083" l="1"/>
  <c r="AS246" i="23083" l="1"/>
  <c r="AS249" i="23083" l="1"/>
  <c r="E13" i="23120" s="1"/>
  <c r="AS252" i="23083" l="1"/>
  <c r="AS251" i="23083"/>
  <c r="AT246" i="23083"/>
  <c r="AT249" i="23083" l="1"/>
  <c r="AT251" i="23083" l="1"/>
  <c r="AU246" i="23083"/>
  <c r="AU249" i="23083" s="1"/>
  <c r="AT252" i="23083"/>
  <c r="AU252" i="23083" l="1"/>
  <c r="AU251" i="23083"/>
  <c r="AC255" i="23083" l="1"/>
  <c r="AA253" i="23083"/>
  <c r="AS253" i="23083" l="1"/>
  <c r="AT253" i="23083" l="1"/>
  <c r="AS254" i="23083"/>
  <c r="AS303" i="23083" l="1"/>
  <c r="AS304" i="23083" s="1"/>
  <c r="AT254" i="23083"/>
  <c r="AU253" i="23083"/>
  <c r="AS255" i="23083"/>
  <c r="AT303" i="23083" l="1"/>
  <c r="AT304" i="23083" s="1"/>
  <c r="AT255" i="23083"/>
  <c r="AU254" i="23083"/>
  <c r="AU303" i="23083" l="1"/>
  <c r="AU304" i="23083" s="1"/>
  <c r="AU255" i="23083"/>
  <c r="B83" i="23083" l="1"/>
  <c r="AF237" i="23083" l="1"/>
  <c r="AI237" i="23083" l="1"/>
  <c r="AL237" i="23083" s="1"/>
  <c r="AO237" i="23083" s="1"/>
  <c r="AF233" i="23083"/>
  <c r="AR237" i="23083" l="1"/>
  <c r="AS237" i="23083" s="1"/>
  <c r="AT237" i="23083" s="1"/>
  <c r="AU237" i="23083" s="1"/>
  <c r="AI233" i="23083"/>
  <c r="AL233" i="23083" s="1"/>
  <c r="AO233" i="23083" s="1"/>
  <c r="AR233" i="23083" l="1"/>
  <c r="AS233" i="23083" s="1"/>
  <c r="AT233" i="23083" s="1"/>
  <c r="AU233" i="23083" s="1"/>
  <c r="AF236" i="23083"/>
  <c r="AI236" i="23083" l="1"/>
  <c r="AL236" i="23083" s="1"/>
  <c r="AO236" i="23083" s="1"/>
  <c r="AR236" i="23083" l="1"/>
  <c r="AS236" i="23083" s="1"/>
  <c r="AT236" i="23083" s="1"/>
  <c r="AU236" i="23083" s="1"/>
  <c r="AF240" i="23083"/>
  <c r="AI240" i="23083" s="1"/>
  <c r="AL240" i="23083" l="1"/>
  <c r="AO240" i="23083" l="1"/>
  <c r="AF232" i="23083"/>
  <c r="AI232" i="23083" s="1"/>
  <c r="AR240" i="23083" l="1"/>
  <c r="AS240" i="23083" s="1"/>
  <c r="AT240" i="23083" s="1"/>
  <c r="AU240" i="23083" s="1"/>
  <c r="AI239" i="23083"/>
  <c r="AI234" i="23083"/>
  <c r="AI238" i="23083"/>
  <c r="AF239" i="23083"/>
  <c r="AF234" i="23083"/>
  <c r="AF235" i="23083" s="1"/>
  <c r="AI235" i="23083" l="1"/>
  <c r="AI241" i="23083"/>
  <c r="AI227" i="23083" s="1"/>
  <c r="AL232" i="23083"/>
  <c r="AF242" i="23083"/>
  <c r="AI242" i="23083" l="1"/>
  <c r="AL239" i="23083"/>
  <c r="AL234" i="23083"/>
  <c r="AL235" i="23083" s="1"/>
  <c r="AO232" i="23083"/>
  <c r="AR232" i="23083" s="1"/>
  <c r="AR234" i="23083" l="1"/>
  <c r="AR235" i="23083" s="1"/>
  <c r="AR239" i="23083"/>
  <c r="AR238" i="23083"/>
  <c r="AL242" i="23083"/>
  <c r="AO239" i="23083"/>
  <c r="AO234" i="23083"/>
  <c r="AO235" i="23083" s="1"/>
  <c r="AR242" i="23083" l="1"/>
  <c r="AR241" i="23083"/>
  <c r="AR227" i="23083" s="1"/>
  <c r="AO242" i="23083"/>
  <c r="AS232" i="23083"/>
  <c r="AT232" i="23083" l="1"/>
  <c r="AU232" i="23083" s="1"/>
  <c r="AS238" i="23083"/>
  <c r="AS239" i="23083"/>
  <c r="AS234" i="23083"/>
  <c r="AS235" i="23083" s="1"/>
  <c r="AU239" i="23083" l="1"/>
  <c r="AU238" i="23083"/>
  <c r="AU234" i="23083"/>
  <c r="AS241" i="23083"/>
  <c r="AS227" i="23083" s="1"/>
  <c r="AS242" i="23083"/>
  <c r="AT238" i="23083"/>
  <c r="AT239" i="23083"/>
  <c r="AT234" i="23083"/>
  <c r="AT235" i="23083" s="1"/>
  <c r="AU235" i="23083" l="1"/>
  <c r="AU242" i="23083" s="1"/>
  <c r="AU241" i="23083"/>
  <c r="AU227" i="23083" s="1"/>
  <c r="AT241" i="23083"/>
  <c r="AT227" i="23083" s="1"/>
  <c r="AT242" i="23083"/>
  <c r="AS167" i="23083" l="1"/>
  <c r="AS306" i="23083" l="1"/>
  <c r="AS309" i="23083" s="1"/>
  <c r="AT167" i="23083"/>
  <c r="AS169" i="23083"/>
  <c r="AT306" i="23083" l="1"/>
  <c r="AT309" i="23083" s="1"/>
  <c r="AU167" i="23083"/>
  <c r="AT169" i="23083"/>
  <c r="AU306" i="23083" l="1"/>
  <c r="AU309" i="23083" s="1"/>
  <c r="AU169" i="23083"/>
  <c r="E15" i="23124" l="1"/>
  <c r="E7" i="23124" l="1"/>
  <c r="E10" i="23124" s="1"/>
  <c r="E11" i="23124" s="1"/>
  <c r="E17" i="23124" s="1"/>
  <c r="E21" i="23124" l="1"/>
  <c r="E24" i="23124"/>
  <c r="E26" i="23124" s="1"/>
  <c r="AA206" i="23083" l="1"/>
  <c r="H80" i="23132" l="1"/>
  <c r="O54" i="23132"/>
  <c r="G87" i="23132" l="1"/>
  <c r="H84" i="23132"/>
  <c r="H83" i="23132"/>
  <c r="H85" i="23132"/>
  <c r="H87" i="23132"/>
  <c r="F5" i="23123" l="1"/>
  <c r="E5" i="23123" l="1"/>
  <c r="F14" i="23124"/>
  <c r="F15" i="23124" l="1"/>
  <c r="AF263" i="23083" l="1"/>
  <c r="AE263" i="23083" s="1"/>
  <c r="AC263" i="23083" l="1"/>
  <c r="AB263" i="23083" s="1"/>
  <c r="F25" i="23124" l="1"/>
  <c r="E7" i="23123" l="1"/>
  <c r="F7" i="23123"/>
  <c r="F7" i="23124" l="1"/>
  <c r="F10" i="23124" l="1"/>
  <c r="F11" i="23124" s="1"/>
  <c r="F17" i="23124" s="1"/>
  <c r="F21" i="23124" l="1"/>
  <c r="F24" i="23124"/>
  <c r="F26" i="23124" s="1"/>
  <c r="E9" i="23123" l="1"/>
  <c r="F9" i="23123"/>
  <c r="H7" i="23123" l="1"/>
  <c r="H23" i="23123" s="1"/>
  <c r="I23" i="23123" s="1"/>
  <c r="H5" i="23123"/>
  <c r="K23" i="23123" s="1"/>
  <c r="L23" i="23123" s="1"/>
  <c r="I5" i="23123"/>
  <c r="G14" i="23124"/>
  <c r="AA214" i="23083" l="1"/>
  <c r="AA215" i="23083"/>
  <c r="AA213" i="23083"/>
  <c r="AA210" i="23083"/>
  <c r="AD211" i="23083" s="1"/>
  <c r="I7" i="23123"/>
  <c r="G13" i="23124"/>
  <c r="AA212" i="23083" l="1"/>
  <c r="AA211" i="23083"/>
  <c r="E11" i="23123"/>
  <c r="F11" i="23123"/>
  <c r="G7" i="23124" l="1"/>
  <c r="G15" i="23124"/>
  <c r="AA140" i="23083" l="1"/>
  <c r="G10" i="23124"/>
  <c r="G11" i="23124" s="1"/>
  <c r="G17" i="23124" s="1"/>
  <c r="G24" i="23124" l="1"/>
  <c r="G21" i="23124"/>
  <c r="G25" i="23124" l="1"/>
  <c r="G26" i="23124" s="1"/>
  <c r="F28" i="23124" l="1"/>
  <c r="F30" i="23124" l="1"/>
  <c r="F32" i="23124" s="1"/>
  <c r="I9" i="23123" l="1"/>
  <c r="H9" i="23123"/>
  <c r="AB76" i="23083" l="1"/>
  <c r="AB325" i="23083"/>
  <c r="AB326" i="23083"/>
  <c r="AB78" i="23083"/>
  <c r="AB77" i="23083"/>
  <c r="AB75" i="23083"/>
  <c r="AB68" i="23083"/>
  <c r="AB79" i="23083"/>
  <c r="AB69" i="23083"/>
  <c r="AB327" i="23083" l="1"/>
  <c r="AC213" i="23083"/>
  <c r="AC214" i="23083"/>
  <c r="AC215" i="23083"/>
  <c r="AC208" i="23083"/>
  <c r="AC212" i="23083"/>
  <c r="AC283" i="23083"/>
  <c r="H13" i="23124"/>
  <c r="AC209" i="23083" l="1"/>
  <c r="AC69" i="23083"/>
  <c r="K7" i="23123"/>
  <c r="H25" i="23123" s="1"/>
  <c r="H27" i="23123" s="1"/>
  <c r="AC223" i="23083"/>
  <c r="K5" i="23123"/>
  <c r="K25" i="23123" s="1"/>
  <c r="L5" i="23123"/>
  <c r="H14" i="23124"/>
  <c r="L7" i="23123" l="1"/>
  <c r="I25" i="23123"/>
  <c r="I27" i="23123" s="1"/>
  <c r="L25" i="23123"/>
  <c r="L27" i="23123" s="1"/>
  <c r="K27" i="23123"/>
  <c r="G28" i="23124"/>
  <c r="G30" i="23124" s="1"/>
  <c r="G32" i="23124" s="1"/>
  <c r="I11" i="23123"/>
  <c r="H11" i="23123"/>
  <c r="I13" i="23124"/>
  <c r="AF283" i="23083"/>
  <c r="AC297" i="23083"/>
  <c r="H7" i="23124" l="1"/>
  <c r="H10" i="23124" s="1"/>
  <c r="H11" i="23124" s="1"/>
  <c r="J13" i="23124"/>
  <c r="AI283" i="23083"/>
  <c r="AC71" i="23083" l="1"/>
  <c r="AC137" i="23083"/>
  <c r="AC135" i="23083"/>
  <c r="H15" i="23124"/>
  <c r="H17" i="23124" s="1"/>
  <c r="AL283" i="23083"/>
  <c r="K13" i="23124"/>
  <c r="AC238" i="23083" l="1"/>
  <c r="AC241" i="23083" s="1"/>
  <c r="AC227" i="23083" s="1"/>
  <c r="AC138" i="23083"/>
  <c r="AC139" i="23083" s="1"/>
  <c r="AF297" i="23083"/>
  <c r="H21" i="23124"/>
  <c r="H24" i="23124"/>
  <c r="AC140" i="23083"/>
  <c r="L13" i="23124"/>
  <c r="AC42" i="23083" l="1"/>
  <c r="AC52" i="23083"/>
  <c r="AC53" i="23083"/>
  <c r="M13" i="23124"/>
  <c r="AC285" i="23083"/>
  <c r="AC289" i="23083" s="1"/>
  <c r="N13" i="23124" l="1"/>
  <c r="AS283" i="23083"/>
  <c r="AT283" i="23083" l="1"/>
  <c r="O13" i="23124"/>
  <c r="AA292" i="23083" l="1"/>
  <c r="H25" i="23124" l="1"/>
  <c r="H26" i="23124" s="1"/>
  <c r="AC203" i="23083" l="1"/>
  <c r="AC202" i="23083"/>
  <c r="AC204" i="23083"/>
  <c r="AA51" i="23083" l="1"/>
  <c r="AA296" i="23083" l="1"/>
  <c r="AA298" i="23083" s="1"/>
  <c r="AA300" i="23083" s="1"/>
  <c r="AA299" i="23083" l="1"/>
  <c r="AD213" i="23083" l="1"/>
  <c r="AD208" i="23083"/>
  <c r="AD215" i="23083"/>
  <c r="AD214" i="23083"/>
  <c r="AD212" i="23083"/>
  <c r="AD9" i="23083"/>
  <c r="AA285" i="23083" l="1"/>
  <c r="AA289" i="23083" s="1"/>
  <c r="AA127" i="23083"/>
  <c r="AD126" i="23083" s="1"/>
  <c r="AD128" i="23083" s="1"/>
  <c r="AD130" i="23083" l="1"/>
  <c r="AD310" i="23083"/>
  <c r="AD311" i="23083" s="1"/>
  <c r="AA203" i="23083"/>
  <c r="AA128" i="23083"/>
  <c r="AA202" i="23083"/>
  <c r="AA130" i="23083" l="1"/>
  <c r="AA310" i="23083"/>
  <c r="AA311" i="23083" s="1"/>
  <c r="AA114" i="23083"/>
  <c r="AA116" i="23083" s="1"/>
  <c r="AA119" i="23083"/>
  <c r="AD118" i="23083" s="1"/>
  <c r="AD120" i="23083" s="1"/>
  <c r="AD122" i="23083" s="1"/>
  <c r="AA120" i="23083" l="1"/>
  <c r="AA122" i="23083" s="1"/>
  <c r="AA124" i="23083" l="1"/>
  <c r="H28" i="23124" l="1"/>
  <c r="H30" i="23124" s="1"/>
  <c r="H32" i="23124" s="1"/>
  <c r="AC292" i="23083" l="1"/>
  <c r="AB50" i="23083"/>
  <c r="AB292" i="23083" l="1"/>
  <c r="AC259" i="23083" l="1"/>
  <c r="AE326" i="23083" l="1"/>
  <c r="AE325" i="23083"/>
  <c r="AE56" i="23083"/>
  <c r="AE77" i="23083"/>
  <c r="AE68" i="23083"/>
  <c r="AE78" i="23083"/>
  <c r="AE75" i="23083"/>
  <c r="AE79" i="23083"/>
  <c r="S54" i="23132"/>
  <c r="AC274" i="23083"/>
  <c r="AC273" i="23083"/>
  <c r="AC262" i="23083"/>
  <c r="AC267" i="23083" s="1"/>
  <c r="AC277" i="23083" s="1"/>
  <c r="L9" i="23123"/>
  <c r="K9" i="23123"/>
  <c r="AE327" i="23083" l="1"/>
  <c r="AF214" i="23083"/>
  <c r="AF213" i="23083"/>
  <c r="AF215" i="23083"/>
  <c r="AF212" i="23083"/>
  <c r="AF9" i="23083"/>
  <c r="AE9" i="23083"/>
  <c r="AF56" i="23083"/>
  <c r="AC264" i="23083"/>
  <c r="AC268" i="23083"/>
  <c r="AC272" i="23083"/>
  <c r="AC282" i="23083"/>
  <c r="AC284" i="23083" s="1"/>
  <c r="AC288" i="23083" s="1"/>
  <c r="AC45" i="23083" l="1"/>
  <c r="AC200" i="23083"/>
  <c r="AC296" i="23083"/>
  <c r="AC218" i="23083"/>
  <c r="AC221" i="23083" s="1"/>
  <c r="AC225" i="23083" s="1"/>
  <c r="AC228" i="23083" s="1"/>
  <c r="O5" i="23123"/>
  <c r="N5" i="23123"/>
  <c r="AC269" i="23083"/>
  <c r="AC278" i="23083" l="1"/>
  <c r="AC299" i="23083"/>
  <c r="AC298" i="23083"/>
  <c r="AC300" i="23083" s="1"/>
  <c r="AI9" i="23083"/>
  <c r="AC220" i="23083"/>
  <c r="AC222" i="23083" s="1"/>
  <c r="AC226" i="23083" s="1"/>
  <c r="AC230" i="23083" s="1"/>
  <c r="K11" i="23123" l="1"/>
  <c r="L11" i="23123"/>
  <c r="R5" i="23123"/>
  <c r="Q5" i="23123"/>
  <c r="I15" i="23124" l="1"/>
  <c r="J15" i="23124" l="1"/>
  <c r="AL205" i="23083"/>
  <c r="AS205" i="23083" l="1"/>
  <c r="AT205" i="23083" l="1"/>
  <c r="I25" i="23124" l="1"/>
  <c r="C54" i="23124" l="1"/>
  <c r="AF25" i="23083" l="1"/>
  <c r="AF69" i="23083"/>
  <c r="AF204" i="23083"/>
  <c r="N7" i="23123"/>
  <c r="AF60" i="23083"/>
  <c r="AF61" i="23083"/>
  <c r="AF223" i="23083"/>
  <c r="AF19" i="23083" l="1"/>
  <c r="O7" i="23123"/>
  <c r="AF36" i="23083" l="1"/>
  <c r="I7" i="23124"/>
  <c r="I10" i="23124" s="1"/>
  <c r="I11" i="23124" s="1"/>
  <c r="AI63" i="23083" l="1"/>
  <c r="AF40" i="23083"/>
  <c r="AF71" i="23083"/>
  <c r="AI64" i="23083" l="1"/>
  <c r="AF238" i="23083"/>
  <c r="AF241" i="23083" s="1"/>
  <c r="AF227" i="23083" s="1"/>
  <c r="AF53" i="23083"/>
  <c r="AF52" i="23083"/>
  <c r="AF63" i="23083"/>
  <c r="AJ56" i="23083" l="1"/>
  <c r="AJ9" i="23083"/>
  <c r="AG76" i="23083"/>
  <c r="AG325" i="23083"/>
  <c r="AG326" i="23083"/>
  <c r="AG56" i="23083"/>
  <c r="AG215" i="23083"/>
  <c r="AG78" i="23083"/>
  <c r="AG214" i="23083"/>
  <c r="AG77" i="23083"/>
  <c r="AG75" i="23083"/>
  <c r="AG213" i="23083"/>
  <c r="AG68" i="23083"/>
  <c r="AG212" i="23083"/>
  <c r="AG208" i="23083"/>
  <c r="AG327" i="23083" l="1"/>
  <c r="AG9" i="23083" l="1"/>
  <c r="AF64" i="23083" l="1"/>
  <c r="N9" i="23123"/>
  <c r="AF259" i="23083"/>
  <c r="AF42" i="23083"/>
  <c r="O9" i="23123" l="1"/>
  <c r="AF274" i="23083"/>
  <c r="AF273" i="23083"/>
  <c r="AF262" i="23083"/>
  <c r="AF267" i="23083" s="1"/>
  <c r="AF200" i="23083" l="1"/>
  <c r="AF296" i="23083"/>
  <c r="AF218" i="23083"/>
  <c r="AI221" i="23083" s="1"/>
  <c r="AI225" i="23083" s="1"/>
  <c r="AI228" i="23083" s="1"/>
  <c r="AF264" i="23083"/>
  <c r="AF272" i="23083"/>
  <c r="AF268" i="23083"/>
  <c r="AF282" i="23083"/>
  <c r="AF284" i="23083" s="1"/>
  <c r="AF288" i="23083" s="1"/>
  <c r="AF277" i="23083" l="1"/>
  <c r="AF45" i="23083"/>
  <c r="AF46" i="23083" s="1"/>
  <c r="AF269" i="23083"/>
  <c r="AF221" i="23083"/>
  <c r="AF225" i="23083" s="1"/>
  <c r="AF228" i="23083" s="1"/>
  <c r="AF220" i="23083"/>
  <c r="AI222" i="23083" s="1"/>
  <c r="AI226" i="23083" s="1"/>
  <c r="AI230" i="23083" s="1"/>
  <c r="AF298" i="23083"/>
  <c r="AF300" i="23083" s="1"/>
  <c r="AF299" i="23083"/>
  <c r="AF222" i="23083" l="1"/>
  <c r="AF226" i="23083" s="1"/>
  <c r="AF230" i="23083" s="1"/>
  <c r="AF278" i="23083"/>
  <c r="AF65" i="23083"/>
  <c r="AS197" i="23083" l="1"/>
  <c r="I28" i="23124"/>
  <c r="I30" i="23124" s="1"/>
  <c r="I32" i="23124" s="1"/>
  <c r="N11" i="23123"/>
  <c r="O11" i="23123"/>
  <c r="AT197" i="23083" l="1"/>
  <c r="AF292" i="23083"/>
  <c r="AE50" i="23083"/>
  <c r="AU197" i="23083" l="1"/>
  <c r="AE292" i="23083"/>
  <c r="AF209" i="23083" l="1"/>
  <c r="AF206" i="23083"/>
  <c r="AF285" i="23083"/>
  <c r="AF289" i="23083" s="1"/>
  <c r="I14" i="23124"/>
  <c r="I17" i="23124" s="1"/>
  <c r="I24" i="23124" s="1"/>
  <c r="I26" i="23124" s="1"/>
  <c r="AF208" i="23083"/>
  <c r="I21" i="23124" l="1"/>
  <c r="L32" i="23134" l="1"/>
  <c r="L50" i="23134" s="1"/>
  <c r="L40" i="23134" l="1"/>
  <c r="L58" i="23134" s="1"/>
  <c r="Q7" i="23123"/>
  <c r="R7" i="23123"/>
  <c r="J25" i="23124" l="1"/>
  <c r="G32" i="23134" l="1"/>
  <c r="G41" i="23134" s="1"/>
  <c r="G59" i="23134" s="1"/>
  <c r="AD69" i="23083"/>
  <c r="AD204" i="23083"/>
  <c r="AD209" i="23083"/>
  <c r="AD70" i="23083" l="1"/>
  <c r="G50" i="23134"/>
  <c r="AD138" i="23083"/>
  <c r="AD135" i="23083"/>
  <c r="G40" i="23134"/>
  <c r="G58" i="23134" s="1"/>
  <c r="AD137" i="23083"/>
  <c r="AD139" i="23083" l="1"/>
  <c r="AD71" i="23083"/>
  <c r="AD36" i="23083"/>
  <c r="AD40" i="23083" l="1"/>
  <c r="AE40" i="23083" s="1"/>
  <c r="AE36" i="23083"/>
  <c r="AD52" i="23083" l="1"/>
  <c r="AD259" i="23083"/>
  <c r="AD262" i="23083" s="1"/>
  <c r="AD267" i="23083" s="1"/>
  <c r="AD53" i="23083"/>
  <c r="AD42" i="23083"/>
  <c r="AE259" i="23083" l="1"/>
  <c r="AD274" i="23083"/>
  <c r="AD273" i="23083"/>
  <c r="AE273" i="23083" s="1"/>
  <c r="AE42" i="23083"/>
  <c r="AD282" i="23083"/>
  <c r="AD284" i="23083" s="1"/>
  <c r="AD288" i="23083" s="1"/>
  <c r="AD268" i="23083"/>
  <c r="AD272" i="23083"/>
  <c r="AE262" i="23083"/>
  <c r="AE267" i="23083" s="1"/>
  <c r="AD264" i="23083"/>
  <c r="AE274" i="23083" l="1"/>
  <c r="AE264" i="23083"/>
  <c r="AD269" i="23083"/>
  <c r="AE272" i="23083"/>
  <c r="AD45" i="23083"/>
  <c r="AE268" i="23083"/>
  <c r="AE45" i="23083" l="1"/>
  <c r="AE269" i="23083"/>
  <c r="AE319" i="23083" l="1"/>
  <c r="AH25" i="23083" l="1"/>
  <c r="AE321" i="23083"/>
  <c r="H32" i="23134"/>
  <c r="H41" i="23134" s="1"/>
  <c r="H59" i="23134" s="1"/>
  <c r="AE70" i="23083"/>
  <c r="AE61" i="23083"/>
  <c r="AE69" i="23083"/>
  <c r="AE76" i="23083" l="1"/>
  <c r="AE323" i="23083"/>
  <c r="H40" i="23134"/>
  <c r="H58" i="23134" s="1"/>
  <c r="H50" i="23134"/>
  <c r="AD19" i="23083"/>
  <c r="AA24" i="23083"/>
  <c r="D32" i="23134" l="1"/>
  <c r="D41" i="23134" s="1"/>
  <c r="D59" i="23134" s="1"/>
  <c r="AE71" i="23083"/>
  <c r="AA69" i="23083"/>
  <c r="AD61" i="23083"/>
  <c r="AA209" i="23083"/>
  <c r="AA30" i="23083"/>
  <c r="AD25" i="23083"/>
  <c r="AA204" i="23083"/>
  <c r="D40" i="23134" l="1"/>
  <c r="D58" i="23134" s="1"/>
  <c r="D50" i="23134"/>
  <c r="AA135" i="23083"/>
  <c r="AA137" i="23083"/>
  <c r="AB71" i="23083" l="1"/>
  <c r="AA138" i="23083"/>
  <c r="AA139" i="23083" s="1"/>
  <c r="AA131" i="23083"/>
  <c r="AA34" i="23083"/>
  <c r="AA71" i="23083" l="1"/>
  <c r="AA36" i="23083"/>
  <c r="AB36" i="23083" l="1"/>
  <c r="AD63" i="23083"/>
  <c r="AA40" i="23083"/>
  <c r="AB40" i="23083" l="1"/>
  <c r="AA42" i="23083"/>
  <c r="AD64" i="23083"/>
  <c r="AE63" i="23083"/>
  <c r="AA259" i="23083"/>
  <c r="AA53" i="23083"/>
  <c r="AA52" i="23083"/>
  <c r="AB42" i="23083" l="1"/>
  <c r="AE64" i="23083"/>
  <c r="AB259" i="23083"/>
  <c r="AA273" i="23083"/>
  <c r="AB273" i="23083" s="1"/>
  <c r="AA274" i="23083"/>
  <c r="AA262" i="23083"/>
  <c r="AA267" i="23083" s="1"/>
  <c r="AA277" i="23083" s="1"/>
  <c r="AB274" i="23083" l="1"/>
  <c r="AA268" i="23083"/>
  <c r="AB262" i="23083"/>
  <c r="AB267" i="23083" s="1"/>
  <c r="AA272" i="23083"/>
  <c r="AA264" i="23083"/>
  <c r="AA282" i="23083"/>
  <c r="AA284" i="23083" s="1"/>
  <c r="AA288" i="23083" s="1"/>
  <c r="AD277" i="23083" l="1"/>
  <c r="AA45" i="23083"/>
  <c r="AB272" i="23083"/>
  <c r="AA269" i="23083"/>
  <c r="AB264" i="23083"/>
  <c r="AB268" i="23083"/>
  <c r="AA278" i="23083" l="1"/>
  <c r="AB45" i="23083"/>
  <c r="AD46" i="23083"/>
  <c r="AD65" i="23083"/>
  <c r="AB269" i="23083"/>
  <c r="AD278" i="23083"/>
  <c r="AE65" i="23083" l="1"/>
  <c r="AE46" i="23083"/>
  <c r="AE25" i="23083"/>
  <c r="AE19" i="23083"/>
  <c r="AG13" i="23083" l="1"/>
  <c r="AJ61" i="23083" l="1"/>
  <c r="AJ25" i="23083"/>
  <c r="J32" i="23134"/>
  <c r="J41" i="23134" s="1"/>
  <c r="J59" i="23134" s="1"/>
  <c r="AG209" i="23083"/>
  <c r="AG204" i="23083"/>
  <c r="AG69" i="23083"/>
  <c r="AH13" i="23083"/>
  <c r="AG61" i="23083"/>
  <c r="AG25" i="23083"/>
  <c r="AG70" i="23083" l="1"/>
  <c r="K32" i="23134"/>
  <c r="K50" i="23134" s="1"/>
  <c r="J40" i="23134"/>
  <c r="J58" i="23134" s="1"/>
  <c r="J50" i="23134"/>
  <c r="AH61" i="23083"/>
  <c r="AG71" i="23083" l="1"/>
  <c r="AG36" i="23083"/>
  <c r="AJ63" i="23083" s="1"/>
  <c r="AH36" i="23083" l="1"/>
  <c r="AG40" i="23083"/>
  <c r="AJ64" i="23083" l="1"/>
  <c r="AH40" i="23083"/>
  <c r="AG259" i="23083"/>
  <c r="AG63" i="23083"/>
  <c r="AH42" i="23083" l="1"/>
  <c r="AG273" i="23083"/>
  <c r="AG262" i="23083"/>
  <c r="AG267" i="23083" s="1"/>
  <c r="AG274" i="23083"/>
  <c r="AG64" i="23083"/>
  <c r="AG42" i="23083"/>
  <c r="AJ277" i="23083" l="1"/>
  <c r="AG282" i="23083"/>
  <c r="AG284" i="23083" s="1"/>
  <c r="AG288" i="23083" s="1"/>
  <c r="AG264" i="23083"/>
  <c r="AG269" i="23083" s="1"/>
  <c r="AJ278" i="23083" s="1"/>
  <c r="AG272" i="23083"/>
  <c r="AG268" i="23083"/>
  <c r="AG277" i="23083" l="1"/>
  <c r="AG278" i="23083"/>
  <c r="AG45" i="23083" l="1"/>
  <c r="AJ46" i="23083" l="1"/>
  <c r="AJ65" i="23083"/>
  <c r="AG65" i="23083"/>
  <c r="AG46" i="23083"/>
  <c r="AG72" i="23083" l="1"/>
  <c r="AG79" i="23083"/>
  <c r="AG292" i="23083" l="1"/>
  <c r="AG51" i="23083"/>
  <c r="AG53" i="23083" l="1"/>
  <c r="AG52" i="23083"/>
  <c r="AH6" i="23083" l="1"/>
  <c r="AH8" i="23083" s="1"/>
  <c r="K27" i="23134"/>
  <c r="AH11" i="23083" l="1"/>
  <c r="AH70" i="23083"/>
  <c r="AH326" i="23083"/>
  <c r="AH78" i="23083"/>
  <c r="AH68" i="23083"/>
  <c r="AH77" i="23083"/>
  <c r="AH75" i="23083"/>
  <c r="AH9" i="23083"/>
  <c r="AH56" i="23083"/>
  <c r="AH69" i="23083"/>
  <c r="AL12" i="23083"/>
  <c r="AU92" i="23086"/>
  <c r="T54" i="23132"/>
  <c r="K45" i="23134"/>
  <c r="K28" i="23134"/>
  <c r="AL11" i="23083" l="1"/>
  <c r="AL24" i="23083"/>
  <c r="AK78" i="23083"/>
  <c r="AK77" i="23083"/>
  <c r="AK56" i="23083"/>
  <c r="AK75" i="23083"/>
  <c r="AK325" i="23083"/>
  <c r="AK326" i="23083"/>
  <c r="M30" i="23134"/>
  <c r="AK12" i="23083"/>
  <c r="AK9" i="23083"/>
  <c r="K46" i="23134"/>
  <c r="K39" i="23134"/>
  <c r="K57" i="23134" s="1"/>
  <c r="K40" i="23134"/>
  <c r="K58" i="23134" s="1"/>
  <c r="AL30" i="23083" l="1"/>
  <c r="AL34" i="23083" s="1"/>
  <c r="AL82" i="23083"/>
  <c r="AK11" i="23083"/>
  <c r="AK24" i="23083"/>
  <c r="AA22" i="23123"/>
  <c r="AA28" i="23123" s="1"/>
  <c r="AA23" i="23123"/>
  <c r="AA29" i="23123" s="1"/>
  <c r="AL68" i="23083"/>
  <c r="AK327" i="23083"/>
  <c r="AL325" i="23083"/>
  <c r="AL78" i="23083"/>
  <c r="AL77" i="23083"/>
  <c r="AL56" i="23083"/>
  <c r="AL75" i="23083"/>
  <c r="AL326" i="23083"/>
  <c r="AL69" i="23083"/>
  <c r="AL25" i="23083"/>
  <c r="AL61" i="23083"/>
  <c r="AK68" i="23083"/>
  <c r="M48" i="23134"/>
  <c r="X14" i="23134"/>
  <c r="AK13" i="23083"/>
  <c r="M39" i="23134"/>
  <c r="M57" i="23134" s="1"/>
  <c r="AL9" i="23083"/>
  <c r="AL13" i="23083"/>
  <c r="AK30" i="23083" l="1"/>
  <c r="AK34" i="23083" s="1"/>
  <c r="T5" i="23123"/>
  <c r="AA24" i="23123"/>
  <c r="AA30" i="23123" s="1"/>
  <c r="AL70" i="23083"/>
  <c r="AL71" i="23083"/>
  <c r="AL131" i="23083"/>
  <c r="AL327" i="23083"/>
  <c r="AK69" i="23083"/>
  <c r="AK25" i="23083"/>
  <c r="AK61" i="23083"/>
  <c r="Z14" i="23134"/>
  <c r="X15" i="23134"/>
  <c r="Z15" i="23134" s="1"/>
  <c r="U5" i="23123"/>
  <c r="AL213" i="23083"/>
  <c r="AK71" i="23083" l="1"/>
  <c r="AK70" i="23083"/>
  <c r="AL36" i="23083"/>
  <c r="AL40" i="23083" s="1"/>
  <c r="AL238" i="23083"/>
  <c r="AL241" i="23083" s="1"/>
  <c r="AL227" i="23083" s="1"/>
  <c r="AL215" i="23083"/>
  <c r="AL210" i="23083"/>
  <c r="AL214" i="23083"/>
  <c r="AA25" i="23123" l="1"/>
  <c r="AA31" i="23123" s="1"/>
  <c r="AK40" i="23083"/>
  <c r="AK36" i="23083"/>
  <c r="AL212" i="23083"/>
  <c r="AO211" i="23083"/>
  <c r="AL63" i="23083"/>
  <c r="AL53" i="23083"/>
  <c r="AL52" i="23083"/>
  <c r="AL64" i="23083"/>
  <c r="AL211" i="23083"/>
  <c r="AL83" i="23083" s="1"/>
  <c r="AL84" i="23083" s="1"/>
  <c r="AK63" i="23083" l="1"/>
  <c r="AK64" i="23083"/>
  <c r="K15" i="23124" l="1"/>
  <c r="V129" i="23133"/>
  <c r="V132" i="23133" s="1"/>
  <c r="V134" i="23133" s="1"/>
  <c r="M32" i="23134"/>
  <c r="X28" i="23134" s="1"/>
  <c r="X29" i="23134" s="1"/>
  <c r="AL138" i="23083"/>
  <c r="AL223" i="23083"/>
  <c r="Z28" i="23134" l="1"/>
  <c r="Z29" i="23134"/>
  <c r="M50" i="23134"/>
  <c r="X17" i="23134"/>
  <c r="AL135" i="23083"/>
  <c r="M40" i="23134"/>
  <c r="M58" i="23134" s="1"/>
  <c r="AL137" i="23083"/>
  <c r="AL139" i="23083" s="1"/>
  <c r="U7" i="23123"/>
  <c r="T7" i="23123"/>
  <c r="X18" i="23134" l="1"/>
  <c r="Z18" i="23134" s="1"/>
  <c r="Z17" i="23134"/>
  <c r="AH320" i="23083" l="1"/>
  <c r="AH325" i="23083" l="1"/>
  <c r="AH327" i="23083" s="1"/>
  <c r="AH321" i="23083"/>
  <c r="AH323" i="23083" l="1"/>
  <c r="AH76" i="23083"/>
  <c r="AH79" i="23083" l="1"/>
  <c r="K36" i="23134"/>
  <c r="K54" i="23134" l="1"/>
  <c r="K41" i="23134"/>
  <c r="K59" i="23134" s="1"/>
  <c r="J14" i="23124"/>
  <c r="L36" i="23134"/>
  <c r="J7" i="23124" l="1"/>
  <c r="J10" i="23124" s="1"/>
  <c r="J11" i="23124" s="1"/>
  <c r="J17" i="23124" s="1"/>
  <c r="AH72" i="23083"/>
  <c r="K7" i="23124"/>
  <c r="K10" i="23124" s="1"/>
  <c r="K11" i="23124" s="1"/>
  <c r="L54" i="23134"/>
  <c r="X20" i="23134"/>
  <c r="L41" i="23134"/>
  <c r="L59" i="23134" s="1"/>
  <c r="J24" i="23124" l="1"/>
  <c r="J26" i="23124" s="1"/>
  <c r="J21" i="23124"/>
  <c r="AI297" i="23083"/>
  <c r="Z20" i="23134"/>
  <c r="X21" i="23134"/>
  <c r="Z21" i="23134" s="1"/>
  <c r="AH71" i="23083" l="1"/>
  <c r="AI259" i="23083"/>
  <c r="AH63" i="23083" l="1"/>
  <c r="AL140" i="23083"/>
  <c r="M34" i="23134"/>
  <c r="X36" i="23134" s="1"/>
  <c r="AH64" i="23083"/>
  <c r="Q9" i="23123"/>
  <c r="R9" i="23123"/>
  <c r="AI274" i="23083"/>
  <c r="AH259" i="23083"/>
  <c r="AI273" i="23083"/>
  <c r="AH273" i="23083" s="1"/>
  <c r="AI262" i="23083"/>
  <c r="AI267" i="23083" s="1"/>
  <c r="X37" i="23134" l="1"/>
  <c r="Z37" i="23134" s="1"/>
  <c r="Z36" i="23134"/>
  <c r="AL259" i="23083"/>
  <c r="AK259" i="23083" s="1"/>
  <c r="AI268" i="23083"/>
  <c r="AH268" i="23083" s="1"/>
  <c r="AH262" i="23083"/>
  <c r="AH267" i="23083" s="1"/>
  <c r="AI282" i="23083"/>
  <c r="AI284" i="23083" s="1"/>
  <c r="AI288" i="23083" s="1"/>
  <c r="AI264" i="23083"/>
  <c r="AI45" i="23083"/>
  <c r="AI272" i="23083"/>
  <c r="AI285" i="23083"/>
  <c r="AI289" i="23083" s="1"/>
  <c r="AH274" i="23083"/>
  <c r="AI65" i="23083" l="1"/>
  <c r="AH45" i="23083"/>
  <c r="AI46" i="23083"/>
  <c r="U9" i="23123"/>
  <c r="T9" i="23123"/>
  <c r="AL262" i="23083"/>
  <c r="AL273" i="23083"/>
  <c r="AK273" i="23083" s="1"/>
  <c r="AI277" i="23083"/>
  <c r="AH264" i="23083"/>
  <c r="AI269" i="23083"/>
  <c r="AI296" i="23083"/>
  <c r="AH272" i="23083"/>
  <c r="AK262" i="23083" l="1"/>
  <c r="AK267" i="23083" s="1"/>
  <c r="AL267" i="23083"/>
  <c r="AH46" i="23083"/>
  <c r="AL268" i="23083"/>
  <c r="AK268" i="23083" s="1"/>
  <c r="AL272" i="23083"/>
  <c r="AL282" i="23083"/>
  <c r="AL284" i="23083" s="1"/>
  <c r="AL288" i="23083" s="1"/>
  <c r="AI278" i="23083"/>
  <c r="AH269" i="23083"/>
  <c r="AI299" i="23083"/>
  <c r="AI298" i="23083"/>
  <c r="AI300" i="23083" s="1"/>
  <c r="AL45" i="23083" l="1"/>
  <c r="AK272" i="23083"/>
  <c r="AL277" i="23083"/>
  <c r="J28" i="23124"/>
  <c r="J30" i="23124" s="1"/>
  <c r="J32" i="23124" s="1"/>
  <c r="Q11" i="23123"/>
  <c r="R11" i="23123"/>
  <c r="AH65" i="23083"/>
  <c r="AA26" i="23123" l="1"/>
  <c r="AA32" i="23123" s="1"/>
  <c r="AK45" i="23083"/>
  <c r="AL65" i="23083"/>
  <c r="AL46" i="23083"/>
  <c r="AI292" i="23083"/>
  <c r="AK46" i="23083" l="1"/>
  <c r="AK65" i="23083"/>
  <c r="T11" i="23123"/>
  <c r="U11" i="23123"/>
  <c r="K28" i="23124"/>
  <c r="K30" i="23124" s="1"/>
  <c r="K32" i="23124" s="1"/>
  <c r="AH292" i="23083"/>
  <c r="K25" i="23124"/>
  <c r="AL292" i="23083" l="1"/>
  <c r="AK292" i="23083" s="1"/>
  <c r="AL296" i="23083" l="1"/>
  <c r="AL299" i="23083" l="1"/>
  <c r="AM12" i="23083" l="1"/>
  <c r="AP13" i="23083" s="1"/>
  <c r="AM11" i="23083" l="1"/>
  <c r="AM24" i="23083"/>
  <c r="AM13" i="23083"/>
  <c r="AM68" i="23083"/>
  <c r="AP61" i="23083" l="1"/>
  <c r="AP25" i="23083"/>
  <c r="AM30" i="23083"/>
  <c r="AM34" i="23083" s="1"/>
  <c r="AM82" i="23083"/>
  <c r="AM84" i="23083" s="1"/>
  <c r="AM209" i="23083"/>
  <c r="AM61" i="23083"/>
  <c r="AM204" i="23083"/>
  <c r="AM25" i="23083"/>
  <c r="AM69" i="23083"/>
  <c r="AM70" i="23083" l="1"/>
  <c r="AM135" i="23083"/>
  <c r="AM138" i="23083"/>
  <c r="AM137" i="23083"/>
  <c r="AM131" i="23083"/>
  <c r="AM139" i="23083" l="1"/>
  <c r="AM36" i="23083"/>
  <c r="AM71" i="23083"/>
  <c r="AM63" i="23083" l="1"/>
  <c r="AP63" i="23083"/>
  <c r="AK76" i="23083" l="1"/>
  <c r="AL72" i="23083"/>
  <c r="AL79" i="23083"/>
  <c r="AK72" i="23083"/>
  <c r="AK79" i="23083"/>
  <c r="AL76" i="23083"/>
  <c r="M36" i="23134"/>
  <c r="AL285" i="23083"/>
  <c r="AL289" i="23083" s="1"/>
  <c r="M41" i="23134" l="1"/>
  <c r="M59" i="23134" s="1"/>
  <c r="M54" i="23134"/>
  <c r="K14" i="23124"/>
  <c r="K17" i="23124" s="1"/>
  <c r="AL209" i="23083"/>
  <c r="AL206" i="23083"/>
  <c r="AL208" i="23083"/>
  <c r="K21" i="23124" l="1"/>
  <c r="K24" i="23124"/>
  <c r="K26" i="23124" s="1"/>
  <c r="AL297" i="23083" l="1"/>
  <c r="AL298" i="23083" s="1"/>
  <c r="AL300" i="23083" s="1"/>
  <c r="AL218" i="23083" l="1"/>
  <c r="AL221" i="23083" l="1"/>
  <c r="AL225" i="23083" s="1"/>
  <c r="AL228" i="23083" s="1"/>
  <c r="AL220" i="23083"/>
  <c r="AL204" i="23083" l="1"/>
  <c r="AL202" i="23083"/>
  <c r="AL203" i="23083"/>
  <c r="AL200" i="23083"/>
  <c r="AL222" i="23083"/>
  <c r="AL226" i="23083" s="1"/>
  <c r="AL230" i="23083" s="1"/>
  <c r="AM40" i="23083" l="1"/>
  <c r="AP64" i="23083" s="1"/>
  <c r="AM259" i="23083" l="1"/>
  <c r="AM53" i="23083"/>
  <c r="AM52" i="23083"/>
  <c r="AM64" i="23083"/>
  <c r="AM42" i="23083"/>
  <c r="AM274" i="23083" l="1"/>
  <c r="AM262" i="23083"/>
  <c r="AM267" i="23083" s="1"/>
  <c r="AP277" i="23083" s="1"/>
  <c r="AM273" i="23083"/>
  <c r="AM282" i="23083" l="1"/>
  <c r="AM284" i="23083" s="1"/>
  <c r="AM288" i="23083" s="1"/>
  <c r="AM272" i="23083"/>
  <c r="AM268" i="23083"/>
  <c r="AM277" i="23083"/>
  <c r="AM264" i="23083"/>
  <c r="AM269" i="23083" s="1"/>
  <c r="AM278" i="23083" l="1"/>
  <c r="AP278" i="23083"/>
  <c r="AM45" i="23083"/>
  <c r="AP46" i="23083" l="1"/>
  <c r="AP65" i="23083"/>
  <c r="AM46" i="23083"/>
  <c r="AM65" i="23083"/>
  <c r="AL42" i="23083" l="1"/>
  <c r="AL263" i="23083"/>
  <c r="AK42" i="23083"/>
  <c r="AL274" i="23083" l="1"/>
  <c r="AL264" i="23083"/>
  <c r="AK263" i="23083"/>
  <c r="AL269" i="23083" l="1"/>
  <c r="AK264" i="23083"/>
  <c r="AK274" i="23083"/>
  <c r="AL278" i="23083" l="1"/>
  <c r="AK269" i="23083"/>
  <c r="AM76" i="23083"/>
  <c r="N26" i="23134" l="1"/>
  <c r="N28" i="23134" s="1"/>
  <c r="AO5" i="23083"/>
  <c r="AN5" i="23083"/>
  <c r="AN8" i="23083" s="1"/>
  <c r="AQ56" i="23083" l="1"/>
  <c r="AQ9" i="23083"/>
  <c r="AO8" i="23083"/>
  <c r="N44" i="23134"/>
  <c r="AN56" i="23083"/>
  <c r="AN77" i="23083"/>
  <c r="AN75" i="23083"/>
  <c r="AN325" i="23083"/>
  <c r="AN78" i="23083"/>
  <c r="AN326" i="23083"/>
  <c r="U54" i="23132"/>
  <c r="AN9" i="23083"/>
  <c r="N46" i="23134"/>
  <c r="AB25" i="23134"/>
  <c r="AB11" i="23134"/>
  <c r="AB22" i="23123" l="1"/>
  <c r="AB28" i="23123" s="1"/>
  <c r="AO215" i="23083"/>
  <c r="AO75" i="23083"/>
  <c r="AO78" i="23083"/>
  <c r="AR9" i="23083"/>
  <c r="AR56" i="23083"/>
  <c r="AO326" i="23083"/>
  <c r="AO77" i="23083"/>
  <c r="AO9" i="23083"/>
  <c r="AO325" i="23083"/>
  <c r="AO212" i="23083"/>
  <c r="AO208" i="23083"/>
  <c r="AO56" i="23083"/>
  <c r="AO214" i="23083"/>
  <c r="AO213" i="23083"/>
  <c r="AN327" i="23083"/>
  <c r="AO12" i="23083"/>
  <c r="V54" i="23132"/>
  <c r="AB12" i="23134"/>
  <c r="AD12" i="23134" s="1"/>
  <c r="AD11" i="23134"/>
  <c r="AB26" i="23134"/>
  <c r="AD26" i="23134" s="1"/>
  <c r="AD25" i="23134"/>
  <c r="AR13" i="23083" l="1"/>
  <c r="AO327" i="23083"/>
  <c r="AO11" i="23083"/>
  <c r="AO24" i="23083"/>
  <c r="AO68" i="23083"/>
  <c r="AO13" i="23083"/>
  <c r="N30" i="23134"/>
  <c r="AB14" i="23134" s="1"/>
  <c r="AN12" i="23083"/>
  <c r="AQ13" i="23083" s="1"/>
  <c r="AR61" i="23083" l="1"/>
  <c r="AR25" i="23083"/>
  <c r="AO30" i="23083"/>
  <c r="AO34" i="23083" s="1"/>
  <c r="AN11" i="23083"/>
  <c r="AN24" i="23083"/>
  <c r="AN68" i="23083"/>
  <c r="AO83" i="23083"/>
  <c r="N48" i="23134"/>
  <c r="AN13" i="23083"/>
  <c r="N39" i="23134"/>
  <c r="N57" i="23134" s="1"/>
  <c r="AB15" i="23134"/>
  <c r="AD15" i="23134" s="1"/>
  <c r="AD14" i="23134"/>
  <c r="AQ25" i="23083" l="1"/>
  <c r="AQ61" i="23083"/>
  <c r="AN30" i="23083"/>
  <c r="AN34" i="23083" s="1"/>
  <c r="L15" i="23124"/>
  <c r="AO69" i="23083"/>
  <c r="AO82" i="23083"/>
  <c r="AO135" i="23083" s="1"/>
  <c r="AO209" i="23083"/>
  <c r="AO204" i="23083"/>
  <c r="AO131" i="23083"/>
  <c r="AO61" i="23083"/>
  <c r="AO223" i="23083"/>
  <c r="N32" i="23134"/>
  <c r="AO25" i="23083"/>
  <c r="AB23" i="23123"/>
  <c r="AB29" i="23123" s="1"/>
  <c r="AO84" i="23083" l="1"/>
  <c r="AO138" i="23083" s="1"/>
  <c r="AO137" i="23083"/>
  <c r="AO70" i="23083"/>
  <c r="L7" i="23124"/>
  <c r="AB24" i="23123"/>
  <c r="AB30" i="23123" s="1"/>
  <c r="N50" i="23134"/>
  <c r="AB17" i="23134"/>
  <c r="AB28" i="23134"/>
  <c r="N40" i="23134"/>
  <c r="N58" i="23134" s="1"/>
  <c r="AO139" i="23083" l="1"/>
  <c r="AO36" i="23083"/>
  <c r="AR63" i="23083" s="1"/>
  <c r="AO71" i="23083"/>
  <c r="AN69" i="23083"/>
  <c r="AN61" i="23083"/>
  <c r="AN25" i="23083"/>
  <c r="AB29" i="23134"/>
  <c r="AD29" i="23134" s="1"/>
  <c r="AD28" i="23134"/>
  <c r="L10" i="23124"/>
  <c r="L11" i="23124" s="1"/>
  <c r="AB18" i="23134"/>
  <c r="AD18" i="23134" s="1"/>
  <c r="AB20" i="23134"/>
  <c r="AD17" i="23134"/>
  <c r="AN70" i="23083" l="1"/>
  <c r="AN71" i="23083"/>
  <c r="AO238" i="23083"/>
  <c r="AO241" i="23083" s="1"/>
  <c r="AO227" i="23083" s="1"/>
  <c r="AO63" i="23083"/>
  <c r="AN36" i="23083"/>
  <c r="AQ63" i="23083" s="1"/>
  <c r="AB21" i="23134"/>
  <c r="AD21" i="23134" s="1"/>
  <c r="AD20" i="23134"/>
  <c r="AN63" i="23083" l="1"/>
  <c r="L28" i="23124" l="1"/>
  <c r="L30" i="23124" s="1"/>
  <c r="L32" i="23124" s="1"/>
  <c r="L25" i="23124" l="1"/>
  <c r="AO76" i="23083" l="1"/>
  <c r="AO72" i="23083" l="1"/>
  <c r="AO79" i="23083"/>
  <c r="AN76" i="23083" l="1"/>
  <c r="N36" i="23134"/>
  <c r="L14" i="23124"/>
  <c r="L17" i="23124" s="1"/>
  <c r="AN72" i="23083"/>
  <c r="AN79" i="23083"/>
  <c r="L24" i="23124" l="1"/>
  <c r="L26" i="23124" s="1"/>
  <c r="L21" i="23124"/>
  <c r="N41" i="23134"/>
  <c r="N59" i="23134" s="1"/>
  <c r="N54" i="23134"/>
  <c r="AO218" i="23083" l="1"/>
  <c r="AR221" i="23083" s="1"/>
  <c r="AR225" i="23083" s="1"/>
  <c r="AR228" i="23083" s="1"/>
  <c r="AO220" i="23083" l="1"/>
  <c r="AR222" i="23083" s="1"/>
  <c r="AR226" i="23083" s="1"/>
  <c r="AR230" i="23083" s="1"/>
  <c r="AO221" i="23083"/>
  <c r="AO225" i="23083" s="1"/>
  <c r="AO228" i="23083" s="1"/>
  <c r="AO222" i="23083" l="1"/>
  <c r="AO226" i="23083" s="1"/>
  <c r="AO230" i="23083" s="1"/>
  <c r="BF81" i="23086" l="1"/>
  <c r="BF80" i="23086"/>
  <c r="P26" i="23134"/>
  <c r="P28" i="23134" s="1"/>
  <c r="P46" i="23134" s="1"/>
  <c r="BG81" i="23086"/>
  <c r="BG80" i="23086"/>
  <c r="AU5" i="23083"/>
  <c r="AS5" i="23083"/>
  <c r="AS8" i="23083" s="1"/>
  <c r="BF72" i="23086"/>
  <c r="AT5" i="23083"/>
  <c r="BG72" i="23086"/>
  <c r="AS321" i="23083" l="1"/>
  <c r="BF86" i="23086"/>
  <c r="BG86" i="23086"/>
  <c r="BG77" i="23086"/>
  <c r="AT8" i="23083"/>
  <c r="P44" i="23134"/>
  <c r="AD22" i="23123"/>
  <c r="AD28" i="23123" s="1"/>
  <c r="AS77" i="23083"/>
  <c r="AS316" i="23083"/>
  <c r="AS12" i="23083" l="1"/>
  <c r="AT321" i="23083"/>
  <c r="AT320" i="23083" s="1"/>
  <c r="AT12" i="23083"/>
  <c r="AT316" i="23083"/>
  <c r="AS11" i="23083"/>
  <c r="AT78" i="23083"/>
  <c r="AT9" i="23083"/>
  <c r="AT56" i="23083"/>
  <c r="P30" i="23134"/>
  <c r="P39" i="23134" s="1"/>
  <c r="P57" i="23134" s="1"/>
  <c r="AS68" i="23083"/>
  <c r="AS320" i="23083"/>
  <c r="AT11" i="23083" l="1"/>
  <c r="AT68" i="23083"/>
  <c r="AT13" i="23083"/>
  <c r="AS319" i="23083"/>
  <c r="AS15" i="23083" s="1"/>
  <c r="AT319" i="23083"/>
  <c r="AT315" i="23083"/>
  <c r="P48" i="23134"/>
  <c r="AS315" i="23083"/>
  <c r="AT317" i="23083" l="1"/>
  <c r="AT15" i="23083"/>
  <c r="AT77" i="23083"/>
  <c r="AT325" i="23083"/>
  <c r="AT327" i="23083" s="1"/>
  <c r="AS325" i="23083"/>
  <c r="AS327" i="23083" s="1"/>
  <c r="AS317" i="23083"/>
  <c r="AT79" i="23083"/>
  <c r="AT89" i="23083"/>
  <c r="AT57" i="23083" l="1"/>
  <c r="AS75" i="23083"/>
  <c r="AT18" i="23083"/>
  <c r="AT75" i="23083"/>
  <c r="AT206" i="23083"/>
  <c r="O14" i="23124"/>
  <c r="AT208" i="23083"/>
  <c r="AS89" i="23083"/>
  <c r="AS79" i="23083"/>
  <c r="AT24" i="23083" l="1"/>
  <c r="P36" i="23134"/>
  <c r="P54" i="23134" s="1"/>
  <c r="N14" i="23124"/>
  <c r="AS208" i="23083"/>
  <c r="AS206" i="23083"/>
  <c r="AT69" i="23083" l="1"/>
  <c r="AT209" i="23083"/>
  <c r="AT82" i="23083"/>
  <c r="AT138" i="23083" s="1"/>
  <c r="AT223" i="23083"/>
  <c r="C8" i="23120"/>
  <c r="E8" i="23120" s="1"/>
  <c r="O26" i="23134" l="1"/>
  <c r="AC22" i="23123" l="1"/>
  <c r="AC28" i="23123" s="1"/>
  <c r="BF77" i="23086"/>
  <c r="O28" i="23134"/>
  <c r="O44" i="23134"/>
  <c r="AS56" i="23083" l="1"/>
  <c r="AS9" i="23083"/>
  <c r="AF25" i="23134"/>
  <c r="O46" i="23134"/>
  <c r="AF11" i="23134"/>
  <c r="AS154" i="23083" l="1"/>
  <c r="AT154" i="23083" s="1"/>
  <c r="AS147" i="23083"/>
  <c r="O30" i="23134"/>
  <c r="AF14" i="23134" s="1"/>
  <c r="AS13" i="23083"/>
  <c r="AS145" i="23083"/>
  <c r="AS213" i="23083" s="1"/>
  <c r="AS178" i="23083"/>
  <c r="AT178" i="23083" s="1"/>
  <c r="AH11" i="23134"/>
  <c r="AF12" i="23134"/>
  <c r="AH12" i="23134" s="1"/>
  <c r="AH25" i="23134"/>
  <c r="AF26" i="23134"/>
  <c r="AH26" i="23134" s="1"/>
  <c r="AT215" i="23083" l="1"/>
  <c r="AS29" i="23083"/>
  <c r="AS214" i="23083"/>
  <c r="AT147" i="23083"/>
  <c r="O48" i="23134"/>
  <c r="O39" i="23134"/>
  <c r="O57" i="23134" s="1"/>
  <c r="AS215" i="23083"/>
  <c r="AS210" i="23083"/>
  <c r="AS212" i="23083" s="1"/>
  <c r="AT145" i="23083"/>
  <c r="AH14" i="23134"/>
  <c r="AF15" i="23134"/>
  <c r="AH15" i="23134" s="1"/>
  <c r="AT213" i="23083" l="1"/>
  <c r="AT29" i="23083"/>
  <c r="AT30" i="23083" s="1"/>
  <c r="AS72" i="23083"/>
  <c r="AS57" i="23083"/>
  <c r="AT214" i="23083"/>
  <c r="AS211" i="23083"/>
  <c r="AS83" i="23083" s="1"/>
  <c r="N15" i="23124" s="1"/>
  <c r="AT210" i="23083"/>
  <c r="AT211" i="23083" s="1"/>
  <c r="AT83" i="23083" s="1"/>
  <c r="O36" i="23134"/>
  <c r="O54" i="23134" s="1"/>
  <c r="M14" i="23124"/>
  <c r="AT85" i="23083" l="1"/>
  <c r="AU29" i="23083"/>
  <c r="AT72" i="23083"/>
  <c r="AT70" i="23083"/>
  <c r="AT34" i="23083"/>
  <c r="AT131" i="23083"/>
  <c r="O7" i="23124"/>
  <c r="O10" i="23124" s="1"/>
  <c r="O11" i="23124" s="1"/>
  <c r="M15" i="23124"/>
  <c r="O32" i="23134"/>
  <c r="AF17" i="23134" s="1"/>
  <c r="AC23" i="23123"/>
  <c r="AC29" i="23123" s="1"/>
  <c r="AT212" i="23083"/>
  <c r="O15" i="23124"/>
  <c r="AT137" i="23083"/>
  <c r="AT139" i="23083" s="1"/>
  <c r="AT135" i="23083"/>
  <c r="AS162" i="23083"/>
  <c r="AC24" i="23123" l="1"/>
  <c r="AC30" i="23123" s="1"/>
  <c r="O17" i="23124"/>
  <c r="O24" i="23124" s="1"/>
  <c r="AT35" i="23083"/>
  <c r="M7" i="23124"/>
  <c r="M10" i="23124" s="1"/>
  <c r="M11" i="23124" s="1"/>
  <c r="M17" i="23124" s="1"/>
  <c r="AF28" i="23134"/>
  <c r="AF29" i="23134" s="1"/>
  <c r="AH29" i="23134" s="1"/>
  <c r="O50" i="23134"/>
  <c r="O40" i="23134"/>
  <c r="O58" i="23134" s="1"/>
  <c r="O41" i="23134"/>
  <c r="O59" i="23134" s="1"/>
  <c r="AF18" i="23134"/>
  <c r="AH18" i="23134" s="1"/>
  <c r="AH17" i="23134"/>
  <c r="AF20" i="23134"/>
  <c r="AT162" i="23083"/>
  <c r="AS156" i="23083"/>
  <c r="AT36" i="23083" l="1"/>
  <c r="C41" i="23124"/>
  <c r="C42" i="23124" s="1"/>
  <c r="C47" i="23124" s="1"/>
  <c r="C50" i="23124" s="1"/>
  <c r="O21" i="23124"/>
  <c r="AT40" i="23083"/>
  <c r="AT87" i="23083"/>
  <c r="AH28" i="23134"/>
  <c r="M21" i="23124"/>
  <c r="AS157" i="23083"/>
  <c r="AH20" i="23134"/>
  <c r="AF21" i="23134"/>
  <c r="AH21" i="23134" s="1"/>
  <c r="C43" i="23124" l="1"/>
  <c r="AT140" i="23083"/>
  <c r="AT88" i="23083"/>
  <c r="AT42" i="23083"/>
  <c r="AT259" i="23083"/>
  <c r="AT262" i="23083" l="1"/>
  <c r="AT273" i="23083"/>
  <c r="AT274" i="23083"/>
  <c r="AT90" i="23083"/>
  <c r="AT285" i="23083" l="1"/>
  <c r="AT289" i="23083" s="1"/>
  <c r="AT272" i="23083"/>
  <c r="AT282" i="23083"/>
  <c r="AT284" i="23083" s="1"/>
  <c r="AT288" i="23083" s="1"/>
  <c r="AT264" i="23083"/>
  <c r="AT269" i="23083" s="1"/>
  <c r="AT267" i="23083"/>
  <c r="AT268" i="23083"/>
  <c r="AT45" i="23083" l="1"/>
  <c r="AT48" i="23083" l="1"/>
  <c r="AT50" i="23083"/>
  <c r="AT49" i="23083" l="1"/>
  <c r="AT292" i="23083" s="1"/>
  <c r="AT51" i="23083"/>
  <c r="AT53" i="23083" s="1"/>
  <c r="O28" i="23124"/>
  <c r="O30" i="23124" s="1"/>
  <c r="O32" i="23124" l="1"/>
  <c r="O33" i="23124"/>
  <c r="AO40" i="23083" l="1"/>
  <c r="AR64" i="23083" s="1"/>
  <c r="AO53" i="23083" l="1"/>
  <c r="AN40" i="23083"/>
  <c r="AQ64" i="23083" s="1"/>
  <c r="AO52" i="23083"/>
  <c r="AO42" i="23083"/>
  <c r="AO259" i="23083"/>
  <c r="AN259" i="23083" s="1"/>
  <c r="AB25" i="23123"/>
  <c r="AB31" i="23123" s="1"/>
  <c r="N34" i="23134"/>
  <c r="AB36" i="23134" s="1"/>
  <c r="AO64" i="23083"/>
  <c r="AN42" i="23083" l="1"/>
  <c r="AN64" i="23083"/>
  <c r="AO274" i="23083"/>
  <c r="AO273" i="23083"/>
  <c r="AN273" i="23083" s="1"/>
  <c r="AO262" i="23083"/>
  <c r="AB37" i="23134"/>
  <c r="AD37" i="23134" s="1"/>
  <c r="AD36" i="23134"/>
  <c r="AO282" i="23083" l="1"/>
  <c r="AO284" i="23083" s="1"/>
  <c r="AO288" i="23083" s="1"/>
  <c r="AO267" i="23083"/>
  <c r="AR277" i="23083" s="1"/>
  <c r="AO272" i="23083"/>
  <c r="AO264" i="23083"/>
  <c r="AN262" i="23083"/>
  <c r="AN267" i="23083" s="1"/>
  <c r="AO268" i="23083"/>
  <c r="AN268" i="23083" s="1"/>
  <c r="AN274" i="23083"/>
  <c r="AN272" i="23083" l="1"/>
  <c r="AO269" i="23083"/>
  <c r="AR278" i="23083" s="1"/>
  <c r="AN264" i="23083"/>
  <c r="AO277" i="23083"/>
  <c r="AO45" i="23083"/>
  <c r="AR65" i="23083" l="1"/>
  <c r="AR46" i="23083"/>
  <c r="AN269" i="23083"/>
  <c r="AO278" i="23083"/>
  <c r="AO46" i="23083"/>
  <c r="AO65" i="23083"/>
  <c r="AN45" i="23083"/>
  <c r="AB26" i="23123"/>
  <c r="AB32" i="23123" s="1"/>
  <c r="AQ46" i="23083" l="1"/>
  <c r="AQ65" i="23083"/>
  <c r="AN65" i="23083"/>
  <c r="AN46" i="23083"/>
  <c r="M23" i="23124" l="1"/>
  <c r="M24" i="23124" s="1"/>
  <c r="O34" i="23134" l="1"/>
  <c r="AF36" i="23134" s="1"/>
  <c r="AF37" i="23134" s="1"/>
  <c r="AH37" i="23134" s="1"/>
  <c r="AC25" i="23123"/>
  <c r="AC31" i="23123" s="1"/>
  <c r="AH36" i="23134" l="1"/>
  <c r="AC26" i="23123" l="1"/>
  <c r="AC32" i="23123" s="1"/>
  <c r="M25" i="23124" l="1"/>
  <c r="M26" i="23124" s="1"/>
  <c r="M28" i="23124"/>
  <c r="M30" i="23124" s="1"/>
  <c r="M32" i="23124" s="1"/>
  <c r="AS112" i="23083" l="1"/>
  <c r="AS126" i="23083" l="1"/>
  <c r="AS118" i="23083"/>
  <c r="AP156" i="23083" l="1"/>
  <c r="AZ133" i="23086" l="1"/>
  <c r="BC139" i="23086" s="1"/>
  <c r="BF194" i="23086" l="1"/>
  <c r="BF195" i="23086" s="1"/>
  <c r="BG194" i="23086" l="1"/>
  <c r="BG195" i="23086" s="1"/>
  <c r="AS78" i="23083" l="1"/>
  <c r="AS18" i="23083"/>
  <c r="AS24" i="23083" l="1"/>
  <c r="AD23" i="23123" s="1"/>
  <c r="AD29" i="23123" s="1"/>
  <c r="P32" i="23134"/>
  <c r="AS69" i="23083"/>
  <c r="AT25" i="23083"/>
  <c r="AS209" i="23083"/>
  <c r="AS25" i="23083"/>
  <c r="AS82" i="23083"/>
  <c r="AS19" i="23083"/>
  <c r="AT19" i="23083"/>
  <c r="AS60" i="23083"/>
  <c r="AT60" i="23083"/>
  <c r="AS61" i="23083" l="1"/>
  <c r="AT61" i="23083"/>
  <c r="AS223" i="23083"/>
  <c r="AS138" i="23083"/>
  <c r="AS137" i="23083"/>
  <c r="AS85" i="23083"/>
  <c r="P41" i="23134"/>
  <c r="P59" i="23134" s="1"/>
  <c r="P40" i="23134"/>
  <c r="P58" i="23134" s="1"/>
  <c r="P50" i="23134"/>
  <c r="AS139" i="23083" l="1"/>
  <c r="AS135" i="23083"/>
  <c r="AS163" i="23083" l="1"/>
  <c r="AS30" i="23083"/>
  <c r="AS34" i="23083" l="1"/>
  <c r="AD24" i="23123"/>
  <c r="AD30" i="23123" s="1"/>
  <c r="N7" i="23124"/>
  <c r="AS131" i="23083"/>
  <c r="AS70" i="23083"/>
  <c r="AT163" i="23083"/>
  <c r="AS164" i="23083"/>
  <c r="AS35" i="23083" l="1"/>
  <c r="AS87" i="23083" s="1"/>
  <c r="AS180" i="23083" s="1"/>
  <c r="N10" i="23124"/>
  <c r="N11" i="23124" s="1"/>
  <c r="N17" i="23124" s="1"/>
  <c r="AT156" i="23083"/>
  <c r="AS297" i="23083"/>
  <c r="AS172" i="23083"/>
  <c r="AU163" i="23083"/>
  <c r="AT164" i="23083"/>
  <c r="AS36" i="23083" l="1"/>
  <c r="AS40" i="23083" s="1"/>
  <c r="AS182" i="23083"/>
  <c r="AT180" i="23083"/>
  <c r="AT157" i="23083"/>
  <c r="AT297" i="23083"/>
  <c r="AS140" i="23083"/>
  <c r="AS88" i="23083"/>
  <c r="N21" i="23124"/>
  <c r="C49" i="23124" s="1"/>
  <c r="C51" i="23124" s="1"/>
  <c r="N24" i="23124"/>
  <c r="AU156" i="23083" l="1"/>
  <c r="AS63" i="23083"/>
  <c r="AT63" i="23083"/>
  <c r="AS90" i="23083"/>
  <c r="AT172" i="23083"/>
  <c r="AT182" i="23083"/>
  <c r="AU157" i="23083"/>
  <c r="AD25" i="23123"/>
  <c r="AD31" i="23123" s="1"/>
  <c r="P34" i="23134"/>
  <c r="AS64" i="23083"/>
  <c r="AT64" i="23083"/>
  <c r="AS259" i="23083"/>
  <c r="AS42" i="23083"/>
  <c r="AS273" i="23083" l="1"/>
  <c r="AS262" i="23083"/>
  <c r="AS274" i="23083"/>
  <c r="AS285" i="23083"/>
  <c r="AS289" i="23083" s="1"/>
  <c r="AS272" i="23083" l="1"/>
  <c r="AS264" i="23083"/>
  <c r="AS269" i="23083" s="1"/>
  <c r="AS268" i="23083"/>
  <c r="AS282" i="23083"/>
  <c r="AS284" i="23083" s="1"/>
  <c r="AS288" i="23083" s="1"/>
  <c r="AS267" i="23083"/>
  <c r="AS278" i="23083" l="1"/>
  <c r="AT278" i="23083"/>
  <c r="AS277" i="23083"/>
  <c r="AT277" i="23083"/>
  <c r="AS45" i="23083"/>
  <c r="AT46" i="23083" l="1"/>
  <c r="AT65" i="23083"/>
  <c r="AD26" i="23123"/>
  <c r="AD32" i="23123" s="1"/>
  <c r="AS48" i="23083"/>
  <c r="AS65" i="23083"/>
  <c r="AS46" i="23083"/>
  <c r="AS50" i="23083"/>
  <c r="N28" i="23124" l="1"/>
  <c r="N30" i="23124" s="1"/>
  <c r="N32" i="23124" s="1"/>
  <c r="C58" i="23124" s="1"/>
  <c r="AS49" i="23083"/>
  <c r="AT91" i="23083" s="1"/>
  <c r="AS51" i="23083"/>
  <c r="AS53" i="23083" s="1"/>
  <c r="AS91" i="23083"/>
  <c r="AT92" i="23083" l="1"/>
  <c r="AT107" i="23083" s="1"/>
  <c r="O25" i="23124"/>
  <c r="O26" i="23124" s="1"/>
  <c r="N25" i="23124"/>
  <c r="N26" i="23124" s="1"/>
  <c r="AS92" i="23083"/>
  <c r="AS107" i="23083" s="1"/>
  <c r="AS196" i="23083"/>
  <c r="AS292" i="23083"/>
  <c r="AS198" i="23083" l="1"/>
  <c r="AT196" i="23083"/>
  <c r="AS108" i="23083"/>
  <c r="AS109" i="23083" s="1"/>
  <c r="AT198" i="23083" l="1"/>
  <c r="AS296" i="23083"/>
  <c r="AS185" i="23083"/>
  <c r="AS299" i="23083" l="1"/>
  <c r="AS298" i="23083"/>
  <c r="AS300" i="23083" s="1"/>
  <c r="AS189" i="23083"/>
  <c r="AS144" i="23083"/>
  <c r="AS113" i="23083"/>
  <c r="AT108" i="23083"/>
  <c r="AT296" i="23083"/>
  <c r="AT298" i="23083" l="1"/>
  <c r="AT300" i="23083" s="1"/>
  <c r="AT299" i="23083"/>
  <c r="AT109" i="23083"/>
  <c r="AS119" i="23083"/>
  <c r="AS127" i="23083" s="1"/>
  <c r="AS150" i="23083"/>
  <c r="AS191" i="23083"/>
  <c r="AS218" i="23083"/>
  <c r="AS114" i="23083"/>
  <c r="AS115" i="23083" s="1"/>
  <c r="AT112" i="23083"/>
  <c r="AT185" i="23083"/>
  <c r="AS220" i="23083" l="1"/>
  <c r="AS221" i="23083"/>
  <c r="AS225" i="23083" s="1"/>
  <c r="AS228" i="23083" s="1"/>
  <c r="AT189" i="23083"/>
  <c r="AT144" i="23083"/>
  <c r="AT113" i="23083"/>
  <c r="AS174" i="23083"/>
  <c r="AS120" i="23083"/>
  <c r="AS121" i="23083" s="1"/>
  <c r="AS123" i="23083" s="1"/>
  <c r="AS124" i="23083" s="1"/>
  <c r="AT118" i="23083"/>
  <c r="AS128" i="23083"/>
  <c r="AS204" i="23083"/>
  <c r="AS203" i="23083"/>
  <c r="E10" i="23120"/>
  <c r="AS202" i="23083"/>
  <c r="AT126" i="23083"/>
  <c r="AS199" i="23083" l="1"/>
  <c r="AS200" i="23083" s="1"/>
  <c r="AU112" i="23083"/>
  <c r="AS222" i="23083"/>
  <c r="AS226" i="23083" s="1"/>
  <c r="AS230" i="23083" s="1"/>
  <c r="AS130" i="23083"/>
  <c r="AS310" i="23083"/>
  <c r="AS311" i="23083" s="1"/>
  <c r="E11" i="23120"/>
  <c r="E15" i="23120" s="1"/>
  <c r="C53" i="23124"/>
  <c r="C55" i="23124" s="1"/>
  <c r="C57" i="23124" s="1"/>
  <c r="C59" i="23124" s="1"/>
  <c r="AT191" i="23083"/>
  <c r="AT218" i="23083"/>
  <c r="AT114" i="23083"/>
  <c r="AT115" i="23083" s="1"/>
  <c r="AT119" i="23083"/>
  <c r="AU118" i="23083" s="1"/>
  <c r="AT150" i="23083"/>
  <c r="AT127" i="23083" l="1"/>
  <c r="AT174" i="23083"/>
  <c r="AT220" i="23083"/>
  <c r="AT221" i="23083"/>
  <c r="AT225" i="23083" s="1"/>
  <c r="AT228" i="23083" s="1"/>
  <c r="AT120" i="23083"/>
  <c r="AT121" i="23083" s="1"/>
  <c r="AT123" i="23083" s="1"/>
  <c r="AT124" i="23083" s="1"/>
  <c r="F42" i="23124"/>
  <c r="C61" i="23124"/>
  <c r="H15" i="23123"/>
  <c r="I15" i="23123" s="1"/>
  <c r="AT199" i="23083" l="1"/>
  <c r="AT200" i="23083" s="1"/>
  <c r="AT204" i="23083"/>
  <c r="AT202" i="23083"/>
  <c r="AT203" i="23083"/>
  <c r="AU126" i="23083"/>
  <c r="AT128" i="23083"/>
  <c r="AT222" i="23083"/>
  <c r="AT226" i="23083" s="1"/>
  <c r="AT230" i="23083" s="1"/>
  <c r="AT310" i="23083" l="1"/>
  <c r="AT311" i="23083" s="1"/>
  <c r="AT130" i="23083"/>
  <c r="BH146" i="23086"/>
  <c r="BH152" i="23086" s="1"/>
  <c r="BH145" i="23086"/>
  <c r="BH194" i="23086"/>
  <c r="BH195" i="23086" s="1"/>
  <c r="BH151" i="23086" l="1"/>
  <c r="BH147" i="23086"/>
  <c r="BH153" i="23086" l="1"/>
  <c r="BH71" i="23086"/>
  <c r="BH72" i="23086" l="1"/>
  <c r="AU6" i="23083"/>
  <c r="AU8" i="23083" s="1"/>
  <c r="BH81" i="23086"/>
  <c r="BH80" i="23086"/>
  <c r="BH86" i="23086" l="1"/>
  <c r="BH77" i="23086"/>
  <c r="AU56" i="23083"/>
  <c r="AU316" i="23083"/>
  <c r="AU78" i="23083"/>
  <c r="AU321" i="23083"/>
  <c r="AU77" i="23083"/>
  <c r="AU9" i="23083"/>
  <c r="AU145" i="23083" l="1"/>
  <c r="AU147" i="23083"/>
  <c r="AU154" i="23083"/>
  <c r="AU178" i="23083"/>
  <c r="AU320" i="23083"/>
  <c r="AU12" i="23083"/>
  <c r="AU315" i="23083" l="1"/>
  <c r="AU319" i="23083"/>
  <c r="AU13" i="23083"/>
  <c r="AU68" i="23083"/>
  <c r="AU11" i="23083"/>
  <c r="AU215" i="23083"/>
  <c r="AU214" i="23083"/>
  <c r="AU210" i="23083"/>
  <c r="AU213" i="23083"/>
  <c r="AU15" i="23083" l="1"/>
  <c r="AU211" i="23083"/>
  <c r="AU83" i="23083" s="1"/>
  <c r="AU212" i="23083"/>
  <c r="AU325" i="23083"/>
  <c r="AU327" i="23083" s="1"/>
  <c r="AU317" i="23083"/>
  <c r="AU72" i="23083" s="1"/>
  <c r="AU89" i="23083" l="1"/>
  <c r="AU79" i="23083"/>
  <c r="AU18" i="23083"/>
  <c r="AU57" i="23083"/>
  <c r="AU75" i="23083"/>
  <c r="AU19" i="23083" l="1"/>
  <c r="AU60" i="23083"/>
  <c r="AU24" i="23083"/>
  <c r="AU208" i="23083"/>
  <c r="AU162" i="23083"/>
  <c r="AU206" i="23083"/>
  <c r="AU209" i="23083" l="1"/>
  <c r="AU223" i="23083"/>
  <c r="AU69" i="23083"/>
  <c r="AU30" i="23083"/>
  <c r="AU61" i="23083"/>
  <c r="AU25" i="23083"/>
  <c r="AU82" i="23083"/>
  <c r="AU164" i="23083"/>
  <c r="AU34" i="23083" l="1"/>
  <c r="AU131" i="23083"/>
  <c r="AU70" i="23083"/>
  <c r="AU297" i="23083"/>
  <c r="AU172" i="23083"/>
  <c r="AU85" i="23083"/>
  <c r="AU138" i="23083"/>
  <c r="AU137" i="23083"/>
  <c r="AU139" i="23083" l="1"/>
  <c r="AU35" i="23083"/>
  <c r="AU135" i="23083"/>
  <c r="AU36" i="23083" l="1"/>
  <c r="AU40" i="23083" s="1"/>
  <c r="AU87" i="23083"/>
  <c r="AU180" i="23083" s="1"/>
  <c r="AU63" i="23083"/>
  <c r="AU259" i="23083" l="1"/>
  <c r="AU42" i="23083"/>
  <c r="AU64" i="23083"/>
  <c r="AU140" i="23083"/>
  <c r="AU88" i="23083"/>
  <c r="AU182" i="23083"/>
  <c r="AU90" i="23083" l="1"/>
  <c r="AU285" i="23083"/>
  <c r="AU289" i="23083" s="1"/>
  <c r="AU273" i="23083"/>
  <c r="AU262" i="23083"/>
  <c r="AU274" i="23083"/>
  <c r="AU272" i="23083" l="1"/>
  <c r="AU267" i="23083"/>
  <c r="AU268" i="23083"/>
  <c r="AU264" i="23083"/>
  <c r="AU269" i="23083" s="1"/>
  <c r="AU282" i="23083"/>
  <c r="AU284" i="23083" s="1"/>
  <c r="AU288" i="23083" s="1"/>
  <c r="AU45" i="23083" l="1"/>
  <c r="AU277" i="23083"/>
  <c r="AU278" i="23083"/>
  <c r="AU48" i="23083" l="1"/>
  <c r="AU65" i="23083"/>
  <c r="AU50" i="23083"/>
  <c r="AU46" i="23083"/>
  <c r="AU91" i="23083" l="1"/>
  <c r="AU51" i="23083"/>
  <c r="AU53" i="23083" s="1"/>
  <c r="AU49" i="23083"/>
  <c r="AU292" i="23083" l="1"/>
  <c r="AU196" i="23083"/>
  <c r="AU92" i="23083"/>
  <c r="AU107" i="23083" s="1"/>
  <c r="AU198" i="23083" l="1"/>
  <c r="AU108" i="23083"/>
  <c r="AU185" i="23083" l="1"/>
  <c r="AU189" i="23083" s="1"/>
  <c r="AU109" i="23083"/>
  <c r="AU113" i="23083"/>
  <c r="AU144" i="23083"/>
  <c r="AU296" i="23083"/>
  <c r="AU191" i="23083" l="1"/>
  <c r="AU299" i="23083"/>
  <c r="AU298" i="23083"/>
  <c r="AU300" i="23083" s="1"/>
  <c r="AU114" i="23083"/>
  <c r="AU115" i="23083" s="1"/>
  <c r="AU218" i="23083"/>
  <c r="AU150" i="23083"/>
  <c r="AU119" i="23083"/>
  <c r="AU127" i="23083" s="1"/>
  <c r="AU174" i="23083" l="1"/>
  <c r="AU203" i="23083"/>
  <c r="AU202" i="23083"/>
  <c r="AU204" i="23083"/>
  <c r="AU128" i="23083"/>
  <c r="AU120" i="23083"/>
  <c r="AU121" i="23083" s="1"/>
  <c r="AU123" i="23083" s="1"/>
  <c r="AU124" i="23083" s="1"/>
  <c r="AU220" i="23083"/>
  <c r="AU221" i="23083"/>
  <c r="AU225" i="23083" s="1"/>
  <c r="AU228" i="23083" s="1"/>
  <c r="AU199" i="23083" l="1"/>
  <c r="AU200" i="23083" s="1"/>
  <c r="AU222" i="23083"/>
  <c r="AU226" i="23083" s="1"/>
  <c r="AU230" i="23083" s="1"/>
  <c r="AU130" i="23083"/>
  <c r="AU310" i="23083"/>
  <c r="AU311" i="23083" s="1"/>
  <c r="BT102" i="23140" l="1"/>
  <c r="BR102" i="23140"/>
  <c r="BR96" i="23140" l="1"/>
  <c r="BT107" i="23140"/>
  <c r="BR107" i="23140"/>
  <c r="BR103" i="23140" l="1"/>
  <c r="BT98" i="23140"/>
  <c r="BR109" i="23140"/>
  <c r="BR88" i="23140" s="1"/>
  <c r="BR115" i="23140"/>
  <c r="BT109" i="23140"/>
  <c r="BT88" i="23140" s="1"/>
  <c r="BR98" i="23140"/>
  <c r="BT90" i="23140" l="1"/>
  <c r="BR117" i="23140"/>
  <c r="BT117" i="23140"/>
  <c r="BR90" i="23140"/>
  <c r="BQ14" i="23141" l="1"/>
  <c r="BQ101" i="23141"/>
  <c r="BQ103" i="23141" s="1"/>
  <c r="BT135" i="23140" l="1"/>
  <c r="BT136" i="23140" s="1"/>
  <c r="BQ54" i="23141"/>
  <c r="BQ57" i="23141" s="1"/>
  <c r="BR128" i="23141"/>
  <c r="BQ128" i="23141"/>
  <c r="BQ59" i="23141" l="1"/>
  <c r="BQ60" i="23141"/>
  <c r="BQ98" i="23141" l="1"/>
  <c r="BR143" i="23141"/>
  <c r="BQ63" i="23141"/>
  <c r="BQ143" i="23141"/>
  <c r="BN102" i="23141"/>
  <c r="BN104" i="23141" s="1"/>
  <c r="BO102" i="23140" l="1"/>
  <c r="BM102" i="23140"/>
  <c r="BM101" i="23140"/>
  <c r="BR101" i="23140"/>
  <c r="BQ75" i="23141"/>
  <c r="BQ76" i="23141"/>
  <c r="BQ135" i="23140"/>
  <c r="BQ136" i="23140" s="1"/>
  <c r="BR135" i="23140"/>
  <c r="BR136" i="23140" s="1"/>
  <c r="BM96" i="23140" l="1"/>
  <c r="BM107" i="23140"/>
  <c r="BM106" i="23140"/>
  <c r="BO107" i="23140"/>
  <c r="BR106" i="23140"/>
  <c r="BN87" i="23141" l="1"/>
  <c r="BN85" i="23141"/>
  <c r="BN90" i="23141"/>
  <c r="BN95" i="23141"/>
  <c r="BN93" i="23141"/>
  <c r="BN88" i="23141"/>
  <c r="BN89" i="23141"/>
  <c r="BN94" i="23141"/>
  <c r="BN175" i="23140"/>
  <c r="BO98" i="23140"/>
  <c r="BM98" i="23140"/>
  <c r="BM97" i="23140"/>
  <c r="BM115" i="23140"/>
  <c r="BO109" i="23140"/>
  <c r="BO88" i="23140" s="1"/>
  <c r="BM109" i="23140"/>
  <c r="BM88" i="23140" s="1"/>
  <c r="BR97" i="23140"/>
  <c r="BM103" i="23140"/>
  <c r="BP135" i="23140" l="1"/>
  <c r="BP136" i="23140" s="1"/>
  <c r="BM89" i="23140"/>
  <c r="BM90" i="23140"/>
  <c r="BR89" i="23140"/>
  <c r="BP90" i="23140"/>
  <c r="BO90" i="23140"/>
  <c r="BO89" i="23140"/>
  <c r="BT89" i="23140"/>
  <c r="BM116" i="23140"/>
  <c r="BM117" i="23140"/>
  <c r="BO117" i="23140"/>
  <c r="BR116" i="23140"/>
  <c r="BL101" i="23141" l="1"/>
  <c r="BL103" i="23141" s="1"/>
  <c r="BL14" i="23141"/>
  <c r="BL128" i="23141" l="1"/>
  <c r="BL108" i="23141"/>
  <c r="BL54" i="23141"/>
  <c r="BL57" i="23141" s="1"/>
  <c r="BM128" i="23141"/>
  <c r="BQ108" i="23141"/>
  <c r="BN101" i="23141"/>
  <c r="BN103" i="23141" s="1"/>
  <c r="BN14" i="23141"/>
  <c r="BL60" i="23141" l="1"/>
  <c r="BL59" i="23141"/>
  <c r="BO135" i="23140"/>
  <c r="BO136" i="23140" s="1"/>
  <c r="BN96" i="23141"/>
  <c r="BN97" i="23141"/>
  <c r="DC14" i="23141"/>
  <c r="BN54" i="23141"/>
  <c r="BN27" i="23141"/>
  <c r="BN64" i="23141"/>
  <c r="DC64" i="23141" l="1"/>
  <c r="BN67" i="23141"/>
  <c r="BN91" i="23141"/>
  <c r="BN177" i="23140"/>
  <c r="DC27" i="23141"/>
  <c r="BN86" i="23141"/>
  <c r="DC54" i="23141"/>
  <c r="BN57" i="23141"/>
  <c r="BL123" i="23141"/>
  <c r="BL143" i="23141"/>
  <c r="BL98" i="23141"/>
  <c r="BM143" i="23141"/>
  <c r="BL63" i="23141"/>
  <c r="BQ123" i="23141"/>
  <c r="DC57" i="23141" l="1"/>
  <c r="BN59" i="23141"/>
  <c r="BN60" i="23141"/>
  <c r="BL76" i="23141"/>
  <c r="BL75" i="23141"/>
  <c r="BN92" i="23141"/>
  <c r="BN70" i="23141"/>
  <c r="DC67" i="23141"/>
  <c r="BN183" i="23140"/>
  <c r="DC60" i="23141" l="1"/>
  <c r="BN98" i="23141"/>
  <c r="BN63" i="23141"/>
  <c r="DC70" i="23141"/>
  <c r="BN73" i="23141"/>
  <c r="BN99" i="23141" l="1"/>
  <c r="DC73" i="23141"/>
  <c r="BN77" i="23141"/>
  <c r="DC77" i="23141" s="1"/>
  <c r="DC63" i="23141"/>
  <c r="BN75" i="23141"/>
  <c r="DC75" i="23141" s="1"/>
  <c r="BN76" i="23141"/>
  <c r="DC76" i="23141" s="1"/>
  <c r="BM135" i="23140" l="1"/>
  <c r="BM136" i="23140" s="1"/>
  <c r="BL135" i="23140" l="1"/>
  <c r="BL136" i="23140" s="1"/>
  <c r="BK135" i="23140" l="1"/>
  <c r="BK136" i="23140" s="1"/>
  <c r="BJ135" i="23140" l="1"/>
  <c r="BJ136" i="23140" s="1"/>
  <c r="AP135" i="23140" l="1"/>
  <c r="AP136" i="23140" s="1"/>
  <c r="BD102" i="23141"/>
  <c r="BD104" i="23141" s="1"/>
  <c r="AY102" i="23141"/>
  <c r="AY104" i="23141" s="1"/>
  <c r="AR102" i="23141"/>
  <c r="AR104" i="23141" s="1"/>
  <c r="AQ101" i="23141" l="1"/>
  <c r="AQ103" i="23141" s="1"/>
  <c r="AQ14" i="23141"/>
  <c r="BH135" i="23140"/>
  <c r="BH136" i="23140" s="1"/>
  <c r="AT106" i="23140"/>
  <c r="AU105" i="23140"/>
  <c r="AO96" i="23140"/>
  <c r="AO103" i="23140" s="1"/>
  <c r="AY106" i="23140"/>
  <c r="BD106" i="23140"/>
  <c r="BA131" i="23140"/>
  <c r="BA132" i="23140" s="1"/>
  <c r="AZ131" i="23140"/>
  <c r="AZ132" i="23140" s="1"/>
  <c r="BB131" i="23140"/>
  <c r="BB132" i="23140" s="1"/>
  <c r="AX131" i="23140"/>
  <c r="AX132" i="23140" s="1"/>
  <c r="AT96" i="23140"/>
  <c r="AT103" i="23140" s="1"/>
  <c r="AU100" i="23140"/>
  <c r="AT101" i="23140"/>
  <c r="AP101" i="23141"/>
  <c r="AP103" i="23141" s="1"/>
  <c r="AP14" i="23141"/>
  <c r="AY96" i="23140"/>
  <c r="AY103" i="23140" s="1"/>
  <c r="AY101" i="23140"/>
  <c r="BD96" i="23140"/>
  <c r="BD103" i="23140" s="1"/>
  <c r="BD101" i="23140"/>
  <c r="AS102" i="23141"/>
  <c r="AS104" i="23141" s="1"/>
  <c r="AX135" i="23140"/>
  <c r="AX136" i="23140" s="1"/>
  <c r="AP27" i="23141" l="1"/>
  <c r="AP16" i="23141"/>
  <c r="AP54" i="23141"/>
  <c r="AP57" i="23141" s="1"/>
  <c r="AY132" i="23140"/>
  <c r="CZ130" i="23140"/>
  <c r="BD115" i="23140"/>
  <c r="BD109" i="23140"/>
  <c r="BD97" i="23140"/>
  <c r="AV107" i="23140"/>
  <c r="AZ106" i="23140"/>
  <c r="AV108" i="23141"/>
  <c r="AQ54" i="23141"/>
  <c r="AQ57" i="23141" s="1"/>
  <c r="AQ27" i="23141"/>
  <c r="AQ128" i="23141"/>
  <c r="AQ16" i="23141"/>
  <c r="AZ101" i="23140"/>
  <c r="AU96" i="23140"/>
  <c r="AV102" i="23140"/>
  <c r="AR101" i="23141"/>
  <c r="AR103" i="23141" s="1"/>
  <c r="AR14" i="23141"/>
  <c r="AY97" i="23140"/>
  <c r="AY115" i="23140"/>
  <c r="AY109" i="23140"/>
  <c r="AT97" i="23140"/>
  <c r="AT115" i="23140"/>
  <c r="AS115" i="23140" s="1"/>
  <c r="AX116" i="23140" s="1"/>
  <c r="AT109" i="23140"/>
  <c r="AY116" i="23140" l="1"/>
  <c r="AS101" i="23141"/>
  <c r="AS103" i="23141" s="1"/>
  <c r="AS14" i="23141"/>
  <c r="AQ60" i="23141"/>
  <c r="AQ59" i="23141"/>
  <c r="BD116" i="23140"/>
  <c r="AY88" i="23140"/>
  <c r="AV98" i="23140"/>
  <c r="AZ97" i="23140"/>
  <c r="AV109" i="23140"/>
  <c r="AV88" i="23140" s="1"/>
  <c r="AU109" i="23140"/>
  <c r="AU88" i="23140" s="1"/>
  <c r="AZ89" i="23140" s="1"/>
  <c r="AQ175" i="23140"/>
  <c r="AQ85" i="23141"/>
  <c r="AQ96" i="23141"/>
  <c r="AQ95" i="23141"/>
  <c r="AQ129" i="23141"/>
  <c r="AQ93" i="23141"/>
  <c r="AQ89" i="23141"/>
  <c r="AQ90" i="23141"/>
  <c r="AV109" i="23141"/>
  <c r="AQ97" i="23141"/>
  <c r="AQ88" i="23141"/>
  <c r="AQ94" i="23141"/>
  <c r="AQ87" i="23141"/>
  <c r="AP60" i="23141"/>
  <c r="AP59" i="23141"/>
  <c r="AY136" i="23140"/>
  <c r="CZ134" i="23140"/>
  <c r="CY109" i="23140"/>
  <c r="AT88" i="23140"/>
  <c r="CY88" i="23140" s="1"/>
  <c r="AR27" i="23141"/>
  <c r="AW108" i="23141"/>
  <c r="AR54" i="23141"/>
  <c r="AR57" i="23141" s="1"/>
  <c r="AR128" i="23141"/>
  <c r="AR16" i="23141"/>
  <c r="AP175" i="23140"/>
  <c r="AP85" i="23141"/>
  <c r="AP87" i="23141"/>
  <c r="AP93" i="23141"/>
  <c r="AP90" i="23141"/>
  <c r="AP88" i="23141"/>
  <c r="AP89" i="23141"/>
  <c r="AP95" i="23141"/>
  <c r="AP97" i="23141"/>
  <c r="AP94" i="23141"/>
  <c r="AP96" i="23141"/>
  <c r="AQ177" i="23140"/>
  <c r="AQ131" i="23141"/>
  <c r="AV111" i="23141"/>
  <c r="AQ86" i="23141"/>
  <c r="AQ64" i="23141"/>
  <c r="BD88" i="23140"/>
  <c r="DA109" i="23140"/>
  <c r="AP177" i="23140"/>
  <c r="AP86" i="23141"/>
  <c r="AP64" i="23141"/>
  <c r="AY89" i="23140" l="1"/>
  <c r="CZ88" i="23140"/>
  <c r="AR175" i="23140"/>
  <c r="AR97" i="23141"/>
  <c r="AW109" i="23141"/>
  <c r="AR89" i="23141"/>
  <c r="AR93" i="23141"/>
  <c r="AR88" i="23141"/>
  <c r="AR90" i="23141"/>
  <c r="AR94" i="23141"/>
  <c r="AR87" i="23141"/>
  <c r="AR129" i="23141"/>
  <c r="AR95" i="23141"/>
  <c r="AR96" i="23141"/>
  <c r="AR85" i="23141"/>
  <c r="DA88" i="23140"/>
  <c r="BD89" i="23140"/>
  <c r="AV90" i="23140"/>
  <c r="BA89" i="23140"/>
  <c r="AW90" i="23140"/>
  <c r="AQ67" i="23141"/>
  <c r="AQ136" i="23141"/>
  <c r="AV116" i="23141"/>
  <c r="AQ91" i="23141"/>
  <c r="AR59" i="23141"/>
  <c r="AR60" i="23141"/>
  <c r="AQ63" i="23141"/>
  <c r="AQ98" i="23141"/>
  <c r="AQ143" i="23141"/>
  <c r="AV123" i="23141"/>
  <c r="AP91" i="23141"/>
  <c r="AP67" i="23141"/>
  <c r="AS27" i="23141"/>
  <c r="AS16" i="23141"/>
  <c r="AS128" i="23141"/>
  <c r="AS54" i="23141"/>
  <c r="AS57" i="23141" s="1"/>
  <c r="AX108" i="23141"/>
  <c r="AR177" i="23140"/>
  <c r="AR86" i="23141"/>
  <c r="AR64" i="23141"/>
  <c r="AW111" i="23141"/>
  <c r="AR131" i="23141"/>
  <c r="AP63" i="23141"/>
  <c r="AP98" i="23141"/>
  <c r="CZ109" i="23140"/>
  <c r="AS60" i="23141" l="1"/>
  <c r="AS59" i="23141"/>
  <c r="AW116" i="23141"/>
  <c r="AR136" i="23141"/>
  <c r="AR91" i="23141"/>
  <c r="AR67" i="23141"/>
  <c r="AS175" i="23140"/>
  <c r="AS129" i="23141"/>
  <c r="AS97" i="23141"/>
  <c r="AS94" i="23141"/>
  <c r="AS87" i="23141"/>
  <c r="AS88" i="23141"/>
  <c r="AS85" i="23141"/>
  <c r="AS96" i="23141"/>
  <c r="AS95" i="23141"/>
  <c r="AS90" i="23141"/>
  <c r="AS93" i="23141"/>
  <c r="AS89" i="23141"/>
  <c r="AS177" i="23140"/>
  <c r="AS131" i="23141"/>
  <c r="AS64" i="23141"/>
  <c r="AS86" i="23141"/>
  <c r="AQ183" i="23140"/>
  <c r="AV117" i="23141"/>
  <c r="AQ137" i="23141"/>
  <c r="AQ92" i="23141"/>
  <c r="AP183" i="23140"/>
  <c r="AP92" i="23141"/>
  <c r="AR98" i="23141"/>
  <c r="AW123" i="23141"/>
  <c r="AR63" i="23141"/>
  <c r="AR143" i="23141"/>
  <c r="AR183" i="23140" l="1"/>
  <c r="AR137" i="23141"/>
  <c r="AR92" i="23141"/>
  <c r="AW117" i="23141"/>
  <c r="AS91" i="23141"/>
  <c r="AS136" i="23141"/>
  <c r="AS67" i="23141"/>
  <c r="AS143" i="23141"/>
  <c r="AS98" i="23141"/>
  <c r="AS63" i="23141"/>
  <c r="AX123" i="23141"/>
  <c r="AS183" i="23140" l="1"/>
  <c r="AS137" i="23141"/>
  <c r="AS92" i="23141"/>
  <c r="BY18" i="23141"/>
  <c r="BC14" i="23141" l="1"/>
  <c r="BC101" i="23141"/>
  <c r="BC103" i="23141" s="1"/>
  <c r="BC89" i="23141"/>
  <c r="BC64" i="23141"/>
  <c r="BH109" i="23141"/>
  <c r="BC175" i="23140"/>
  <c r="BC87" i="23141"/>
  <c r="BE129" i="23141"/>
  <c r="BC94" i="23141"/>
  <c r="BC85" i="23141"/>
  <c r="BC27" i="23141"/>
  <c r="BC96" i="23141"/>
  <c r="BC129" i="23141"/>
  <c r="BC90" i="23141"/>
  <c r="BC88" i="23141"/>
  <c r="BC93" i="23141"/>
  <c r="BC95" i="23141"/>
  <c r="BC97" i="23141"/>
  <c r="CD18" i="23141"/>
  <c r="BC177" i="23140" l="1"/>
  <c r="BE131" i="23141"/>
  <c r="BH111" i="23141"/>
  <c r="BC86" i="23141"/>
  <c r="BC131" i="23141"/>
  <c r="BE136" i="23141"/>
  <c r="BH116" i="23141"/>
  <c r="BC91" i="23141"/>
  <c r="BC136" i="23141"/>
  <c r="BC67" i="23141"/>
  <c r="BD175" i="23140"/>
  <c r="BD96" i="23141"/>
  <c r="BD85" i="23141"/>
  <c r="BD97" i="23141"/>
  <c r="BD93" i="23141"/>
  <c r="BD95" i="23141"/>
  <c r="BD90" i="23141"/>
  <c r="BD89" i="23141"/>
  <c r="BD87" i="23141"/>
  <c r="BD88" i="23141"/>
  <c r="BD94" i="23141"/>
  <c r="BD27" i="23141"/>
  <c r="BD64" i="23141"/>
  <c r="BC109" i="23141"/>
  <c r="AX96" i="23141"/>
  <c r="AX88" i="23141"/>
  <c r="AX85" i="23141"/>
  <c r="AX90" i="23141"/>
  <c r="AX175" i="23140"/>
  <c r="AZ129" i="23141"/>
  <c r="AX94" i="23141"/>
  <c r="AX64" i="23141"/>
  <c r="AX93" i="23141"/>
  <c r="AX27" i="23141"/>
  <c r="BC111" i="23141" s="1"/>
  <c r="AX109" i="23141"/>
  <c r="AX97" i="23141"/>
  <c r="AX95" i="23141"/>
  <c r="AX129" i="23141"/>
  <c r="AX98" i="23141"/>
  <c r="AX87" i="23141"/>
  <c r="AX89" i="23141"/>
  <c r="AU101" i="23141"/>
  <c r="AU103" i="23141" s="1"/>
  <c r="AU14" i="23141"/>
  <c r="BC54" i="23141"/>
  <c r="BC57" i="23141" s="1"/>
  <c r="BH108" i="23141"/>
  <c r="BC108" i="23141"/>
  <c r="BE128" i="23141"/>
  <c r="BC128" i="23141"/>
  <c r="BC60" i="23141" l="1"/>
  <c r="BC59" i="23141"/>
  <c r="BC116" i="23141"/>
  <c r="AZ136" i="23141"/>
  <c r="AX67" i="23141"/>
  <c r="BC117" i="23141" s="1"/>
  <c r="AX136" i="23141"/>
  <c r="AX91" i="23141"/>
  <c r="AX116" i="23141"/>
  <c r="AY14" i="23141"/>
  <c r="AY101" i="23141"/>
  <c r="AY103" i="23141" s="1"/>
  <c r="AV128" i="23141"/>
  <c r="AU54" i="23141"/>
  <c r="AU57" i="23141" s="1"/>
  <c r="AU108" i="23141"/>
  <c r="AU128" i="23141"/>
  <c r="AU16" i="23141"/>
  <c r="AZ108" i="23141"/>
  <c r="BD109" i="23141"/>
  <c r="AY90" i="23141"/>
  <c r="AY93" i="23141"/>
  <c r="AY87" i="23141"/>
  <c r="AY88" i="23141"/>
  <c r="AY95" i="23141"/>
  <c r="AY97" i="23141"/>
  <c r="AY27" i="23141"/>
  <c r="AY64" i="23141"/>
  <c r="AY94" i="23141"/>
  <c r="AY96" i="23141"/>
  <c r="AY175" i="23140"/>
  <c r="AY89" i="23141"/>
  <c r="AY85" i="23141"/>
  <c r="DA64" i="23141"/>
  <c r="BD91" i="23141"/>
  <c r="BD67" i="23141"/>
  <c r="BD116" i="23141"/>
  <c r="AX177" i="23140"/>
  <c r="AX131" i="23141"/>
  <c r="AZ131" i="23141"/>
  <c r="AX86" i="23141"/>
  <c r="AX111" i="23141"/>
  <c r="BD86" i="23141"/>
  <c r="BD177" i="23140"/>
  <c r="DA27" i="23141"/>
  <c r="BC92" i="23141"/>
  <c r="BC70" i="23141"/>
  <c r="BC137" i="23141"/>
  <c r="BH117" i="23141"/>
  <c r="BE137" i="23141"/>
  <c r="BC183" i="23140"/>
  <c r="CI18" i="23141"/>
  <c r="AY86" i="23141" l="1"/>
  <c r="AY177" i="23140"/>
  <c r="AU59" i="23141"/>
  <c r="AU60" i="23141"/>
  <c r="AZ137" i="23141"/>
  <c r="AX70" i="23141"/>
  <c r="AX71" i="23141" s="1"/>
  <c r="AX73" i="23141" s="1"/>
  <c r="AX92" i="23141"/>
  <c r="AX117" i="23141"/>
  <c r="AX137" i="23141"/>
  <c r="AX183" i="23140"/>
  <c r="BC71" i="23141"/>
  <c r="BD71" i="23141" s="1"/>
  <c r="DA71" i="23141" s="1"/>
  <c r="BD183" i="23140"/>
  <c r="DA67" i="23141"/>
  <c r="BD92" i="23141"/>
  <c r="BD70" i="23141"/>
  <c r="AU175" i="23140"/>
  <c r="AU27" i="23141"/>
  <c r="AU89" i="23141"/>
  <c r="AU64" i="23141"/>
  <c r="CZ64" i="23141" s="1"/>
  <c r="AV129" i="23141"/>
  <c r="AZ109" i="23141"/>
  <c r="AU109" i="23141"/>
  <c r="AU95" i="23141"/>
  <c r="AU87" i="23141"/>
  <c r="AU94" i="23141"/>
  <c r="AU129" i="23141"/>
  <c r="AU96" i="23141"/>
  <c r="AU88" i="23141"/>
  <c r="AU97" i="23141"/>
  <c r="AU93" i="23141"/>
  <c r="AU90" i="23141"/>
  <c r="AU85" i="23141"/>
  <c r="AY54" i="23141"/>
  <c r="CZ14" i="23141"/>
  <c r="BA210" i="23140"/>
  <c r="BA212" i="23140" s="1"/>
  <c r="AZ210" i="23140"/>
  <c r="BD111" i="23141"/>
  <c r="AY67" i="23141"/>
  <c r="AY91" i="23141"/>
  <c r="BC98" i="23141"/>
  <c r="BC143" i="23141"/>
  <c r="BC123" i="23141"/>
  <c r="BE143" i="23141"/>
  <c r="BH123" i="23141"/>
  <c r="BC63" i="23141"/>
  <c r="AZ212" i="23140" l="1"/>
  <c r="BB210" i="23140"/>
  <c r="BB212" i="23140" s="1"/>
  <c r="AU91" i="23141"/>
  <c r="AZ116" i="23141"/>
  <c r="AV136" i="23141"/>
  <c r="AU116" i="23141"/>
  <c r="AU67" i="23141"/>
  <c r="AU136" i="23141"/>
  <c r="AW210" i="23140"/>
  <c r="AX210" i="23140"/>
  <c r="AX212" i="23140" s="1"/>
  <c r="AU98" i="23141"/>
  <c r="AU143" i="23141"/>
  <c r="AU123" i="23141"/>
  <c r="AZ123" i="23141"/>
  <c r="AV143" i="23141"/>
  <c r="AU63" i="23141"/>
  <c r="BC75" i="23141"/>
  <c r="BC76" i="23141"/>
  <c r="AU177" i="23140"/>
  <c r="AU111" i="23141"/>
  <c r="AZ111" i="23141"/>
  <c r="AU86" i="23141"/>
  <c r="AV131" i="23141"/>
  <c r="AU131" i="23141"/>
  <c r="CZ27" i="23141"/>
  <c r="AY183" i="23140"/>
  <c r="AY70" i="23141"/>
  <c r="AY92" i="23141"/>
  <c r="CZ54" i="23141"/>
  <c r="AY57" i="23141"/>
  <c r="BD117" i="23141"/>
  <c r="BC73" i="23141"/>
  <c r="AX124" i="23141"/>
  <c r="AZ144" i="23141"/>
  <c r="AX99" i="23141"/>
  <c r="AX144" i="23141"/>
  <c r="DA70" i="23141"/>
  <c r="BD73" i="23141"/>
  <c r="CN18" i="23141"/>
  <c r="BD77" i="23141" l="1"/>
  <c r="BD99" i="23141"/>
  <c r="DA73" i="23141"/>
  <c r="BE144" i="23141"/>
  <c r="BC99" i="23141"/>
  <c r="BC144" i="23141"/>
  <c r="BC77" i="23141"/>
  <c r="BC124" i="23141"/>
  <c r="BH124" i="23141"/>
  <c r="AW212" i="23140"/>
  <c r="AY210" i="23140"/>
  <c r="AY212" i="23140" s="1"/>
  <c r="CZ57" i="23141"/>
  <c r="AY59" i="23141"/>
  <c r="AY60" i="23141"/>
  <c r="AU183" i="23140"/>
  <c r="AU137" i="23141"/>
  <c r="AU117" i="23141"/>
  <c r="AZ117" i="23141"/>
  <c r="AU70" i="23141"/>
  <c r="AV137" i="23141"/>
  <c r="AU92" i="23141"/>
  <c r="AY98" i="23141" l="1"/>
  <c r="AY63" i="23141"/>
  <c r="CZ63" i="23141" s="1"/>
  <c r="CZ60" i="23141"/>
  <c r="AU71" i="23141"/>
  <c r="AY71" i="23141" s="1"/>
  <c r="DA77" i="23141"/>
  <c r="AZ135" i="23140"/>
  <c r="AZ136" i="23140" s="1"/>
  <c r="BB135" i="23140" l="1"/>
  <c r="BB136" i="23140" s="1"/>
  <c r="AU73" i="23141"/>
  <c r="BD14" i="23141"/>
  <c r="BD101" i="23141"/>
  <c r="BD103" i="23141" s="1"/>
  <c r="CZ71" i="23141"/>
  <c r="AY73" i="23141"/>
  <c r="BA135" i="23140"/>
  <c r="BA136" i="23140" s="1"/>
  <c r="BD132" i="23140"/>
  <c r="DA130" i="23140"/>
  <c r="BC135" i="23140"/>
  <c r="BC136" i="23140" s="1"/>
  <c r="BG135" i="23140"/>
  <c r="BG136" i="23140" s="1"/>
  <c r="BE135" i="23140"/>
  <c r="BE136" i="23140" s="1"/>
  <c r="BF135" i="23140"/>
  <c r="BF136" i="23140" s="1"/>
  <c r="BV18" i="23141"/>
  <c r="DA134" i="23140" l="1"/>
  <c r="BD136" i="23140"/>
  <c r="AY99" i="23141"/>
  <c r="CZ73" i="23141"/>
  <c r="BD124" i="23141"/>
  <c r="BD108" i="23141"/>
  <c r="BD54" i="23141"/>
  <c r="DA14" i="23141"/>
  <c r="AU124" i="23141"/>
  <c r="AV144" i="23141"/>
  <c r="AU99" i="23141"/>
  <c r="AU144" i="23141"/>
  <c r="AZ124" i="23141"/>
  <c r="BD57" i="23141" l="1"/>
  <c r="DA54" i="23141"/>
  <c r="CA18" i="23141"/>
  <c r="BD59" i="23141" l="1"/>
  <c r="BD60" i="23141"/>
  <c r="DA57" i="23141"/>
  <c r="CF18" i="23141"/>
  <c r="BD98" i="23141" l="1"/>
  <c r="DA60" i="23141"/>
  <c r="BD63" i="23141"/>
  <c r="BD123" i="23141"/>
  <c r="BD75" i="23141" l="1"/>
  <c r="DA75" i="23141" s="1"/>
  <c r="DA63" i="23141"/>
  <c r="BD76" i="23141"/>
  <c r="DA76" i="23141" s="1"/>
  <c r="CK18" i="23141"/>
  <c r="CP18" i="23141" l="1"/>
  <c r="AZ127" i="23141" l="1"/>
  <c r="AX127" i="23141"/>
  <c r="CY11" i="23141" l="1"/>
  <c r="CZ11" i="23141" l="1"/>
  <c r="AZ107" i="23141"/>
  <c r="AV127" i="23141" l="1"/>
  <c r="AW127" i="23141"/>
  <c r="CZ10" i="23141"/>
  <c r="AQ135" i="23140" l="1"/>
  <c r="AQ136" i="23140" s="1"/>
  <c r="AR135" i="23140" l="1"/>
  <c r="AR136" i="23140" s="1"/>
  <c r="CY130" i="23140"/>
  <c r="AT132" i="23140"/>
  <c r="AS135" i="23140"/>
  <c r="AS136" i="23140" s="1"/>
  <c r="AV135" i="23140"/>
  <c r="AV136" i="23140" s="1"/>
  <c r="AU135" i="23140"/>
  <c r="AU136" i="23140" s="1"/>
  <c r="AW135" i="23140"/>
  <c r="AW136" i="23140" s="1"/>
  <c r="CY134" i="23140" l="1"/>
  <c r="AT136" i="23140"/>
  <c r="CM136" i="23140" l="1"/>
  <c r="AT102" i="23141" l="1"/>
  <c r="AT104" i="23141" s="1"/>
  <c r="AT14" i="23141" l="1"/>
  <c r="AT101" i="23141"/>
  <c r="AT103" i="23141" s="1"/>
  <c r="AT27" i="23141" l="1"/>
  <c r="AT54" i="23141"/>
  <c r="AT16" i="23141"/>
  <c r="AT108" i="23141"/>
  <c r="CY14" i="23141"/>
  <c r="AY108" i="23141"/>
  <c r="CY10" i="23141" l="1"/>
  <c r="AY107" i="23141"/>
  <c r="AT175" i="23140"/>
  <c r="AT96" i="23141"/>
  <c r="AT109" i="23141"/>
  <c r="AT90" i="23141"/>
  <c r="AT88" i="23141"/>
  <c r="AT94" i="23141"/>
  <c r="AT95" i="23141"/>
  <c r="AT93" i="23141"/>
  <c r="AT85" i="23141"/>
  <c r="AT89" i="23141"/>
  <c r="AT87" i="23141"/>
  <c r="AT97" i="23141"/>
  <c r="AY109" i="23141"/>
  <c r="AT57" i="23141"/>
  <c r="CY54" i="23141"/>
  <c r="AT177" i="23140"/>
  <c r="CY27" i="23141"/>
  <c r="AT64" i="23141"/>
  <c r="AT86" i="23141"/>
  <c r="AT111" i="23141"/>
  <c r="AY111" i="23141"/>
  <c r="AT59" i="23141" l="1"/>
  <c r="AT60" i="23141"/>
  <c r="CY57" i="23141"/>
  <c r="AT67" i="23141"/>
  <c r="AT91" i="23141"/>
  <c r="CY64" i="23141"/>
  <c r="AT116" i="23141"/>
  <c r="AY116" i="23141"/>
  <c r="AT183" i="23140" l="1"/>
  <c r="AT92" i="23141"/>
  <c r="AT70" i="23141"/>
  <c r="AT117" i="23141"/>
  <c r="AY117" i="23141"/>
  <c r="AT98" i="23141"/>
  <c r="AT123" i="23141"/>
  <c r="AT63" i="23141"/>
  <c r="CY63" i="23141" s="1"/>
  <c r="CY60" i="23141"/>
  <c r="AY123" i="23141"/>
  <c r="AT71" i="23141" l="1"/>
  <c r="CY71" i="23141" s="1"/>
  <c r="AT73" i="23141" l="1"/>
  <c r="CY73" i="23141" s="1"/>
  <c r="AY124" i="23141" l="1"/>
  <c r="AT124" i="23141"/>
  <c r="AT99" i="23141"/>
  <c r="BA127" i="23141" l="1"/>
  <c r="BA107" i="23141"/>
  <c r="BB127" i="23141" l="1"/>
  <c r="BB107" i="23141"/>
  <c r="DA11" i="23141" l="1"/>
  <c r="BC127" i="23141" l="1"/>
  <c r="BC107" i="23141"/>
  <c r="DA10" i="23141" l="1"/>
  <c r="BD107" i="23141"/>
  <c r="BE107" i="23141" l="1"/>
  <c r="BE127" i="23141"/>
  <c r="BV14" i="23141" l="1"/>
  <c r="BV17" i="23141"/>
  <c r="BV175" i="23140" l="1"/>
  <c r="BV87" i="23141"/>
  <c r="BV109" i="23141"/>
  <c r="BV89" i="23141"/>
  <c r="BV88" i="23141"/>
  <c r="BV51" i="23141"/>
  <c r="BV46" i="23141"/>
  <c r="BV90" i="23141"/>
  <c r="BV108" i="23141"/>
  <c r="BV97" i="23141"/>
  <c r="BV49" i="23141" l="1"/>
  <c r="BV119" i="23141"/>
  <c r="BV24" i="23141"/>
  <c r="BV37" i="23141"/>
  <c r="BV179" i="23140" s="1"/>
  <c r="BV31" i="23141"/>
  <c r="BV178" i="23140" s="1"/>
  <c r="BV43" i="23141"/>
  <c r="BV180" i="23140" s="1"/>
  <c r="BV118" i="23141"/>
  <c r="BV185" i="23140" l="1"/>
  <c r="CA14" i="23141"/>
  <c r="CA17" i="23141"/>
  <c r="CA108" i="23141" l="1"/>
  <c r="CA97" i="23141"/>
  <c r="CA175" i="23140" l="1"/>
  <c r="CA89" i="23141"/>
  <c r="CA109" i="23141"/>
  <c r="CA90" i="23141"/>
  <c r="CA46" i="23141"/>
  <c r="CA88" i="23141"/>
  <c r="CA51" i="23141"/>
  <c r="CA87" i="23141"/>
  <c r="CA119" i="23141" l="1"/>
  <c r="CA49" i="23141"/>
  <c r="BY14" i="23141"/>
  <c r="BY17" i="23141"/>
  <c r="CA24" i="23141"/>
  <c r="CA43" i="23141"/>
  <c r="CA180" i="23140" s="1"/>
  <c r="CA118" i="23141"/>
  <c r="CA31" i="23141"/>
  <c r="CA37" i="23141"/>
  <c r="CA179" i="23140" s="1"/>
  <c r="CA178" i="23140" l="1"/>
  <c r="CA185" i="23140"/>
  <c r="CF14" i="23141"/>
  <c r="CF17" i="23141"/>
  <c r="BY108" i="23141"/>
  <c r="BY97" i="23141"/>
  <c r="CF108" i="23141" l="1"/>
  <c r="CF97" i="23141"/>
  <c r="BY175" i="23140"/>
  <c r="BY87" i="23141"/>
  <c r="BY46" i="23141"/>
  <c r="BY89" i="23141"/>
  <c r="BY90" i="23141"/>
  <c r="BY109" i="23141"/>
  <c r="BY51" i="23141"/>
  <c r="BY88" i="23141"/>
  <c r="CF109" i="23141" l="1"/>
  <c r="CF46" i="23141"/>
  <c r="CF89" i="23141"/>
  <c r="CF88" i="23141"/>
  <c r="CF87" i="23141"/>
  <c r="CF90" i="23141"/>
  <c r="CF175" i="23140"/>
  <c r="CF51" i="23141"/>
  <c r="BY119" i="23141"/>
  <c r="BY49" i="23141"/>
  <c r="BY118" i="23141"/>
  <c r="BY24" i="23141"/>
  <c r="BY31" i="23141"/>
  <c r="BY43" i="23141"/>
  <c r="BY37" i="23141"/>
  <c r="BY178" i="23140" l="1"/>
  <c r="BY179" i="23140"/>
  <c r="BY180" i="23140"/>
  <c r="BY185" i="23140"/>
  <c r="CF43" i="23141"/>
  <c r="CF180" i="23140" s="1"/>
  <c r="CF118" i="23141"/>
  <c r="CF31" i="23141"/>
  <c r="CF37" i="23141"/>
  <c r="CF179" i="23140" s="1"/>
  <c r="CF24" i="23141"/>
  <c r="CF49" i="23141"/>
  <c r="CF119" i="23141"/>
  <c r="CD17" i="23141"/>
  <c r="CD14" i="23141"/>
  <c r="CF178" i="23140" l="1"/>
  <c r="CK17" i="23141"/>
  <c r="CK14" i="23141"/>
  <c r="CF185" i="23140"/>
  <c r="CD108" i="23141"/>
  <c r="CD97" i="23141"/>
  <c r="CD88" i="23141" l="1"/>
  <c r="CD51" i="23141"/>
  <c r="CD175" i="23140"/>
  <c r="CD87" i="23141"/>
  <c r="CD109" i="23141"/>
  <c r="CD90" i="23141"/>
  <c r="CD89" i="23141"/>
  <c r="CD46" i="23141"/>
  <c r="CK108" i="23141"/>
  <c r="CK97" i="23141"/>
  <c r="CD119" i="23141" l="1"/>
  <c r="CD49" i="23141"/>
  <c r="CD43" i="23141"/>
  <c r="CD118" i="23141"/>
  <c r="CD37" i="23141"/>
  <c r="CD31" i="23141"/>
  <c r="CD178" i="23140" s="1"/>
  <c r="CD24" i="23141"/>
  <c r="CK51" i="23141"/>
  <c r="CK175" i="23140"/>
  <c r="CK46" i="23141"/>
  <c r="CK90" i="23141"/>
  <c r="CK89" i="23141"/>
  <c r="CK87" i="23141"/>
  <c r="CK109" i="23141"/>
  <c r="CK88" i="23141"/>
  <c r="CK37" i="23141" l="1"/>
  <c r="CK179" i="23140" s="1"/>
  <c r="CK24" i="23141"/>
  <c r="CK43" i="23141"/>
  <c r="CK180" i="23140" s="1"/>
  <c r="CK31" i="23141"/>
  <c r="CK118" i="23141"/>
  <c r="CD180" i="23140"/>
  <c r="CK119" i="23141"/>
  <c r="CK49" i="23141"/>
  <c r="CD185" i="23140"/>
  <c r="CD179" i="23140"/>
  <c r="CK178" i="23140" l="1"/>
  <c r="CI14" i="23141"/>
  <c r="CI17" i="23141"/>
  <c r="CK185" i="23140"/>
  <c r="CP14" i="23141" l="1"/>
  <c r="CP17" i="23141"/>
  <c r="CI108" i="23141"/>
  <c r="CI97" i="23141"/>
  <c r="CI175" i="23140" l="1"/>
  <c r="CI46" i="23141"/>
  <c r="CI90" i="23141"/>
  <c r="CI88" i="23141"/>
  <c r="CI51" i="23141"/>
  <c r="CI87" i="23141"/>
  <c r="CI109" i="23141"/>
  <c r="CI89" i="23141"/>
  <c r="CP97" i="23141"/>
  <c r="CP108" i="23141"/>
  <c r="CP51" i="23141" l="1"/>
  <c r="CP90" i="23141"/>
  <c r="CP46" i="23141"/>
  <c r="CP88" i="23141"/>
  <c r="CP87" i="23141"/>
  <c r="CP89" i="23141"/>
  <c r="CP109" i="23141"/>
  <c r="CP175" i="23140"/>
  <c r="CI31" i="23141"/>
  <c r="CI118" i="23141"/>
  <c r="CI24" i="23141"/>
  <c r="CI43" i="23141"/>
  <c r="CI37" i="23141"/>
  <c r="CI119" i="23141"/>
  <c r="CI49" i="23141"/>
  <c r="CI178" i="23140" l="1"/>
  <c r="CP119" i="23141"/>
  <c r="CP49" i="23141"/>
  <c r="CI179" i="23140"/>
  <c r="CI185" i="23140"/>
  <c r="CI180" i="23140"/>
  <c r="CP24" i="23141"/>
  <c r="CP43" i="23141"/>
  <c r="CP180" i="23140" s="1"/>
  <c r="CP118" i="23141"/>
  <c r="CP31" i="23141"/>
  <c r="CP37" i="23141"/>
  <c r="CP179" i="23140" s="1"/>
  <c r="CP178" i="23140" l="1"/>
  <c r="CP185" i="23140"/>
  <c r="CN17" i="23141" l="1"/>
  <c r="CN14" i="23141"/>
  <c r="CN108" i="23141" l="1"/>
  <c r="CN97" i="23141"/>
  <c r="CN175" i="23140" l="1"/>
  <c r="CN87" i="23141"/>
  <c r="CN90" i="23141"/>
  <c r="CN89" i="23141"/>
  <c r="CN109" i="23141"/>
  <c r="CN46" i="23141"/>
  <c r="CN88" i="23141"/>
  <c r="CN51" i="23141"/>
  <c r="CN49" i="23141" l="1"/>
  <c r="CN119" i="23141"/>
  <c r="CN43" i="23141"/>
  <c r="CN31" i="23141"/>
  <c r="CN118" i="23141"/>
  <c r="CN37" i="23141"/>
  <c r="CN24" i="23141"/>
  <c r="CN178" i="23140" l="1"/>
  <c r="CN185" i="23140"/>
  <c r="CN180" i="23140"/>
  <c r="CN179" i="23140"/>
  <c r="AO136" i="23140" l="1"/>
  <c r="CX134" i="23140"/>
  <c r="CP135" i="23140" l="1"/>
  <c r="CP136" i="23140" s="1"/>
  <c r="CQ135" i="23140"/>
  <c r="CQ136" i="23140" s="1"/>
  <c r="BI102" i="23141" l="1"/>
  <c r="BI104" i="23141" s="1"/>
  <c r="BW18" i="23141" l="1"/>
  <c r="BS102" i="23141" l="1"/>
  <c r="BS104" i="23141" s="1"/>
  <c r="BU18" i="23141" l="1"/>
  <c r="CB18" i="23141"/>
  <c r="BX18" i="23141" l="1"/>
  <c r="CG18" i="23141"/>
  <c r="BX102" i="23141" l="1"/>
  <c r="BX104" i="23141" s="1"/>
  <c r="CL18" i="23141"/>
  <c r="BZ18" i="23141"/>
  <c r="CC18" i="23141" l="1"/>
  <c r="CE18" i="23141"/>
  <c r="CC102" i="23141" l="1"/>
  <c r="CC104" i="23141" s="1"/>
  <c r="CH18" i="23141"/>
  <c r="CQ18" i="23141"/>
  <c r="CH102" i="23141" l="1"/>
  <c r="CH104" i="23141" s="1"/>
  <c r="CJ18" i="23141"/>
  <c r="CM18" i="23141" s="1"/>
  <c r="CM102" i="23141" l="1"/>
  <c r="CM104" i="23141" s="1"/>
  <c r="CO18" i="23141" l="1"/>
  <c r="CR18" i="23141" s="1"/>
  <c r="CR102" i="23141" l="1"/>
  <c r="CR104" i="23141" s="1"/>
  <c r="BU135" i="23140" l="1"/>
  <c r="BU136" i="23140" s="1"/>
  <c r="BV135" i="23140" l="1"/>
  <c r="BV136" i="23140" s="1"/>
  <c r="BW135" i="23140" l="1"/>
  <c r="BW136" i="23140" s="1"/>
  <c r="BY135" i="23140" l="1"/>
  <c r="BY136" i="23140" s="1"/>
  <c r="BZ135" i="23140" l="1"/>
  <c r="BZ136" i="23140" s="1"/>
  <c r="CA135" i="23140" l="1"/>
  <c r="CA136" i="23140" s="1"/>
  <c r="CB135" i="23140" l="1"/>
  <c r="CB136" i="23140" s="1"/>
  <c r="CD135" i="23140" l="1"/>
  <c r="CD136" i="23140" s="1"/>
  <c r="CE135" i="23140" l="1"/>
  <c r="CE136" i="23140" s="1"/>
  <c r="CF135" i="23140"/>
  <c r="CF136" i="23140" s="1"/>
  <c r="CI135" i="23140" l="1"/>
  <c r="CI136" i="23140" s="1"/>
  <c r="CG135" i="23140"/>
  <c r="CG136" i="23140" s="1"/>
  <c r="BI101" i="23141" l="1"/>
  <c r="BI103" i="23141" s="1"/>
  <c r="BI14" i="23141"/>
  <c r="BI96" i="23141" l="1"/>
  <c r="BI64" i="23141"/>
  <c r="DB14" i="23141"/>
  <c r="BI97" i="23141"/>
  <c r="BI54" i="23141"/>
  <c r="BI27" i="23141"/>
  <c r="BI108" i="23141"/>
  <c r="BN108" i="23141"/>
  <c r="BI177" i="23140" l="1"/>
  <c r="BI86" i="23141"/>
  <c r="DB27" i="23141"/>
  <c r="BI111" i="23141"/>
  <c r="BN111" i="23141"/>
  <c r="BI57" i="23141"/>
  <c r="DB54" i="23141"/>
  <c r="BI90" i="23141"/>
  <c r="BI175" i="23140"/>
  <c r="BI87" i="23141"/>
  <c r="BI109" i="23141"/>
  <c r="BI95" i="23141"/>
  <c r="BI88" i="23141"/>
  <c r="BI93" i="23141"/>
  <c r="BI89" i="23141"/>
  <c r="BI85" i="23141"/>
  <c r="BI94" i="23141"/>
  <c r="BN109" i="23141"/>
  <c r="BI116" i="23141"/>
  <c r="BI91" i="23141"/>
  <c r="BI67" i="23141"/>
  <c r="DB64" i="23141"/>
  <c r="BN116" i="23141"/>
  <c r="BI60" i="23141" l="1"/>
  <c r="BI59" i="23141"/>
  <c r="DB57" i="23141"/>
  <c r="BI183" i="23140"/>
  <c r="BI117" i="23141"/>
  <c r="DB67" i="23141"/>
  <c r="BI70" i="23141"/>
  <c r="BI92" i="23141"/>
  <c r="BN117" i="23141"/>
  <c r="DB70" i="23141" l="1"/>
  <c r="BI73" i="23141"/>
  <c r="DB60" i="23141"/>
  <c r="BI98" i="23141"/>
  <c r="BI63" i="23141"/>
  <c r="BI123" i="23141"/>
  <c r="BN123" i="23141"/>
  <c r="BI99" i="23141" l="1"/>
  <c r="BI124" i="23141"/>
  <c r="BI77" i="23141"/>
  <c r="DB77" i="23141" s="1"/>
  <c r="DB73" i="23141"/>
  <c r="BN124" i="23141"/>
  <c r="DB63" i="23141"/>
  <c r="BI75" i="23141"/>
  <c r="DB75" i="23141" s="1"/>
  <c r="BI76" i="23141"/>
  <c r="DB76" i="23141" s="1"/>
  <c r="BU17" i="23141" l="1"/>
  <c r="BU14" i="23141"/>
  <c r="BU128" i="23141" l="1"/>
  <c r="BU108" i="23141"/>
  <c r="BU97" i="23141"/>
  <c r="BV128" i="23141"/>
  <c r="BU175" i="23140" l="1"/>
  <c r="BU46" i="23141"/>
  <c r="BU129" i="23141"/>
  <c r="BU87" i="23141"/>
  <c r="BU90" i="23141"/>
  <c r="BU51" i="23141"/>
  <c r="BU109" i="23141"/>
  <c r="BU89" i="23141"/>
  <c r="BU88" i="23141"/>
  <c r="BV129" i="23141"/>
  <c r="BU138" i="23141" l="1"/>
  <c r="BU37" i="23141"/>
  <c r="BU118" i="23141"/>
  <c r="BU31" i="23141"/>
  <c r="BU24" i="23141"/>
  <c r="BU43" i="23141"/>
  <c r="BV138" i="23141"/>
  <c r="BU49" i="23141"/>
  <c r="BU139" i="23141"/>
  <c r="BU119" i="23141"/>
  <c r="BV139" i="23141"/>
  <c r="BU178" i="23140" l="1"/>
  <c r="BU180" i="23140"/>
  <c r="BU185" i="23140"/>
  <c r="BU179" i="23140"/>
  <c r="BJ205" i="23140" l="1"/>
  <c r="BZ17" i="23141"/>
  <c r="BZ14" i="23141"/>
  <c r="BJ204" i="23140"/>
  <c r="BJ211" i="23140"/>
  <c r="BK211" i="23140" s="1"/>
  <c r="BJ206" i="23140"/>
  <c r="BK206" i="23140" l="1"/>
  <c r="BJ207" i="23140"/>
  <c r="BK204" i="23140"/>
  <c r="BZ97" i="23141"/>
  <c r="BZ108" i="23141"/>
  <c r="BZ128" i="23141"/>
  <c r="CA128" i="23141"/>
  <c r="BK205" i="23140"/>
  <c r="BZ46" i="23141" l="1"/>
  <c r="BZ51" i="23141"/>
  <c r="BZ89" i="23141"/>
  <c r="BZ87" i="23141"/>
  <c r="BZ109" i="23141"/>
  <c r="BZ90" i="23141"/>
  <c r="BZ129" i="23141"/>
  <c r="BZ175" i="23140"/>
  <c r="BZ88" i="23141"/>
  <c r="CA129" i="23141"/>
  <c r="BK207" i="23140"/>
  <c r="BZ43" i="23141" l="1"/>
  <c r="BZ138" i="23141"/>
  <c r="BZ118" i="23141"/>
  <c r="BZ24" i="23141"/>
  <c r="BZ31" i="23141"/>
  <c r="BZ37" i="23141"/>
  <c r="CA138" i="23141"/>
  <c r="BZ119" i="23141"/>
  <c r="BZ49" i="23141"/>
  <c r="BZ139" i="23141"/>
  <c r="CA139" i="23141"/>
  <c r="BZ178" i="23140" l="1"/>
  <c r="BZ180" i="23140"/>
  <c r="BZ179" i="23140"/>
  <c r="CE14" i="23141"/>
  <c r="CE17" i="23141"/>
  <c r="BZ185" i="23140"/>
  <c r="CE108" i="23141" l="1"/>
  <c r="CE128" i="23141"/>
  <c r="CE97" i="23141"/>
  <c r="CF128" i="23141"/>
  <c r="CE175" i="23140" l="1"/>
  <c r="CE51" i="23141"/>
  <c r="CE46" i="23141"/>
  <c r="CE89" i="23141"/>
  <c r="CE109" i="23141"/>
  <c r="CE88" i="23141"/>
  <c r="CE87" i="23141"/>
  <c r="CE129" i="23141"/>
  <c r="CE90" i="23141"/>
  <c r="CF129" i="23141"/>
  <c r="CE37" i="23141" l="1"/>
  <c r="CE31" i="23141"/>
  <c r="CE24" i="23141"/>
  <c r="CE43" i="23141"/>
  <c r="CE118" i="23141"/>
  <c r="CE138" i="23141"/>
  <c r="CF138" i="23141"/>
  <c r="CE49" i="23141"/>
  <c r="CE139" i="23141"/>
  <c r="CE119" i="23141"/>
  <c r="CF139" i="23141"/>
  <c r="CE178" i="23140" l="1"/>
  <c r="CJ17" i="23141"/>
  <c r="CJ14" i="23141"/>
  <c r="CE180" i="23140"/>
  <c r="CE185" i="23140"/>
  <c r="CE179" i="23140"/>
  <c r="CJ108" i="23141" l="1"/>
  <c r="CJ97" i="23141"/>
  <c r="CJ128" i="23141"/>
  <c r="CK128" i="23141"/>
  <c r="CJ175" i="23140" l="1"/>
  <c r="CJ88" i="23141"/>
  <c r="CJ109" i="23141"/>
  <c r="CJ51" i="23141"/>
  <c r="CJ87" i="23141"/>
  <c r="CJ129" i="23141"/>
  <c r="CJ90" i="23141"/>
  <c r="CJ89" i="23141"/>
  <c r="CJ46" i="23141"/>
  <c r="CK129" i="23141"/>
  <c r="CJ37" i="23141" l="1"/>
  <c r="CJ24" i="23141"/>
  <c r="CJ138" i="23141"/>
  <c r="CJ118" i="23141"/>
  <c r="CJ31" i="23141"/>
  <c r="CJ43" i="23141"/>
  <c r="CK138" i="23141"/>
  <c r="CJ119" i="23141"/>
  <c r="CJ49" i="23141"/>
  <c r="CJ139" i="23141"/>
  <c r="CK139" i="23141"/>
  <c r="CJ178" i="23140" l="1"/>
  <c r="CJ179" i="23140"/>
  <c r="CJ180" i="23140"/>
  <c r="CJ185" i="23140"/>
  <c r="BF127" i="23141" l="1"/>
  <c r="BF107" i="23141"/>
  <c r="CO14" i="23141"/>
  <c r="CO17" i="23141"/>
  <c r="BG127" i="23141" l="1"/>
  <c r="BG107" i="23141"/>
  <c r="CO108" i="23141"/>
  <c r="CO97" i="23141"/>
  <c r="CO128" i="23141"/>
  <c r="CP128" i="23141"/>
  <c r="CO175" i="23140" l="1"/>
  <c r="CO46" i="23141"/>
  <c r="CO109" i="23141"/>
  <c r="CO51" i="23141"/>
  <c r="CO87" i="23141"/>
  <c r="CO89" i="23141"/>
  <c r="CO129" i="23141"/>
  <c r="CO90" i="23141"/>
  <c r="CO88" i="23141"/>
  <c r="CP129" i="23141"/>
  <c r="CO138" i="23141" l="1"/>
  <c r="CO118" i="23141"/>
  <c r="CO31" i="23141"/>
  <c r="CO37" i="23141"/>
  <c r="CO24" i="23141"/>
  <c r="CO43" i="23141"/>
  <c r="CP138" i="23141"/>
  <c r="CO139" i="23141"/>
  <c r="CO119" i="23141"/>
  <c r="CO49" i="23141"/>
  <c r="CP139" i="23141"/>
  <c r="CO178" i="23140" l="1"/>
  <c r="CO180" i="23140"/>
  <c r="CO179" i="23140"/>
  <c r="CO185" i="23140"/>
  <c r="BI101" i="23140" l="1"/>
  <c r="BI106" i="23140"/>
  <c r="BI96" i="23140" l="1"/>
  <c r="BI97" i="23140" s="1"/>
  <c r="BI103" i="23140" l="1"/>
  <c r="BI109" i="23140"/>
  <c r="BI88" i="23140" s="1"/>
  <c r="DB11" i="23141"/>
  <c r="DB109" i="23140" l="1"/>
  <c r="BH127" i="23141"/>
  <c r="BH107" i="23141"/>
  <c r="DB88" i="23140"/>
  <c r="BI89" i="23140"/>
  <c r="BI107" i="23141" l="1"/>
  <c r="DB10" i="23141"/>
  <c r="DB130" i="23140" l="1"/>
  <c r="BI132" i="23140"/>
  <c r="DB134" i="23140" l="1"/>
  <c r="BI136" i="23140"/>
  <c r="DI134" i="23140" l="1"/>
  <c r="CR136" i="23140"/>
  <c r="BJ127" i="23141" l="1"/>
  <c r="BJ107" i="23141"/>
  <c r="BK107" i="23141" l="1"/>
  <c r="BK127" i="23141"/>
  <c r="BL127" i="23141" l="1"/>
  <c r="BL107" i="23141"/>
  <c r="DC130" i="23140" l="1"/>
  <c r="BN132" i="23140"/>
  <c r="DC134" i="23140" l="1"/>
  <c r="BN136" i="23140"/>
  <c r="BN101" i="23140" l="1"/>
  <c r="BN106" i="23140"/>
  <c r="BN96" i="23140" l="1"/>
  <c r="BN97" i="23140" l="1"/>
  <c r="BN109" i="23140"/>
  <c r="BN103" i="23140"/>
  <c r="BM127" i="23141" l="1"/>
  <c r="BM107" i="23141"/>
  <c r="DC109" i="23140"/>
  <c r="BN88" i="23140"/>
  <c r="DC11" i="23141"/>
  <c r="BN89" i="23140" l="1"/>
  <c r="DC88" i="23140"/>
  <c r="BN107" i="23141" l="1"/>
  <c r="DC10" i="23141"/>
  <c r="BO127" i="23141" l="1"/>
  <c r="BO107" i="23141"/>
  <c r="BP127" i="23141" l="1"/>
  <c r="BP107" i="23141"/>
  <c r="BQ107" i="23141"/>
  <c r="BQ127" i="23141"/>
  <c r="BS14" i="23141" l="1"/>
  <c r="BS101" i="23141"/>
  <c r="BS103" i="23141" s="1"/>
  <c r="BS108" i="23141" l="1"/>
  <c r="BS27" i="23141"/>
  <c r="BS64" i="23141"/>
  <c r="BS96" i="23141"/>
  <c r="BS54" i="23141"/>
  <c r="BS97" i="23141"/>
  <c r="DD14" i="23141"/>
  <c r="BS116" i="23141" l="1"/>
  <c r="DD64" i="23141"/>
  <c r="BS91" i="23141"/>
  <c r="BS67" i="23141"/>
  <c r="DD27" i="23141"/>
  <c r="BS86" i="23141"/>
  <c r="BS177" i="23140"/>
  <c r="BS111" i="23141"/>
  <c r="BS175" i="23140"/>
  <c r="BS89" i="23141"/>
  <c r="BS85" i="23141"/>
  <c r="BS93" i="23141"/>
  <c r="BS109" i="23141"/>
  <c r="BS88" i="23141"/>
  <c r="BS90" i="23141"/>
  <c r="BS95" i="23141"/>
  <c r="BS87" i="23141"/>
  <c r="BS94" i="23141"/>
  <c r="DD54" i="23141"/>
  <c r="BS57" i="23141"/>
  <c r="BS92" i="23141" l="1"/>
  <c r="DD67" i="23141"/>
  <c r="BS183" i="23140"/>
  <c r="BS70" i="23141"/>
  <c r="BS117" i="23141"/>
  <c r="BS59" i="23141"/>
  <c r="DD57" i="23141"/>
  <c r="BS60" i="23141"/>
  <c r="BW14" i="23141" l="1"/>
  <c r="BW17" i="23141"/>
  <c r="DD70" i="23141"/>
  <c r="BS73" i="23141"/>
  <c r="BS98" i="23141"/>
  <c r="BS63" i="23141"/>
  <c r="BS123" i="23141"/>
  <c r="DD60" i="23141"/>
  <c r="BX14" i="23141"/>
  <c r="BS75" i="23141" l="1"/>
  <c r="DD75" i="23141" s="1"/>
  <c r="DD63" i="23141"/>
  <c r="BS76" i="23141"/>
  <c r="DD76" i="23141" s="1"/>
  <c r="BS99" i="23141"/>
  <c r="BS124" i="23141"/>
  <c r="BS77" i="23141"/>
  <c r="DD77" i="23141" s="1"/>
  <c r="DD73" i="23141"/>
  <c r="BX17" i="23141"/>
  <c r="BX108" i="23141"/>
  <c r="BX97" i="23141"/>
  <c r="DE14" i="23141"/>
  <c r="BW128" i="23141"/>
  <c r="BW97" i="23141"/>
  <c r="BW108" i="23141"/>
  <c r="BY128" i="23141"/>
  <c r="BW175" i="23140" l="1"/>
  <c r="BW51" i="23141"/>
  <c r="BW87" i="23141"/>
  <c r="BW90" i="23141"/>
  <c r="BW129" i="23141"/>
  <c r="BW109" i="23141"/>
  <c r="BW88" i="23141"/>
  <c r="BW89" i="23141"/>
  <c r="BW46" i="23141"/>
  <c r="BY129" i="23141"/>
  <c r="BX101" i="23141"/>
  <c r="BX103" i="23141" s="1"/>
  <c r="BX175" i="23140" l="1"/>
  <c r="BX109" i="23141"/>
  <c r="BW37" i="23141"/>
  <c r="BW118" i="23141"/>
  <c r="BW138" i="23141"/>
  <c r="BW31" i="23141"/>
  <c r="BW178" i="23140" s="1"/>
  <c r="BW24" i="23141"/>
  <c r="BX24" i="23141" s="1"/>
  <c r="BW43" i="23141"/>
  <c r="BY138" i="23141"/>
  <c r="BX51" i="23141"/>
  <c r="BW119" i="23141"/>
  <c r="BW139" i="23141"/>
  <c r="BW49" i="23141"/>
  <c r="BY139" i="23141"/>
  <c r="BX46" i="23141"/>
  <c r="BW185" i="23140" l="1"/>
  <c r="BX31" i="23141"/>
  <c r="BW179" i="23140"/>
  <c r="BX37" i="23141"/>
  <c r="BX153" i="23141" s="1"/>
  <c r="DE51" i="23141"/>
  <c r="BX118" i="23141"/>
  <c r="BX93" i="23141"/>
  <c r="BX119" i="23141"/>
  <c r="BX94" i="23141"/>
  <c r="BX49" i="23141"/>
  <c r="DE49" i="23141" s="1"/>
  <c r="DE46" i="23141"/>
  <c r="BW180" i="23140"/>
  <c r="BX43" i="23141"/>
  <c r="BX154" i="23141" s="1"/>
  <c r="BX151" i="23141"/>
  <c r="BM205" i="23140" l="1"/>
  <c r="BL205" i="23140"/>
  <c r="BX152" i="23141"/>
  <c r="BX163" i="23141" s="1"/>
  <c r="BX185" i="23140"/>
  <c r="BM211" i="23140"/>
  <c r="BL211" i="23140"/>
  <c r="CB14" i="23141"/>
  <c r="CB17" i="23141"/>
  <c r="CC17" i="23141" s="1"/>
  <c r="BM206" i="23140"/>
  <c r="BL206" i="23140"/>
  <c r="BM204" i="23140"/>
  <c r="BL204" i="23140"/>
  <c r="CC14" i="23141"/>
  <c r="BM207" i="23140" l="1"/>
  <c r="BN206" i="23140"/>
  <c r="BN205" i="23140"/>
  <c r="BN204" i="23140"/>
  <c r="BL207" i="23140"/>
  <c r="BN211" i="23140"/>
  <c r="CC97" i="23141"/>
  <c r="DF14" i="23141"/>
  <c r="CC108" i="23141"/>
  <c r="CT14" i="23141"/>
  <c r="CC101" i="23141"/>
  <c r="CC103" i="23141" s="1"/>
  <c r="CB128" i="23141"/>
  <c r="CB108" i="23141"/>
  <c r="CB97" i="23141"/>
  <c r="CD128" i="23141"/>
  <c r="BN207" i="23140" l="1"/>
  <c r="CB129" i="23141"/>
  <c r="CB175" i="23140"/>
  <c r="CB109" i="23141"/>
  <c r="CB88" i="23141"/>
  <c r="CB46" i="23141"/>
  <c r="CB51" i="23141"/>
  <c r="CB90" i="23141"/>
  <c r="CB87" i="23141"/>
  <c r="CB89" i="23141"/>
  <c r="CD129" i="23141"/>
  <c r="CB37" i="23141" l="1"/>
  <c r="CB43" i="23141"/>
  <c r="CB118" i="23141"/>
  <c r="CB138" i="23141"/>
  <c r="CB31" i="23141"/>
  <c r="CB24" i="23141"/>
  <c r="CC24" i="23141" s="1"/>
  <c r="CC151" i="23141" s="1"/>
  <c r="CD138" i="23141"/>
  <c r="CC51" i="23141"/>
  <c r="CB139" i="23141"/>
  <c r="CB49" i="23141"/>
  <c r="CB119" i="23141"/>
  <c r="CD139" i="23141"/>
  <c r="CC46" i="23141"/>
  <c r="CC109" i="23141"/>
  <c r="CC175" i="23140"/>
  <c r="CB178" i="23140" l="1"/>
  <c r="CB185" i="23140"/>
  <c r="CC31" i="23141"/>
  <c r="DF51" i="23141"/>
  <c r="CC118" i="23141"/>
  <c r="CC93" i="23141"/>
  <c r="CB180" i="23140"/>
  <c r="CC43" i="23141"/>
  <c r="CC154" i="23141" s="1"/>
  <c r="CC94" i="23141"/>
  <c r="CC49" i="23141"/>
  <c r="DF49" i="23141" s="1"/>
  <c r="CC119" i="23141"/>
  <c r="DF46" i="23141"/>
  <c r="CB179" i="23140"/>
  <c r="CC37" i="23141"/>
  <c r="CC153" i="23141" s="1"/>
  <c r="CC152" i="23141" l="1"/>
  <c r="CC163" i="23141" s="1"/>
  <c r="CC185" i="23140"/>
  <c r="BP204" i="23140"/>
  <c r="BO204" i="23140"/>
  <c r="CG14" i="23141"/>
  <c r="CG17" i="23141"/>
  <c r="BP205" i="23140"/>
  <c r="BO205" i="23140"/>
  <c r="BP206" i="23140"/>
  <c r="BO206" i="23140"/>
  <c r="BQ206" i="23140" s="1"/>
  <c r="BP211" i="23140"/>
  <c r="BO211" i="23140"/>
  <c r="CH14" i="23141"/>
  <c r="BQ205" i="23140" l="1"/>
  <c r="BP207" i="23140"/>
  <c r="BQ211" i="23140"/>
  <c r="CH17" i="23141"/>
  <c r="CG97" i="23141"/>
  <c r="CG108" i="23141"/>
  <c r="CG128" i="23141"/>
  <c r="CI128" i="23141"/>
  <c r="BO207" i="23140"/>
  <c r="BQ204" i="23140"/>
  <c r="CH108" i="23141"/>
  <c r="CH97" i="23141"/>
  <c r="DG14" i="23141"/>
  <c r="BQ207" i="23140" l="1"/>
  <c r="BQ194" i="23140" s="1"/>
  <c r="CG90" i="23141"/>
  <c r="CG89" i="23141"/>
  <c r="CG175" i="23140"/>
  <c r="CG88" i="23141"/>
  <c r="CG109" i="23141"/>
  <c r="CG87" i="23141"/>
  <c r="CG46" i="23141"/>
  <c r="CG51" i="23141"/>
  <c r="CG129" i="23141"/>
  <c r="CI129" i="23141"/>
  <c r="CH101" i="23141"/>
  <c r="CH103" i="23141" s="1"/>
  <c r="CG118" i="23141" l="1"/>
  <c r="CG37" i="23141"/>
  <c r="CG31" i="23141"/>
  <c r="CG24" i="23141"/>
  <c r="CH24" i="23141" s="1"/>
  <c r="CG43" i="23141"/>
  <c r="CG138" i="23141"/>
  <c r="CI138" i="23141"/>
  <c r="CH51" i="23141"/>
  <c r="CH109" i="23141"/>
  <c r="CH175" i="23140"/>
  <c r="CG49" i="23141"/>
  <c r="CG139" i="23141"/>
  <c r="CG119" i="23141"/>
  <c r="CI139" i="23141"/>
  <c r="CH46" i="23141"/>
  <c r="CH151" i="23141" l="1"/>
  <c r="CG178" i="23140"/>
  <c r="CL14" i="23141"/>
  <c r="CL17" i="23141"/>
  <c r="CG180" i="23140"/>
  <c r="CH43" i="23141"/>
  <c r="CH154" i="23141" s="1"/>
  <c r="CG185" i="23140"/>
  <c r="CH31" i="23141"/>
  <c r="DG46" i="23141"/>
  <c r="CH94" i="23141"/>
  <c r="CH49" i="23141"/>
  <c r="DG49" i="23141" s="1"/>
  <c r="CH119" i="23141"/>
  <c r="CH93" i="23141"/>
  <c r="DG51" i="23141"/>
  <c r="CH118" i="23141"/>
  <c r="CG179" i="23140"/>
  <c r="CH37" i="23141"/>
  <c r="CH153" i="23141" s="1"/>
  <c r="CM14" i="23141"/>
  <c r="BS211" i="23140" l="1"/>
  <c r="BR211" i="23140"/>
  <c r="BS205" i="23140"/>
  <c r="BR205" i="23140"/>
  <c r="BS206" i="23140"/>
  <c r="BR206" i="23140"/>
  <c r="DH14" i="23141"/>
  <c r="CM97" i="23141"/>
  <c r="CU14" i="23141"/>
  <c r="CM108" i="23141"/>
  <c r="CH152" i="23141"/>
  <c r="CH163" i="23141" s="1"/>
  <c r="CH185" i="23140"/>
  <c r="CM17" i="23141"/>
  <c r="BS204" i="23140"/>
  <c r="BR204" i="23140"/>
  <c r="CL128" i="23141"/>
  <c r="CL97" i="23141"/>
  <c r="CL108" i="23141"/>
  <c r="CN128" i="23141"/>
  <c r="BT205" i="23140" l="1"/>
  <c r="BT211" i="23140"/>
  <c r="BS207" i="23140"/>
  <c r="BT206" i="23140"/>
  <c r="CM101" i="23141"/>
  <c r="CM103" i="23141" s="1"/>
  <c r="CL89" i="23141"/>
  <c r="CL109" i="23141"/>
  <c r="CL175" i="23140"/>
  <c r="CL88" i="23141"/>
  <c r="CL46" i="23141"/>
  <c r="CL90" i="23141"/>
  <c r="CL51" i="23141"/>
  <c r="CL87" i="23141"/>
  <c r="CL129" i="23141"/>
  <c r="CN129" i="23141"/>
  <c r="BR207" i="23140"/>
  <c r="BT204" i="23140"/>
  <c r="BT207" i="23140" s="1"/>
  <c r="CL37" i="23141" l="1"/>
  <c r="CL31" i="23141"/>
  <c r="CL24" i="23141"/>
  <c r="CM24" i="23141" s="1"/>
  <c r="CL43" i="23141"/>
  <c r="CL138" i="23141"/>
  <c r="CL118" i="23141"/>
  <c r="CN138" i="23141"/>
  <c r="CM51" i="23141"/>
  <c r="CM109" i="23141"/>
  <c r="CM175" i="23140"/>
  <c r="CL139" i="23141"/>
  <c r="CL119" i="23141"/>
  <c r="CL49" i="23141"/>
  <c r="CN139" i="23141"/>
  <c r="CM46" i="23141"/>
  <c r="CM151" i="23141" l="1"/>
  <c r="CL178" i="23140"/>
  <c r="CL180" i="23140"/>
  <c r="CM43" i="23141"/>
  <c r="CM154" i="23141" s="1"/>
  <c r="CM119" i="23141"/>
  <c r="CM94" i="23141"/>
  <c r="DH46" i="23141"/>
  <c r="CM49" i="23141"/>
  <c r="DH49" i="23141" s="1"/>
  <c r="CM93" i="23141"/>
  <c r="DH51" i="23141"/>
  <c r="CM118" i="23141"/>
  <c r="CL185" i="23140"/>
  <c r="CM31" i="23141"/>
  <c r="CL179" i="23140"/>
  <c r="CM37" i="23141"/>
  <c r="CM153" i="23141" s="1"/>
  <c r="CQ14" i="23141" l="1"/>
  <c r="CQ17" i="23141"/>
  <c r="CR17" i="23141" s="1"/>
  <c r="CM152" i="23141"/>
  <c r="CM163" i="23141" s="1"/>
  <c r="CM185" i="23140"/>
  <c r="CR14" i="23141"/>
  <c r="CR97" i="23141" l="1"/>
  <c r="CR108" i="23141"/>
  <c r="DI14" i="23141"/>
  <c r="CR101" i="23141"/>
  <c r="CR103" i="23141" s="1"/>
  <c r="CQ97" i="23141"/>
  <c r="CQ108" i="23141"/>
  <c r="CQ128" i="23141"/>
  <c r="CQ175" i="23140" l="1"/>
  <c r="CQ90" i="23141"/>
  <c r="CQ51" i="23141"/>
  <c r="CQ46" i="23141"/>
  <c r="CQ87" i="23141"/>
  <c r="CQ88" i="23141"/>
  <c r="CQ129" i="23141"/>
  <c r="CQ89" i="23141"/>
  <c r="CQ109" i="23141"/>
  <c r="CQ119" i="23141" l="1"/>
  <c r="CQ139" i="23141"/>
  <c r="CQ49" i="23141"/>
  <c r="CR46" i="23141"/>
  <c r="CQ118" i="23141"/>
  <c r="CQ138" i="23141"/>
  <c r="CQ37" i="23141"/>
  <c r="CQ31" i="23141"/>
  <c r="CQ24" i="23141"/>
  <c r="CR24" i="23141" s="1"/>
  <c r="CQ43" i="23141"/>
  <c r="CR51" i="23141"/>
  <c r="CR109" i="23141"/>
  <c r="CR175" i="23140"/>
  <c r="CQ178" i="23140" l="1"/>
  <c r="DI51" i="23141"/>
  <c r="CR118" i="23141"/>
  <c r="CR93" i="23141"/>
  <c r="CR49" i="23141"/>
  <c r="DI49" i="23141" s="1"/>
  <c r="CR119" i="23141"/>
  <c r="CR94" i="23141"/>
  <c r="DI46" i="23141"/>
  <c r="CQ180" i="23140"/>
  <c r="CR43" i="23141"/>
  <c r="CR154" i="23141" s="1"/>
  <c r="CQ185" i="23140"/>
  <c r="CR31" i="23141"/>
  <c r="CR151" i="23141"/>
  <c r="CQ179" i="23140"/>
  <c r="CR37" i="23141"/>
  <c r="CR153" i="23141" s="1"/>
  <c r="CR152" i="23141" l="1"/>
  <c r="CR163" i="23141" s="1"/>
  <c r="CR185" i="23140"/>
  <c r="BS101" i="23140" l="1"/>
  <c r="BS106" i="23140"/>
  <c r="BS96" i="23140" l="1"/>
  <c r="BS97" i="23140" l="1"/>
  <c r="BS109" i="23140"/>
  <c r="BS103" i="23140"/>
  <c r="DD109" i="23140" l="1"/>
  <c r="BS88" i="23140"/>
  <c r="BR127" i="23141"/>
  <c r="BR107" i="23141"/>
  <c r="DD11" i="23141"/>
  <c r="DD88" i="23140" l="1"/>
  <c r="BS89" i="23140"/>
  <c r="BS107" i="23141" l="1"/>
  <c r="DD10" i="23141"/>
  <c r="BU101" i="23140" l="1"/>
  <c r="BU102" i="23140"/>
  <c r="BU106" i="23140" l="1"/>
  <c r="BU107" i="23140"/>
  <c r="BU96" i="23140"/>
  <c r="BU109" i="23140" l="1"/>
  <c r="BU88" i="23140" s="1"/>
  <c r="BU98" i="23140"/>
  <c r="BU97" i="23140"/>
  <c r="BU103" i="23140"/>
  <c r="BV101" i="23140" l="1"/>
  <c r="BV102" i="23140"/>
  <c r="BT107" i="23141"/>
  <c r="BT127" i="23141"/>
  <c r="BU89" i="23140"/>
  <c r="BU90" i="23140"/>
  <c r="BV96" i="23140"/>
  <c r="BV98" i="23140" l="1"/>
  <c r="BV97" i="23140"/>
  <c r="BV109" i="23140"/>
  <c r="BV88" i="23140" s="1"/>
  <c r="BV103" i="23140"/>
  <c r="BV106" i="23140"/>
  <c r="BV107" i="23140"/>
  <c r="BU107" i="23141" l="1"/>
  <c r="BU127" i="23141"/>
  <c r="BV89" i="23140"/>
  <c r="BV90" i="23140"/>
  <c r="BW102" i="23140" l="1"/>
  <c r="BW101" i="23140"/>
  <c r="DD130" i="23140"/>
  <c r="BS132" i="23140"/>
  <c r="BW107" i="23140" l="1"/>
  <c r="BW106" i="23140"/>
  <c r="BV127" i="23141"/>
  <c r="BV107" i="23141"/>
  <c r="BX101" i="23140"/>
  <c r="BW96" i="23140"/>
  <c r="DD134" i="23140"/>
  <c r="BS136" i="23140"/>
  <c r="BX106" i="23140"/>
  <c r="BX96" i="23140" l="1"/>
  <c r="BW97" i="23140"/>
  <c r="BW98" i="23140"/>
  <c r="BW109" i="23140"/>
  <c r="BW88" i="23140" s="1"/>
  <c r="BW103" i="23140"/>
  <c r="BW90" i="23140" l="1"/>
  <c r="BW89" i="23140"/>
  <c r="BX97" i="23140"/>
  <c r="BX109" i="23140"/>
  <c r="BX103" i="23140"/>
  <c r="DE109" i="23140" l="1"/>
  <c r="BX88" i="23140"/>
  <c r="BY101" i="23140"/>
  <c r="BY102" i="23140"/>
  <c r="BU188" i="23140"/>
  <c r="BU95" i="23141"/>
  <c r="BU160" i="23141"/>
  <c r="BU156" i="23141" s="1"/>
  <c r="BU120" i="23141"/>
  <c r="BU140" i="23141"/>
  <c r="BW107" i="23141"/>
  <c r="BW127" i="23141"/>
  <c r="BU30" i="23141"/>
  <c r="BU36" i="23141"/>
  <c r="BU42" i="23141"/>
  <c r="BU20" i="23141"/>
  <c r="DE11" i="23141"/>
  <c r="BJ219" i="23140" l="1"/>
  <c r="BK219" i="23140" s="1"/>
  <c r="BU40" i="23141"/>
  <c r="BU34" i="23141"/>
  <c r="BY96" i="23140"/>
  <c r="BY106" i="23140"/>
  <c r="BY107" i="23140"/>
  <c r="BU186" i="23140"/>
  <c r="BU28" i="23141"/>
  <c r="BU22" i="23141"/>
  <c r="BU164" i="23141"/>
  <c r="DE88" i="23140"/>
  <c r="BX89" i="23140"/>
  <c r="BV20" i="23141" l="1"/>
  <c r="BV36" i="23141"/>
  <c r="BV30" i="23141"/>
  <c r="BV42" i="23141"/>
  <c r="BV188" i="23140"/>
  <c r="BV95" i="23141"/>
  <c r="BV120" i="23141"/>
  <c r="BV140" i="23141"/>
  <c r="BV160" i="23141"/>
  <c r="BV156" i="23141" s="1"/>
  <c r="BU48" i="23141"/>
  <c r="BJ214" i="23140"/>
  <c r="AQ351" i="23083" s="1"/>
  <c r="AQ352" i="23083" s="1"/>
  <c r="DE10" i="23141"/>
  <c r="BX107" i="23141"/>
  <c r="BU26" i="23141"/>
  <c r="BY97" i="23140"/>
  <c r="BY109" i="23140"/>
  <c r="BY88" i="23140" s="1"/>
  <c r="BY98" i="23140"/>
  <c r="BY103" i="23140"/>
  <c r="BU131" i="23140"/>
  <c r="BU132" i="23140" s="1"/>
  <c r="BV164" i="23141" l="1"/>
  <c r="BV22" i="23141"/>
  <c r="BV40" i="23141"/>
  <c r="BY90" i="23140"/>
  <c r="BY89" i="23140"/>
  <c r="BV186" i="23140"/>
  <c r="BV28" i="23141"/>
  <c r="BK214" i="23140"/>
  <c r="AR351" i="23083" s="1"/>
  <c r="AR352" i="23083" s="1"/>
  <c r="BV34" i="23141"/>
  <c r="BZ102" i="23140"/>
  <c r="BZ101" i="23140"/>
  <c r="BU110" i="23141"/>
  <c r="BU130" i="23141"/>
  <c r="BU176" i="23140"/>
  <c r="BJ201" i="23140" s="1"/>
  <c r="BU85" i="23141"/>
  <c r="BU64" i="23141"/>
  <c r="BU27" i="23141"/>
  <c r="BU53" i="23141"/>
  <c r="BU54" i="23141"/>
  <c r="BV131" i="23140"/>
  <c r="BV132" i="23140" s="1"/>
  <c r="BX68" i="23141"/>
  <c r="DE68" i="23141" s="1"/>
  <c r="BU111" i="23141" l="1"/>
  <c r="BU131" i="23141"/>
  <c r="BU177" i="23140"/>
  <c r="BU86" i="23141"/>
  <c r="BW188" i="23140"/>
  <c r="BW120" i="23141"/>
  <c r="BW140" i="23141"/>
  <c r="BW95" i="23141"/>
  <c r="BX47" i="23141"/>
  <c r="BU116" i="23141"/>
  <c r="BU136" i="23141"/>
  <c r="BU67" i="23141"/>
  <c r="BU91" i="23141"/>
  <c r="BW20" i="23141"/>
  <c r="BX19" i="23141"/>
  <c r="BY107" i="23141"/>
  <c r="BY127" i="23141"/>
  <c r="BK201" i="23140"/>
  <c r="BJ202" i="23140"/>
  <c r="BJ209" i="23140" s="1"/>
  <c r="BZ96" i="23140"/>
  <c r="BZ107" i="23140"/>
  <c r="BZ106" i="23140"/>
  <c r="BV48" i="23141"/>
  <c r="BV26" i="23141"/>
  <c r="BW160" i="23141"/>
  <c r="BW156" i="23141" s="1"/>
  <c r="BW164" i="23141" l="1"/>
  <c r="BW22" i="23141"/>
  <c r="BX22" i="23141" s="1"/>
  <c r="BL219" i="23140"/>
  <c r="BZ97" i="23140"/>
  <c r="BZ98" i="23140"/>
  <c r="BZ109" i="23140"/>
  <c r="BZ88" i="23140" s="1"/>
  <c r="BZ103" i="23140"/>
  <c r="BX148" i="23141"/>
  <c r="BX149" i="23141" s="1"/>
  <c r="BX162" i="23141" s="1"/>
  <c r="BX20" i="23141"/>
  <c r="BX188" i="23140"/>
  <c r="BX95" i="23141"/>
  <c r="DE47" i="23141"/>
  <c r="BX120" i="23141"/>
  <c r="BJ215" i="23140"/>
  <c r="BV110" i="23141"/>
  <c r="BV176" i="23140"/>
  <c r="BV130" i="23141"/>
  <c r="BV85" i="23141"/>
  <c r="BV27" i="23141"/>
  <c r="BV64" i="23141"/>
  <c r="BV53" i="23141"/>
  <c r="BV54" i="23141"/>
  <c r="BW36" i="23141"/>
  <c r="BW42" i="23141"/>
  <c r="BW30" i="23141"/>
  <c r="BX50" i="23141"/>
  <c r="DE50" i="23141" s="1"/>
  <c r="BK202" i="23140"/>
  <c r="BK209" i="23140" s="1"/>
  <c r="BE160" i="23086"/>
  <c r="BD160" i="23086" s="1"/>
  <c r="BD176" i="23086" s="1"/>
  <c r="BU183" i="23140"/>
  <c r="BJ210" i="23140" s="1"/>
  <c r="BK210" i="23140" s="1"/>
  <c r="BU137" i="23141"/>
  <c r="BU92" i="23141"/>
  <c r="BU117" i="23141"/>
  <c r="BW26" i="23141" l="1"/>
  <c r="BW64" i="23141" s="1"/>
  <c r="BW34" i="23141"/>
  <c r="BX34" i="23141" s="1"/>
  <c r="BX36" i="23141"/>
  <c r="BV86" i="23141"/>
  <c r="BV177" i="23140"/>
  <c r="BV111" i="23141"/>
  <c r="BV131" i="23141"/>
  <c r="BW85" i="23141"/>
  <c r="BW176" i="23140"/>
  <c r="BL201" i="23140" s="1"/>
  <c r="BW110" i="23141"/>
  <c r="BW130" i="23141"/>
  <c r="BF176" i="23086"/>
  <c r="BE161" i="23086"/>
  <c r="BE176" i="23086"/>
  <c r="BJ212" i="23140"/>
  <c r="CA102" i="23140"/>
  <c r="CA101" i="23140"/>
  <c r="BX26" i="23141"/>
  <c r="BX160" i="23141"/>
  <c r="BK215" i="23140"/>
  <c r="BK212" i="23140"/>
  <c r="BW28" i="23141"/>
  <c r="BW186" i="23140"/>
  <c r="BL214" i="23140" s="1"/>
  <c r="BX30" i="23141"/>
  <c r="BW40" i="23141"/>
  <c r="BX40" i="23141" s="1"/>
  <c r="BX42" i="23141"/>
  <c r="BV67" i="23141"/>
  <c r="BV136" i="23141"/>
  <c r="BV116" i="23141"/>
  <c r="BV91" i="23141"/>
  <c r="BZ89" i="23140"/>
  <c r="BZ90" i="23140"/>
  <c r="BW27" i="23141" l="1"/>
  <c r="BD161" i="23086"/>
  <c r="BE166" i="23086"/>
  <c r="BX159" i="23141"/>
  <c r="BV117" i="23141"/>
  <c r="BV137" i="23141"/>
  <c r="BV183" i="23140"/>
  <c r="BV92" i="23141"/>
  <c r="BF177" i="23086"/>
  <c r="BE187" i="23086"/>
  <c r="BE194" i="23086"/>
  <c r="BE195" i="23086" s="1"/>
  <c r="BE177" i="23086"/>
  <c r="BX186" i="23140"/>
  <c r="BX157" i="23141"/>
  <c r="BL202" i="23140"/>
  <c r="BL209" i="23140" s="1"/>
  <c r="BL215" i="23140" s="1"/>
  <c r="BX158" i="23141"/>
  <c r="BX45" i="23141"/>
  <c r="BX85" i="23141"/>
  <c r="DE26" i="23141"/>
  <c r="BX176" i="23140"/>
  <c r="BX110" i="23141"/>
  <c r="BX27" i="23141"/>
  <c r="BX39" i="23141"/>
  <c r="BW48" i="23141"/>
  <c r="BX28" i="23141"/>
  <c r="BW116" i="23141"/>
  <c r="BW91" i="23141"/>
  <c r="BW136" i="23141"/>
  <c r="BW67" i="23141"/>
  <c r="BZ127" i="23141"/>
  <c r="BZ107" i="23141"/>
  <c r="CA96" i="23140"/>
  <c r="CA106" i="23140"/>
  <c r="CA107" i="23140"/>
  <c r="BD184" i="23086"/>
  <c r="BD188" i="23086"/>
  <c r="BW111" i="23141"/>
  <c r="BW86" i="23141"/>
  <c r="BW131" i="23141"/>
  <c r="BW177" i="23140"/>
  <c r="BY188" i="23140"/>
  <c r="BY95" i="23141"/>
  <c r="BY120" i="23141"/>
  <c r="BY140" i="23141"/>
  <c r="BX156" i="23141"/>
  <c r="BY20" i="23141"/>
  <c r="BW131" i="23140"/>
  <c r="BW132" i="23140" s="1"/>
  <c r="BD166" i="23086" l="1"/>
  <c r="BD182" i="23086" s="1"/>
  <c r="BE164" i="23086"/>
  <c r="BE163" i="23086"/>
  <c r="BE182" i="23086"/>
  <c r="BD194" i="23086"/>
  <c r="BD195" i="23086" s="1"/>
  <c r="BD187" i="23086"/>
  <c r="BD177" i="23086"/>
  <c r="BX33" i="23141"/>
  <c r="BX178" i="23140" s="1"/>
  <c r="BX48" i="23141"/>
  <c r="BW53" i="23141"/>
  <c r="BW54" i="23141"/>
  <c r="BX164" i="23141"/>
  <c r="BW183" i="23140"/>
  <c r="BL210" i="23140" s="1"/>
  <c r="BL212" i="23140" s="1"/>
  <c r="BW137" i="23141"/>
  <c r="BW92" i="23141"/>
  <c r="BW117" i="23141"/>
  <c r="BX179" i="23140"/>
  <c r="BX113" i="23141"/>
  <c r="BX88" i="23141"/>
  <c r="DE39" i="23141"/>
  <c r="BX177" i="23140"/>
  <c r="BX86" i="23141"/>
  <c r="BX111" i="23141"/>
  <c r="DE27" i="23141"/>
  <c r="BX180" i="23140"/>
  <c r="DE45" i="23141"/>
  <c r="BX89" i="23141"/>
  <c r="BX114" i="23141"/>
  <c r="BE188" i="23086"/>
  <c r="BE184" i="23086"/>
  <c r="CA98" i="23140"/>
  <c r="CA109" i="23140"/>
  <c r="CA88" i="23140" s="1"/>
  <c r="CA97" i="23140"/>
  <c r="CA103" i="23140"/>
  <c r="BX115" i="23141" l="1"/>
  <c r="BD163" i="23086"/>
  <c r="AR337" i="23083"/>
  <c r="BF163" i="23086"/>
  <c r="BE179" i="23086"/>
  <c r="BD164" i="23086"/>
  <c r="AR338" i="23083"/>
  <c r="AR344" i="23083" s="1"/>
  <c r="BF164" i="23086"/>
  <c r="BE180" i="23086"/>
  <c r="BE165" i="23086"/>
  <c r="BX90" i="23141"/>
  <c r="DE48" i="23141"/>
  <c r="BX53" i="23141"/>
  <c r="DE53" i="23141" s="1"/>
  <c r="BX54" i="23141"/>
  <c r="DE33" i="23141"/>
  <c r="BX112" i="23141"/>
  <c r="BX87" i="23141"/>
  <c r="BX64" i="23141"/>
  <c r="CB101" i="23140"/>
  <c r="CB102" i="23140"/>
  <c r="DE130" i="23140"/>
  <c r="BX132" i="23140"/>
  <c r="CA90" i="23140"/>
  <c r="CA89" i="23140"/>
  <c r="AS337" i="23083" l="1"/>
  <c r="BG163" i="23086"/>
  <c r="AQ338" i="23083"/>
  <c r="AQ344" i="23083" s="1"/>
  <c r="BD180" i="23086"/>
  <c r="BD165" i="23086"/>
  <c r="AR339" i="23083"/>
  <c r="AR345" i="23083" s="1"/>
  <c r="BF165" i="23086"/>
  <c r="BF166" i="23086" s="1"/>
  <c r="BF168" i="23086" s="1"/>
  <c r="BE181" i="23086"/>
  <c r="AR343" i="23083"/>
  <c r="BG164" i="23086"/>
  <c r="AS338" i="23083"/>
  <c r="AS344" i="23083" s="1"/>
  <c r="AQ337" i="23083"/>
  <c r="BD179" i="23086"/>
  <c r="CB96" i="23140"/>
  <c r="CB107" i="23140"/>
  <c r="CB106" i="23140"/>
  <c r="DE54" i="23141"/>
  <c r="BX116" i="23141"/>
  <c r="BX91" i="23141"/>
  <c r="BX67" i="23141"/>
  <c r="DE64" i="23141"/>
  <c r="BX136" i="23140"/>
  <c r="DE134" i="23140"/>
  <c r="CC101" i="23140"/>
  <c r="CC106" i="23140"/>
  <c r="AR340" i="23083" l="1"/>
  <c r="AR346" i="23083"/>
  <c r="BF188" i="23086"/>
  <c r="BF184" i="23086"/>
  <c r="BH164" i="23086"/>
  <c r="AT338" i="23083"/>
  <c r="AT344" i="23083" s="1"/>
  <c r="AT337" i="23083"/>
  <c r="BH163" i="23086"/>
  <c r="AQ339" i="23083"/>
  <c r="AQ345" i="23083" s="1"/>
  <c r="BD181" i="23086"/>
  <c r="AQ343" i="23083"/>
  <c r="BG165" i="23086"/>
  <c r="BG166" i="23086" s="1"/>
  <c r="BG168" i="23086" s="1"/>
  <c r="AS339" i="23083"/>
  <c r="AS345" i="23083" s="1"/>
  <c r="AS343" i="23083"/>
  <c r="CA107" i="23141"/>
  <c r="CA127" i="23141"/>
  <c r="BX92" i="23141"/>
  <c r="BX183" i="23140"/>
  <c r="BX117" i="23141"/>
  <c r="DE67" i="23141"/>
  <c r="CC96" i="23140"/>
  <c r="CB109" i="23140"/>
  <c r="CB88" i="23140" s="1"/>
  <c r="CB97" i="23140"/>
  <c r="CB98" i="23140"/>
  <c r="CB103" i="23140"/>
  <c r="AQ346" i="23083" l="1"/>
  <c r="AS340" i="23083"/>
  <c r="AS346" i="23083"/>
  <c r="AQ340" i="23083"/>
  <c r="AT343" i="23083"/>
  <c r="AU338" i="23083"/>
  <c r="AU344" i="23083" s="1"/>
  <c r="BG184" i="23086"/>
  <c r="BG188" i="23086"/>
  <c r="BH165" i="23086"/>
  <c r="BH166" i="23086" s="1"/>
  <c r="BH168" i="23086" s="1"/>
  <c r="AT339" i="23083"/>
  <c r="AT345" i="23083" s="1"/>
  <c r="AU337" i="23083"/>
  <c r="CB89" i="23140"/>
  <c r="CB90" i="23140"/>
  <c r="CC97" i="23140"/>
  <c r="CC109" i="23140"/>
  <c r="CC103" i="23140"/>
  <c r="BZ188" i="23140"/>
  <c r="BZ140" i="23141"/>
  <c r="BZ120" i="23141"/>
  <c r="BZ95" i="23141"/>
  <c r="BZ20" i="23141"/>
  <c r="AU343" i="23083" l="1"/>
  <c r="BH184" i="23086"/>
  <c r="BH188" i="23086"/>
  <c r="AT346" i="23083"/>
  <c r="AU339" i="23083"/>
  <c r="AU345" i="23083" s="1"/>
  <c r="AT340" i="23083"/>
  <c r="DF11" i="23141"/>
  <c r="CB107" i="23141"/>
  <c r="CB127" i="23141"/>
  <c r="DF109" i="23140"/>
  <c r="CC88" i="23140"/>
  <c r="BM219" i="23140"/>
  <c r="BN219" i="23140" s="1"/>
  <c r="CD102" i="23140"/>
  <c r="CD101" i="23140"/>
  <c r="AU346" i="23083" l="1"/>
  <c r="AU340" i="23083"/>
  <c r="DF88" i="23140"/>
  <c r="CC89" i="23140"/>
  <c r="CT88" i="23140"/>
  <c r="CC107" i="23141"/>
  <c r="CT10" i="23141"/>
  <c r="DF10" i="23141"/>
  <c r="CD96" i="23140"/>
  <c r="CD107" i="23140"/>
  <c r="CD106" i="23140"/>
  <c r="CD109" i="23140" l="1"/>
  <c r="CD88" i="23140" s="1"/>
  <c r="CD98" i="23140"/>
  <c r="CD97" i="23140"/>
  <c r="CD103" i="23140"/>
  <c r="CE102" i="23140" l="1"/>
  <c r="CE101" i="23140"/>
  <c r="CB20" i="23141"/>
  <c r="CC47" i="23141"/>
  <c r="CD89" i="23140"/>
  <c r="CD90" i="23140"/>
  <c r="CA20" i="23141"/>
  <c r="CA188" i="23140"/>
  <c r="CA95" i="23141"/>
  <c r="CA120" i="23141"/>
  <c r="CA140" i="23141"/>
  <c r="CE96" i="23140"/>
  <c r="CE103" i="23140" s="1"/>
  <c r="CB188" i="23140" l="1"/>
  <c r="BO219" i="23140" s="1"/>
  <c r="CB95" i="23141"/>
  <c r="CB120" i="23141"/>
  <c r="CB140" i="23141"/>
  <c r="CD127" i="23141"/>
  <c r="CD107" i="23141"/>
  <c r="CC188" i="23140"/>
  <c r="CC95" i="23141"/>
  <c r="CC120" i="23141"/>
  <c r="DF47" i="23141"/>
  <c r="CE98" i="23140"/>
  <c r="CE97" i="23140"/>
  <c r="CE109" i="23140"/>
  <c r="CE88" i="23140" s="1"/>
  <c r="CC19" i="23141"/>
  <c r="CE107" i="23140"/>
  <c r="CE106" i="23140"/>
  <c r="CE89" i="23140" l="1"/>
  <c r="CE90" i="23140"/>
  <c r="CC148" i="23141"/>
  <c r="CC149" i="23141" s="1"/>
  <c r="CC162" i="23141" s="1"/>
  <c r="CC20" i="23141"/>
  <c r="CF101" i="23140" l="1"/>
  <c r="CF102" i="23140"/>
  <c r="CF96" i="23140"/>
  <c r="CF97" i="23140" l="1"/>
  <c r="CF109" i="23140"/>
  <c r="CF88" i="23140" s="1"/>
  <c r="CF98" i="23140"/>
  <c r="CF103" i="23140"/>
  <c r="CE127" i="23141"/>
  <c r="CE107" i="23141"/>
  <c r="CF106" i="23140"/>
  <c r="CF107" i="23140"/>
  <c r="CF90" i="23140" l="1"/>
  <c r="CF89" i="23140"/>
  <c r="BU69" i="23141"/>
  <c r="BU70" i="23141" s="1"/>
  <c r="BU71" i="23141" s="1"/>
  <c r="BU73" i="23141" s="1"/>
  <c r="BU96" i="23141" l="1"/>
  <c r="BU141" i="23141"/>
  <c r="BU121" i="23141"/>
  <c r="BU57" i="23141"/>
  <c r="BU58" i="23141" s="1"/>
  <c r="BU60" i="23141" s="1"/>
  <c r="CG102" i="23140"/>
  <c r="CG101" i="23140"/>
  <c r="BU99" i="23141"/>
  <c r="BU144" i="23141"/>
  <c r="BU124" i="23141"/>
  <c r="BU77" i="23141"/>
  <c r="CD188" i="23140"/>
  <c r="CD140" i="23141"/>
  <c r="CD120" i="23141"/>
  <c r="CD95" i="23141"/>
  <c r="CD20" i="23141"/>
  <c r="BU143" i="23141" l="1"/>
  <c r="BU63" i="23141"/>
  <c r="BU98" i="23141"/>
  <c r="BU123" i="23141"/>
  <c r="CG96" i="23140"/>
  <c r="CG106" i="23140"/>
  <c r="CG107" i="23140"/>
  <c r="CF107" i="23141"/>
  <c r="CF127" i="23141"/>
  <c r="CH101" i="23140"/>
  <c r="CH106" i="23140"/>
  <c r="CE188" i="23140" l="1"/>
  <c r="BP219" i="23140" s="1"/>
  <c r="BQ219" i="23140" s="1"/>
  <c r="CE95" i="23141"/>
  <c r="CE120" i="23141"/>
  <c r="CE140" i="23141"/>
  <c r="CE20" i="23141"/>
  <c r="BU75" i="23141"/>
  <c r="BU76" i="23141"/>
  <c r="CH96" i="23140"/>
  <c r="CI101" i="23140"/>
  <c r="CI102" i="23140"/>
  <c r="CG97" i="23140"/>
  <c r="CG98" i="23140"/>
  <c r="CG109" i="23140"/>
  <c r="CG88" i="23140" s="1"/>
  <c r="CG103" i="23140"/>
  <c r="CG89" i="23140" l="1"/>
  <c r="CG90" i="23140"/>
  <c r="CH103" i="23140"/>
  <c r="CH109" i="23140"/>
  <c r="CH97" i="23140"/>
  <c r="CI106" i="23140"/>
  <c r="CI107" i="23140"/>
  <c r="CJ102" i="23140"/>
  <c r="CJ101" i="23140"/>
  <c r="CI96" i="23140"/>
  <c r="CJ96" i="23140"/>
  <c r="CJ103" i="23140" s="1"/>
  <c r="CJ109" i="23140" l="1"/>
  <c r="CJ88" i="23140" s="1"/>
  <c r="CJ98" i="23140"/>
  <c r="CJ97" i="23140"/>
  <c r="CH88" i="23140"/>
  <c r="DG109" i="23140"/>
  <c r="CK101" i="23140"/>
  <c r="CK102" i="23140"/>
  <c r="DG11" i="23141"/>
  <c r="CI97" i="23140"/>
  <c r="CI109" i="23140"/>
  <c r="CI88" i="23140" s="1"/>
  <c r="CI98" i="23140"/>
  <c r="CI103" i="23140"/>
  <c r="CJ107" i="23140"/>
  <c r="CJ106" i="23140"/>
  <c r="CI89" i="23140" l="1"/>
  <c r="CI90" i="23140"/>
  <c r="CK107" i="23140"/>
  <c r="CK106" i="23140"/>
  <c r="DG88" i="23140"/>
  <c r="CH89" i="23140"/>
  <c r="DG10" i="23141"/>
  <c r="CH107" i="23141"/>
  <c r="CK96" i="23140"/>
  <c r="CL101" i="23140"/>
  <c r="CL102" i="23140"/>
  <c r="CG127" i="23141"/>
  <c r="CG107" i="23141"/>
  <c r="CJ90" i="23140"/>
  <c r="CJ89" i="23140"/>
  <c r="CK109" i="23140" l="1"/>
  <c r="CK88" i="23140" s="1"/>
  <c r="CK97" i="23140"/>
  <c r="CK98" i="23140"/>
  <c r="CK103" i="23140"/>
  <c r="CI127" i="23141"/>
  <c r="CI107" i="23141"/>
  <c r="CL96" i="23140"/>
  <c r="CL107" i="23140"/>
  <c r="CL106" i="23140"/>
  <c r="CN101" i="23140"/>
  <c r="CN102" i="23140"/>
  <c r="CF188" i="23140"/>
  <c r="CF95" i="23141"/>
  <c r="CF120" i="23141"/>
  <c r="CF140" i="23141"/>
  <c r="CM101" i="23140"/>
  <c r="CF20" i="23141"/>
  <c r="CM106" i="23140"/>
  <c r="CM96" i="23140" l="1"/>
  <c r="CM103" i="23140" s="1"/>
  <c r="CJ127" i="23141"/>
  <c r="CJ107" i="23141"/>
  <c r="CO102" i="23140"/>
  <c r="CO101" i="23140"/>
  <c r="CM109" i="23140"/>
  <c r="CM97" i="23140"/>
  <c r="CN96" i="23140"/>
  <c r="CN107" i="23140"/>
  <c r="CN106" i="23140"/>
  <c r="CL97" i="23140"/>
  <c r="CL98" i="23140"/>
  <c r="CL109" i="23140"/>
  <c r="CL88" i="23140" s="1"/>
  <c r="CL103" i="23140"/>
  <c r="CK89" i="23140"/>
  <c r="CK90" i="23140"/>
  <c r="CL89" i="23140" l="1"/>
  <c r="CL90" i="23140"/>
  <c r="CN109" i="23140"/>
  <c r="CN88" i="23140" s="1"/>
  <c r="CN98" i="23140"/>
  <c r="CN97" i="23140"/>
  <c r="CN103" i="23140"/>
  <c r="CL107" i="23141"/>
  <c r="CL127" i="23141"/>
  <c r="CG188" i="23140"/>
  <c r="BR219" i="23140" s="1"/>
  <c r="CG140" i="23141"/>
  <c r="CG120" i="23141"/>
  <c r="CG95" i="23141"/>
  <c r="CH47" i="23141"/>
  <c r="CM88" i="23140"/>
  <c r="DH109" i="23140"/>
  <c r="CO96" i="23140"/>
  <c r="CO107" i="23140"/>
  <c r="CO106" i="23140"/>
  <c r="CP101" i="23140"/>
  <c r="CP102" i="23140"/>
  <c r="CK107" i="23141"/>
  <c r="CK127" i="23141"/>
  <c r="CG20" i="23141"/>
  <c r="CH19" i="23141"/>
  <c r="CP96" i="23140"/>
  <c r="CP103" i="23140" s="1"/>
  <c r="CO97" i="23140" l="1"/>
  <c r="CO109" i="23140"/>
  <c r="CO88" i="23140" s="1"/>
  <c r="CO98" i="23140"/>
  <c r="CO103" i="23140"/>
  <c r="CP97" i="23140"/>
  <c r="CP98" i="23140"/>
  <c r="CP109" i="23140"/>
  <c r="CP88" i="23140" s="1"/>
  <c r="DH88" i="23140"/>
  <c r="CM89" i="23140"/>
  <c r="CU88" i="23140"/>
  <c r="CN90" i="23140"/>
  <c r="CN89" i="23140"/>
  <c r="CQ102" i="23140"/>
  <c r="CQ101" i="23140"/>
  <c r="CH148" i="23141"/>
  <c r="CH149" i="23141" s="1"/>
  <c r="CH162" i="23141" s="1"/>
  <c r="CH20" i="23141"/>
  <c r="CH188" i="23140"/>
  <c r="CH95" i="23141"/>
  <c r="CH120" i="23141"/>
  <c r="DG47" i="23141"/>
  <c r="CP106" i="23140"/>
  <c r="CP107" i="23140"/>
  <c r="DH11" i="23141"/>
  <c r="CQ106" i="23140" l="1"/>
  <c r="CQ107" i="23140"/>
  <c r="CN127" i="23141"/>
  <c r="CN107" i="23141"/>
  <c r="CQ96" i="23140"/>
  <c r="CR101" i="23140"/>
  <c r="CO90" i="23140"/>
  <c r="CO89" i="23140"/>
  <c r="CP89" i="23140"/>
  <c r="CP90" i="23140"/>
  <c r="CR106" i="23140"/>
  <c r="CM107" i="23141" l="1"/>
  <c r="DH10" i="23141"/>
  <c r="CU10" i="23141"/>
  <c r="CR96" i="23140"/>
  <c r="CI188" i="23140"/>
  <c r="CI120" i="23141"/>
  <c r="CI140" i="23141"/>
  <c r="CI95" i="23141"/>
  <c r="CJ20" i="23141"/>
  <c r="CQ97" i="23140"/>
  <c r="CQ109" i="23140"/>
  <c r="CQ88" i="23140" s="1"/>
  <c r="CQ98" i="23140"/>
  <c r="CQ103" i="23140"/>
  <c r="CI20" i="23141"/>
  <c r="CO107" i="23141"/>
  <c r="CO127" i="23141"/>
  <c r="CJ188" i="23140" l="1"/>
  <c r="BS219" i="23140" s="1"/>
  <c r="BT219" i="23140" s="1"/>
  <c r="CJ95" i="23141"/>
  <c r="CJ120" i="23141"/>
  <c r="CJ140" i="23141"/>
  <c r="CR103" i="23140"/>
  <c r="CR97" i="23140"/>
  <c r="CR109" i="23140"/>
  <c r="CP127" i="23141"/>
  <c r="CP107" i="23141"/>
  <c r="CQ89" i="23140"/>
  <c r="CQ90" i="23140"/>
  <c r="CK20" i="23141" l="1"/>
  <c r="CR88" i="23140"/>
  <c r="DI109" i="23140"/>
  <c r="CL20" i="23141"/>
  <c r="CQ107" i="23141"/>
  <c r="CQ127" i="23141"/>
  <c r="CK188" i="23140"/>
  <c r="CK140" i="23141"/>
  <c r="CK95" i="23141"/>
  <c r="CK120" i="23141"/>
  <c r="DI11" i="23141"/>
  <c r="CL188" i="23140" l="1"/>
  <c r="CL95" i="23141"/>
  <c r="CL120" i="23141"/>
  <c r="CL140" i="23141"/>
  <c r="CM47" i="23141"/>
  <c r="CR89" i="23140"/>
  <c r="DI88" i="23140"/>
  <c r="CM19" i="23141"/>
  <c r="CN188" i="23140" l="1"/>
  <c r="CN140" i="23141"/>
  <c r="CN95" i="23141"/>
  <c r="CN120" i="23141"/>
  <c r="CM188" i="23140"/>
  <c r="DH47" i="23141"/>
  <c r="CM120" i="23141"/>
  <c r="CM95" i="23141"/>
  <c r="CN20" i="23141"/>
  <c r="CR107" i="23141"/>
  <c r="DI10" i="23141"/>
  <c r="CO20" i="23141"/>
  <c r="CM148" i="23141"/>
  <c r="CM149" i="23141" s="1"/>
  <c r="CM162" i="23141" s="1"/>
  <c r="CM20" i="23141"/>
  <c r="CP20" i="23141" l="1"/>
  <c r="CO188" i="23140"/>
  <c r="CO140" i="23141"/>
  <c r="CO120" i="23141"/>
  <c r="CO95" i="23141"/>
  <c r="CQ20" i="23141"/>
  <c r="CP188" i="23140" l="1"/>
  <c r="CP95" i="23141"/>
  <c r="CP140" i="23141"/>
  <c r="CP120" i="23141"/>
  <c r="CR47" i="23141"/>
  <c r="CQ188" i="23140"/>
  <c r="CQ95" i="23141"/>
  <c r="CQ140" i="23141"/>
  <c r="CQ120" i="23141"/>
  <c r="CR19" i="23141"/>
  <c r="CR148" i="23141" l="1"/>
  <c r="CR149" i="23141" s="1"/>
  <c r="CR162" i="23141" s="1"/>
  <c r="CR20" i="23141"/>
  <c r="CR188" i="23140"/>
  <c r="CR120" i="23141"/>
  <c r="CR95" i="23141"/>
  <c r="DI47" i="23141"/>
  <c r="BZ42" i="23141" l="1"/>
  <c r="BZ40" i="23141" s="1"/>
  <c r="BZ30" i="23141"/>
  <c r="BZ36" i="23141"/>
  <c r="BZ34" i="23141" s="1"/>
  <c r="BZ160" i="23141"/>
  <c r="BZ156" i="23141" s="1"/>
  <c r="CC68" i="23141"/>
  <c r="DF68" i="23141" s="1"/>
  <c r="BZ164" i="23141" l="1"/>
  <c r="BZ22" i="23141"/>
  <c r="BZ26" i="23141" s="1"/>
  <c r="CA30" i="23141"/>
  <c r="CA36" i="23141"/>
  <c r="CA34" i="23141" s="1"/>
  <c r="CA42" i="23141"/>
  <c r="CA40" i="23141" s="1"/>
  <c r="CA160" i="23141"/>
  <c r="CA156" i="23141" s="1"/>
  <c r="BY42" i="23141"/>
  <c r="BY30" i="23141"/>
  <c r="BY36" i="23141"/>
  <c r="BY160" i="23141"/>
  <c r="BY156" i="23141" s="1"/>
  <c r="BZ28" i="23141"/>
  <c r="BZ48" i="23141" s="1"/>
  <c r="BZ186" i="23140"/>
  <c r="CB36" i="23141" l="1"/>
  <c r="CB34" i="23141" s="1"/>
  <c r="CB30" i="23141"/>
  <c r="CB42" i="23141"/>
  <c r="CB40" i="23141" s="1"/>
  <c r="CB160" i="23141"/>
  <c r="CB156" i="23141" s="1"/>
  <c r="BZ53" i="23141"/>
  <c r="BZ54" i="23141"/>
  <c r="CA22" i="23141"/>
  <c r="CA26" i="23141" s="1"/>
  <c r="CA164" i="23141"/>
  <c r="BY22" i="23141"/>
  <c r="BY164" i="23141"/>
  <c r="CC50" i="23141"/>
  <c r="BY34" i="23141"/>
  <c r="CC34" i="23141" s="1"/>
  <c r="CC36" i="23141"/>
  <c r="CA186" i="23140"/>
  <c r="CA28" i="23141"/>
  <c r="CA48" i="23141" s="1"/>
  <c r="BY186" i="23140"/>
  <c r="BM214" i="23140" s="1"/>
  <c r="BN214" i="23140" s="1"/>
  <c r="AS351" i="23083" s="1"/>
  <c r="AS352" i="23083" s="1"/>
  <c r="BY28" i="23141"/>
  <c r="BZ110" i="23141"/>
  <c r="BZ176" i="23140"/>
  <c r="BZ85" i="23141"/>
  <c r="BZ27" i="23141"/>
  <c r="BZ64" i="23141"/>
  <c r="CD42" i="23141"/>
  <c r="CD30" i="23141"/>
  <c r="CD36" i="23141"/>
  <c r="CD160" i="23141"/>
  <c r="CD156" i="23141" s="1"/>
  <c r="BY40" i="23141"/>
  <c r="CC39" i="23141" l="1"/>
  <c r="CC88" i="23141" s="1"/>
  <c r="CA131" i="23140"/>
  <c r="CA132" i="23140" s="1"/>
  <c r="CD40" i="23141"/>
  <c r="CC179" i="23140"/>
  <c r="DF39" i="23141"/>
  <c r="CT39" i="23141"/>
  <c r="CC113" i="23141"/>
  <c r="BZ116" i="23141"/>
  <c r="BZ67" i="23141"/>
  <c r="BZ91" i="23141"/>
  <c r="BY48" i="23141"/>
  <c r="DF50" i="23141"/>
  <c r="CC160" i="23141"/>
  <c r="CD22" i="23141"/>
  <c r="CD164" i="23141"/>
  <c r="BZ177" i="23140"/>
  <c r="BZ86" i="23141"/>
  <c r="BZ111" i="23141"/>
  <c r="CB22" i="23141"/>
  <c r="CB26" i="23141" s="1"/>
  <c r="CB164" i="23141"/>
  <c r="CE42" i="23141"/>
  <c r="CE40" i="23141" s="1"/>
  <c r="CE36" i="23141"/>
  <c r="CE34" i="23141" s="1"/>
  <c r="CE30" i="23141"/>
  <c r="CE160" i="23141"/>
  <c r="CE156" i="23141" s="1"/>
  <c r="CA53" i="23141"/>
  <c r="CA54" i="23141"/>
  <c r="CC22" i="23141"/>
  <c r="BY26" i="23141"/>
  <c r="CC40" i="23141"/>
  <c r="CI42" i="23141"/>
  <c r="CI30" i="23141"/>
  <c r="CI36" i="23141"/>
  <c r="CI160" i="23141"/>
  <c r="CI156" i="23141" s="1"/>
  <c r="CD34" i="23141"/>
  <c r="CC30" i="23141"/>
  <c r="CB186" i="23140"/>
  <c r="CB28" i="23141"/>
  <c r="CB48" i="23141" s="1"/>
  <c r="BY131" i="23140"/>
  <c r="BY132" i="23140" s="1"/>
  <c r="BZ131" i="23140"/>
  <c r="BZ132" i="23140" s="1"/>
  <c r="CC42" i="23141"/>
  <c r="CD186" i="23140"/>
  <c r="CD28" i="23141"/>
  <c r="CA110" i="23141"/>
  <c r="CA130" i="23141"/>
  <c r="CA85" i="23141"/>
  <c r="CA176" i="23140"/>
  <c r="CA27" i="23141"/>
  <c r="CA64" i="23141"/>
  <c r="CB131" i="23140"/>
  <c r="CB132" i="23140" s="1"/>
  <c r="CH68" i="23141"/>
  <c r="DG68" i="23141" s="1"/>
  <c r="CC158" i="23141" l="1"/>
  <c r="CC45" i="23141"/>
  <c r="CT45" i="23141" s="1"/>
  <c r="CC28" i="23141"/>
  <c r="CC33" i="23141" s="1"/>
  <c r="CC178" i="23140" s="1"/>
  <c r="CC186" i="23140"/>
  <c r="CC157" i="23141"/>
  <c r="CI40" i="23141"/>
  <c r="CB85" i="23141"/>
  <c r="CB110" i="23141"/>
  <c r="CB130" i="23141"/>
  <c r="CB176" i="23140"/>
  <c r="CB64" i="23141"/>
  <c r="CB27" i="23141"/>
  <c r="CD26" i="23141"/>
  <c r="CC180" i="23140"/>
  <c r="CC114" i="23141"/>
  <c r="CE22" i="23141"/>
  <c r="CE26" i="23141" s="1"/>
  <c r="CE164" i="23141"/>
  <c r="BZ183" i="23140"/>
  <c r="BZ92" i="23141"/>
  <c r="BZ117" i="23141"/>
  <c r="CA67" i="23141"/>
  <c r="CA91" i="23141"/>
  <c r="CA116" i="23141"/>
  <c r="CA136" i="23141"/>
  <c r="BY85" i="23141"/>
  <c r="BY110" i="23141"/>
  <c r="BY176" i="23140"/>
  <c r="BM201" i="23140" s="1"/>
  <c r="BY130" i="23141"/>
  <c r="BY64" i="23141"/>
  <c r="BY27" i="23141"/>
  <c r="BZ130" i="23141"/>
  <c r="CE186" i="23140"/>
  <c r="CE28" i="23141"/>
  <c r="CE48" i="23141" s="1"/>
  <c r="CC132" i="23140"/>
  <c r="DF130" i="23140"/>
  <c r="CA86" i="23141"/>
  <c r="CA177" i="23140"/>
  <c r="CA131" i="23141"/>
  <c r="CA111" i="23141"/>
  <c r="CI164" i="23141"/>
  <c r="CI22" i="23141"/>
  <c r="CC159" i="23141"/>
  <c r="CC156" i="23141"/>
  <c r="CC26" i="23141"/>
  <c r="CC48" i="23141"/>
  <c r="CN36" i="23141"/>
  <c r="CN42" i="23141"/>
  <c r="CN30" i="23141"/>
  <c r="CN160" i="23141"/>
  <c r="CN156" i="23141" s="1"/>
  <c r="CJ30" i="23141"/>
  <c r="CJ42" i="23141"/>
  <c r="CJ40" i="23141" s="1"/>
  <c r="CJ36" i="23141"/>
  <c r="CJ34" i="23141" s="1"/>
  <c r="CJ160" i="23141"/>
  <c r="CJ156" i="23141" s="1"/>
  <c r="CD48" i="23141"/>
  <c r="CB53" i="23141"/>
  <c r="CB54" i="23141"/>
  <c r="CI34" i="23141"/>
  <c r="BY53" i="23141"/>
  <c r="BY54" i="23141"/>
  <c r="CF36" i="23141"/>
  <c r="CF42" i="23141"/>
  <c r="CF40" i="23141" s="1"/>
  <c r="CF30" i="23141"/>
  <c r="CF160" i="23141"/>
  <c r="CF156" i="23141" s="1"/>
  <c r="BO214" i="23140"/>
  <c r="CI186" i="23140"/>
  <c r="CI28" i="23141"/>
  <c r="CD131" i="23140"/>
  <c r="CD132" i="23140" s="1"/>
  <c r="CM68" i="23141"/>
  <c r="DH68" i="23141" s="1"/>
  <c r="CC89" i="23141" l="1"/>
  <c r="DF45" i="23141"/>
  <c r="CE131" i="23140"/>
  <c r="CE132" i="23140" s="1"/>
  <c r="CJ135" i="23140"/>
  <c r="CJ136" i="23140" s="1"/>
  <c r="BV69" i="23141"/>
  <c r="BV70" i="23141" s="1"/>
  <c r="BV71" i="23141" s="1"/>
  <c r="BV73" i="23141" s="1"/>
  <c r="CF164" i="23141"/>
  <c r="CF22" i="23141"/>
  <c r="CN34" i="23141"/>
  <c r="CI26" i="23141"/>
  <c r="BY116" i="23141"/>
  <c r="BY67" i="23141"/>
  <c r="BY91" i="23141"/>
  <c r="BY136" i="23141"/>
  <c r="BZ136" i="23141"/>
  <c r="CF28" i="23141"/>
  <c r="CF186" i="23140"/>
  <c r="CD53" i="23141"/>
  <c r="CD54" i="23141"/>
  <c r="CJ28" i="23141"/>
  <c r="CJ48" i="23141" s="1"/>
  <c r="CJ186" i="23140"/>
  <c r="DF33" i="23141"/>
  <c r="CC112" i="23141"/>
  <c r="CC87" i="23141"/>
  <c r="CT33" i="23141"/>
  <c r="CB131" i="23141"/>
  <c r="CB111" i="23141"/>
  <c r="CB177" i="23140"/>
  <c r="CB86" i="23141"/>
  <c r="CK36" i="23141"/>
  <c r="CK42" i="23141"/>
  <c r="CK40" i="23141" s="1"/>
  <c r="CK30" i="23141"/>
  <c r="CK160" i="23141"/>
  <c r="CK156" i="23141" s="1"/>
  <c r="CI48" i="23141"/>
  <c r="CN22" i="23141"/>
  <c r="CN164" i="23141"/>
  <c r="CC53" i="23141"/>
  <c r="DF48" i="23141"/>
  <c r="CC54" i="23141"/>
  <c r="CE53" i="23141"/>
  <c r="CE54" i="23141"/>
  <c r="BM202" i="23140"/>
  <c r="BM209" i="23140" s="1"/>
  <c r="BN201" i="23140"/>
  <c r="BN202" i="23140" s="1"/>
  <c r="BN209" i="23140" s="1"/>
  <c r="CB136" i="23141"/>
  <c r="CB116" i="23141"/>
  <c r="CB91" i="23141"/>
  <c r="CB67" i="23141"/>
  <c r="CG30" i="23141"/>
  <c r="CG42" i="23141"/>
  <c r="CG40" i="23141" s="1"/>
  <c r="CH40" i="23141" s="1"/>
  <c r="CG36" i="23141"/>
  <c r="CG34" i="23141" s="1"/>
  <c r="CG160" i="23141"/>
  <c r="CG156" i="23141" s="1"/>
  <c r="CF34" i="23141"/>
  <c r="CC110" i="23141"/>
  <c r="CC176" i="23140"/>
  <c r="CC85" i="23141"/>
  <c r="DF26" i="23141"/>
  <c r="CC27" i="23141"/>
  <c r="CC64" i="23141"/>
  <c r="CA137" i="23141"/>
  <c r="CA183" i="23140"/>
  <c r="CA117" i="23141"/>
  <c r="CA92" i="23141"/>
  <c r="BO201" i="23140"/>
  <c r="CC136" i="23140"/>
  <c r="DF134" i="23140"/>
  <c r="CJ164" i="23141"/>
  <c r="CJ22" i="23141"/>
  <c r="CJ26" i="23141" s="1"/>
  <c r="CN28" i="23141"/>
  <c r="CN186" i="23140"/>
  <c r="CC164" i="23141"/>
  <c r="CC115" i="23141"/>
  <c r="CE176" i="23140"/>
  <c r="CE110" i="23141"/>
  <c r="CE85" i="23141"/>
  <c r="CE130" i="23141"/>
  <c r="CE64" i="23141"/>
  <c r="CE27" i="23141"/>
  <c r="CO30" i="23141"/>
  <c r="CO36" i="23141"/>
  <c r="CO34" i="23141" s="1"/>
  <c r="CO42" i="23141"/>
  <c r="CO40" i="23141" s="1"/>
  <c r="CO160" i="23141"/>
  <c r="CO156" i="23141" s="1"/>
  <c r="BP214" i="23140"/>
  <c r="BQ214" i="23140" s="1"/>
  <c r="AT351" i="23083" s="1"/>
  <c r="AT352" i="23083" s="1"/>
  <c r="CN40" i="23141"/>
  <c r="BY131" i="23141"/>
  <c r="BY86" i="23141"/>
  <c r="BY111" i="23141"/>
  <c r="BY177" i="23140"/>
  <c r="BZ131" i="23141"/>
  <c r="CC90" i="23141"/>
  <c r="CD130" i="23141"/>
  <c r="CD176" i="23140"/>
  <c r="CD110" i="23141"/>
  <c r="CD85" i="23141"/>
  <c r="CD27" i="23141"/>
  <c r="CD64" i="23141"/>
  <c r="CH50" i="23141"/>
  <c r="CR68" i="23141"/>
  <c r="DI68" i="23141" s="1"/>
  <c r="CH42" i="23141" l="1"/>
  <c r="BP201" i="23140"/>
  <c r="BP202" i="23140" s="1"/>
  <c r="BP209" i="23140" s="1"/>
  <c r="BP215" i="23140" s="1"/>
  <c r="CH36" i="23141"/>
  <c r="CM50" i="23141"/>
  <c r="CL42" i="23141"/>
  <c r="CL40" i="23141" s="1"/>
  <c r="CM40" i="23141" s="1"/>
  <c r="CL30" i="23141"/>
  <c r="CM30" i="23141" s="1"/>
  <c r="CL36" i="23141"/>
  <c r="CL34" i="23141" s="1"/>
  <c r="CL160" i="23141"/>
  <c r="CL156" i="23141" s="1"/>
  <c r="CD67" i="23141"/>
  <c r="CD91" i="23141"/>
  <c r="CD116" i="23141"/>
  <c r="CD136" i="23141"/>
  <c r="CJ85" i="23141"/>
  <c r="CJ130" i="23141"/>
  <c r="CJ110" i="23141"/>
  <c r="CJ176" i="23140"/>
  <c r="CJ64" i="23141"/>
  <c r="CJ27" i="23141"/>
  <c r="BO202" i="23140"/>
  <c r="BO209" i="23140" s="1"/>
  <c r="BO215" i="23140" s="1"/>
  <c r="BQ201" i="23140"/>
  <c r="BQ202" i="23140" s="1"/>
  <c r="BQ209" i="23140" s="1"/>
  <c r="BQ215" i="23140" s="1"/>
  <c r="CH30" i="23141"/>
  <c r="CG28" i="23141"/>
  <c r="CG48" i="23141" s="1"/>
  <c r="CG186" i="23140"/>
  <c r="BN215" i="23140"/>
  <c r="DF53" i="23141"/>
  <c r="CT53" i="23141"/>
  <c r="CK28" i="23141"/>
  <c r="CK186" i="23140"/>
  <c r="CI176" i="23140"/>
  <c r="CI85" i="23141"/>
  <c r="CI110" i="23141"/>
  <c r="CI27" i="23141"/>
  <c r="CI64" i="23141"/>
  <c r="CP30" i="23141"/>
  <c r="CP42" i="23141"/>
  <c r="CP36" i="23141"/>
  <c r="CP34" i="23141" s="1"/>
  <c r="CP160" i="23141"/>
  <c r="CP156" i="23141" s="1"/>
  <c r="CD111" i="23141"/>
  <c r="CD177" i="23140"/>
  <c r="CD131" i="23141"/>
  <c r="CD86" i="23141"/>
  <c r="CO28" i="23141"/>
  <c r="CO48" i="23141" s="1"/>
  <c r="CO186" i="23140"/>
  <c r="CT64" i="23141"/>
  <c r="CC116" i="23141"/>
  <c r="DF64" i="23141"/>
  <c r="CC91" i="23141"/>
  <c r="CC67" i="23141"/>
  <c r="CB137" i="23141"/>
  <c r="CB183" i="23140"/>
  <c r="CB117" i="23141"/>
  <c r="CB92" i="23141"/>
  <c r="BM215" i="23140"/>
  <c r="CE131" i="23141"/>
  <c r="CE111" i="23141"/>
  <c r="CE177" i="23140"/>
  <c r="CE86" i="23141"/>
  <c r="CC177" i="23140"/>
  <c r="CT27" i="23141"/>
  <c r="DF27" i="23141"/>
  <c r="CC86" i="23141"/>
  <c r="CC111" i="23141"/>
  <c r="CF48" i="23141"/>
  <c r="CH34" i="23141"/>
  <c r="CH39" i="23141" s="1"/>
  <c r="CN26" i="23141"/>
  <c r="CK34" i="23141"/>
  <c r="CJ53" i="23141"/>
  <c r="CJ54" i="23141"/>
  <c r="BV124" i="23141"/>
  <c r="BV144" i="23141"/>
  <c r="BV99" i="23141"/>
  <c r="BV77" i="23141"/>
  <c r="CE116" i="23141"/>
  <c r="CE67" i="23141"/>
  <c r="CE91" i="23141"/>
  <c r="CE136" i="23141"/>
  <c r="CG164" i="23141"/>
  <c r="CG22" i="23141"/>
  <c r="CG26" i="23141" s="1"/>
  <c r="BV121" i="23141"/>
  <c r="BV141" i="23141"/>
  <c r="BV96" i="23141"/>
  <c r="BV57" i="23141"/>
  <c r="BV58" i="23141" s="1"/>
  <c r="BV60" i="23141" s="1"/>
  <c r="CO22" i="23141"/>
  <c r="CO26" i="23141" s="1"/>
  <c r="CO164" i="23141"/>
  <c r="DF54" i="23141"/>
  <c r="CI53" i="23141"/>
  <c r="CI54" i="23141"/>
  <c r="BY137" i="23141"/>
  <c r="BY183" i="23140"/>
  <c r="BM210" i="23140" s="1"/>
  <c r="BN210" i="23140" s="1"/>
  <c r="BN212" i="23140" s="1"/>
  <c r="BY117" i="23141"/>
  <c r="BY92" i="23141"/>
  <c r="BZ137" i="23141"/>
  <c r="DG50" i="23141"/>
  <c r="CH160" i="23141"/>
  <c r="CN48" i="23141"/>
  <c r="CH45" i="23141"/>
  <c r="CK22" i="23141"/>
  <c r="CK26" i="23141" s="1"/>
  <c r="CK164" i="23141"/>
  <c r="CF26" i="23141"/>
  <c r="CF131" i="23140"/>
  <c r="CF132" i="23140" s="1"/>
  <c r="CR50" i="23141"/>
  <c r="BM212" i="23140" l="1"/>
  <c r="CM42" i="23141"/>
  <c r="CM36" i="23141"/>
  <c r="CH179" i="23140"/>
  <c r="CH113" i="23141"/>
  <c r="CH88" i="23141"/>
  <c r="DG39" i="23141"/>
  <c r="DI50" i="23141"/>
  <c r="CR160" i="23141"/>
  <c r="CF130" i="23141"/>
  <c r="CF110" i="23141"/>
  <c r="CF85" i="23141"/>
  <c r="CF176" i="23140"/>
  <c r="CF27" i="23141"/>
  <c r="CF64" i="23141"/>
  <c r="CE183" i="23140"/>
  <c r="CE92" i="23141"/>
  <c r="CE137" i="23141"/>
  <c r="CE117" i="23141"/>
  <c r="CP40" i="23141"/>
  <c r="CM34" i="23141"/>
  <c r="CM39" i="23141" s="1"/>
  <c r="BV98" i="23141"/>
  <c r="BV63" i="23141"/>
  <c r="BV123" i="23141"/>
  <c r="BV143" i="23141"/>
  <c r="CI130" i="23141"/>
  <c r="CG176" i="23140"/>
  <c r="BS201" i="23140" s="1"/>
  <c r="BS202" i="23140" s="1"/>
  <c r="BS209" i="23140" s="1"/>
  <c r="CG110" i="23141"/>
  <c r="CG85" i="23141"/>
  <c r="CG130" i="23141"/>
  <c r="CG27" i="23141"/>
  <c r="CG64" i="23141"/>
  <c r="CP186" i="23140"/>
  <c r="CP28" i="23141"/>
  <c r="CM186" i="23140"/>
  <c r="CJ177" i="23140"/>
  <c r="CJ86" i="23141"/>
  <c r="CJ131" i="23141"/>
  <c r="CJ111" i="23141"/>
  <c r="CL28" i="23141"/>
  <c r="CL48" i="23141" s="1"/>
  <c r="CL186" i="23140"/>
  <c r="CK85" i="23141"/>
  <c r="CK176" i="23140"/>
  <c r="CK130" i="23141"/>
  <c r="CK110" i="23141"/>
  <c r="CK64" i="23141"/>
  <c r="CK27" i="23141"/>
  <c r="CI91" i="23141"/>
  <c r="CI116" i="23141"/>
  <c r="CI67" i="23141"/>
  <c r="BS214" i="23140"/>
  <c r="BR214" i="23140"/>
  <c r="CJ91" i="23141"/>
  <c r="CJ67" i="23141"/>
  <c r="CJ136" i="23141"/>
  <c r="CJ116" i="23141"/>
  <c r="CM45" i="23141"/>
  <c r="CF53" i="23141"/>
  <c r="CF54" i="23141"/>
  <c r="CI86" i="23141"/>
  <c r="CI177" i="23140"/>
  <c r="CI111" i="23141"/>
  <c r="CK48" i="23141"/>
  <c r="CM28" i="23141"/>
  <c r="CG53" i="23141"/>
  <c r="CG54" i="23141"/>
  <c r="DH50" i="23141"/>
  <c r="CM160" i="23141"/>
  <c r="CH180" i="23140"/>
  <c r="CH89" i="23141"/>
  <c r="CH114" i="23141"/>
  <c r="DG45" i="23141"/>
  <c r="CI131" i="23140"/>
  <c r="CI132" i="23140" s="1"/>
  <c r="CK131" i="23140"/>
  <c r="CK132" i="23140" s="1"/>
  <c r="CJ131" i="23140"/>
  <c r="CJ132" i="23140" s="1"/>
  <c r="CG131" i="23140"/>
  <c r="CG132" i="23140" s="1"/>
  <c r="CN53" i="23141"/>
  <c r="CN54" i="23141"/>
  <c r="CC183" i="23140"/>
  <c r="CT67" i="23141"/>
  <c r="CC117" i="23141"/>
  <c r="CC92" i="23141"/>
  <c r="DF67" i="23141"/>
  <c r="CO54" i="23141"/>
  <c r="CO53" i="23141"/>
  <c r="CP164" i="23141"/>
  <c r="CP22" i="23141"/>
  <c r="CH186" i="23140"/>
  <c r="CD183" i="23140"/>
  <c r="BP210" i="23140" s="1"/>
  <c r="BP212" i="23140" s="1"/>
  <c r="CD92" i="23141"/>
  <c r="CD137" i="23141"/>
  <c r="CD117" i="23141"/>
  <c r="BO210" i="23140"/>
  <c r="CQ36" i="23141"/>
  <c r="CQ42" i="23141"/>
  <c r="CQ40" i="23141" s="1"/>
  <c r="CQ30" i="23141"/>
  <c r="CQ160" i="23141"/>
  <c r="CQ156" i="23141" s="1"/>
  <c r="CH22" i="23141"/>
  <c r="CO85" i="23141"/>
  <c r="CO176" i="23140"/>
  <c r="CO130" i="23141"/>
  <c r="CO110" i="23141"/>
  <c r="CO27" i="23141"/>
  <c r="CO64" i="23141"/>
  <c r="CN176" i="23140"/>
  <c r="CN110" i="23141"/>
  <c r="CN85" i="23141"/>
  <c r="CN64" i="23141"/>
  <c r="CN27" i="23141"/>
  <c r="CL22" i="23141"/>
  <c r="CL26" i="23141" s="1"/>
  <c r="CN130" i="23141" s="1"/>
  <c r="CL164" i="23141"/>
  <c r="CH28" i="23141"/>
  <c r="BT214" i="23140" l="1"/>
  <c r="AU351" i="23083" s="1"/>
  <c r="BS215" i="23140"/>
  <c r="CL176" i="23140"/>
  <c r="CL85" i="23141"/>
  <c r="CL130" i="23141"/>
  <c r="CL110" i="23141"/>
  <c r="CL64" i="23141"/>
  <c r="CN136" i="23141" s="1"/>
  <c r="CL27" i="23141"/>
  <c r="BO212" i="23140"/>
  <c r="BQ210" i="23140"/>
  <c r="BQ212" i="23140" s="1"/>
  <c r="CJ183" i="23140"/>
  <c r="CJ137" i="23141"/>
  <c r="CJ117" i="23141"/>
  <c r="CJ92" i="23141"/>
  <c r="CM22" i="23141"/>
  <c r="CF177" i="23140"/>
  <c r="CF86" i="23141"/>
  <c r="CF111" i="23141"/>
  <c r="CF131" i="23141"/>
  <c r="CM179" i="23140"/>
  <c r="CM88" i="23141"/>
  <c r="CM113" i="23141"/>
  <c r="DH39" i="23141"/>
  <c r="CU39" i="23141"/>
  <c r="BR201" i="23140"/>
  <c r="CN116" i="23141"/>
  <c r="CN67" i="23141"/>
  <c r="CN91" i="23141"/>
  <c r="CO131" i="23141"/>
  <c r="CO86" i="23141"/>
  <c r="CO111" i="23141"/>
  <c r="CO177" i="23140"/>
  <c r="CQ164" i="23141"/>
  <c r="CQ22" i="23141"/>
  <c r="CQ26" i="23141" s="1"/>
  <c r="CM33" i="23141"/>
  <c r="CM178" i="23140" s="1"/>
  <c r="CM48" i="23141"/>
  <c r="AU352" i="23083"/>
  <c r="CK131" i="23141"/>
  <c r="CK111" i="23141"/>
  <c r="CK177" i="23140"/>
  <c r="CK86" i="23141"/>
  <c r="CG116" i="23141"/>
  <c r="CG91" i="23141"/>
  <c r="CG67" i="23141"/>
  <c r="CG136" i="23141"/>
  <c r="CR42" i="23141"/>
  <c r="CK54" i="23141"/>
  <c r="CK53" i="23141"/>
  <c r="CM180" i="23140"/>
  <c r="CM114" i="23141"/>
  <c r="DH45" i="23141"/>
  <c r="CM89" i="23141"/>
  <c r="CU45" i="23141"/>
  <c r="CK116" i="23141"/>
  <c r="CK136" i="23141"/>
  <c r="CK67" i="23141"/>
  <c r="CK91" i="23141"/>
  <c r="CL53" i="23141"/>
  <c r="CL54" i="23141"/>
  <c r="CI131" i="23141"/>
  <c r="CG177" i="23140"/>
  <c r="CG86" i="23141"/>
  <c r="CG111" i="23141"/>
  <c r="CG131" i="23141"/>
  <c r="CR40" i="23141"/>
  <c r="DG130" i="23140"/>
  <c r="CH132" i="23140"/>
  <c r="CN86" i="23141"/>
  <c r="CN111" i="23141"/>
  <c r="CN177" i="23140"/>
  <c r="CN131" i="23141"/>
  <c r="CO116" i="23141"/>
  <c r="CO91" i="23141"/>
  <c r="CO67" i="23141"/>
  <c r="CO136" i="23141"/>
  <c r="CH156" i="23141"/>
  <c r="CH26" i="23141"/>
  <c r="CH159" i="23141"/>
  <c r="CH158" i="23141"/>
  <c r="CP26" i="23141"/>
  <c r="CR30" i="23141"/>
  <c r="CQ186" i="23140"/>
  <c r="CQ28" i="23141"/>
  <c r="CH33" i="23141"/>
  <c r="CH178" i="23140" s="1"/>
  <c r="CH48" i="23141"/>
  <c r="CI136" i="23141"/>
  <c r="CP48" i="23141"/>
  <c r="CQ34" i="23141"/>
  <c r="CR34" i="23141" s="1"/>
  <c r="CR36" i="23141"/>
  <c r="CH157" i="23141"/>
  <c r="CI183" i="23140"/>
  <c r="CI117" i="23141"/>
  <c r="CI92" i="23141"/>
  <c r="BV75" i="23141"/>
  <c r="BV76" i="23141"/>
  <c r="CF91" i="23141"/>
  <c r="CF67" i="23141"/>
  <c r="CF136" i="23141"/>
  <c r="CF116" i="23141"/>
  <c r="CR45" i="23141" l="1"/>
  <c r="DI45" i="23141" s="1"/>
  <c r="CM90" i="23141"/>
  <c r="DG33" i="23141"/>
  <c r="CH87" i="23141"/>
  <c r="CH112" i="23141"/>
  <c r="CH90" i="23141"/>
  <c r="CH115" i="23141"/>
  <c r="CQ176" i="23140"/>
  <c r="CQ85" i="23141"/>
  <c r="CQ110" i="23141"/>
  <c r="CQ130" i="23141"/>
  <c r="CQ27" i="23141"/>
  <c r="CQ64" i="23141"/>
  <c r="CL111" i="23141"/>
  <c r="CL131" i="23141"/>
  <c r="CL86" i="23141"/>
  <c r="CL177" i="23140"/>
  <c r="CR39" i="23141"/>
  <c r="CR28" i="23141"/>
  <c r="CQ48" i="23141"/>
  <c r="CI137" i="23141"/>
  <c r="CG92" i="23141"/>
  <c r="CG183" i="23140"/>
  <c r="BS210" i="23140" s="1"/>
  <c r="BS212" i="23140" s="1"/>
  <c r="CG137" i="23141"/>
  <c r="CG117" i="23141"/>
  <c r="CN92" i="23141"/>
  <c r="CN117" i="23141"/>
  <c r="CN183" i="23140"/>
  <c r="CN137" i="23141"/>
  <c r="CL91" i="23141"/>
  <c r="CL136" i="23141"/>
  <c r="CL67" i="23141"/>
  <c r="CL116" i="23141"/>
  <c r="CP53" i="23141"/>
  <c r="CP54" i="23141"/>
  <c r="CH110" i="23141"/>
  <c r="CH176" i="23140"/>
  <c r="CH85" i="23141"/>
  <c r="DG26" i="23141"/>
  <c r="CH27" i="23141"/>
  <c r="CH64" i="23141"/>
  <c r="CR180" i="23140"/>
  <c r="CR89" i="23141"/>
  <c r="CH164" i="23141"/>
  <c r="CR22" i="23141"/>
  <c r="CR159" i="23141" s="1"/>
  <c r="CM53" i="23141"/>
  <c r="DH48" i="23141"/>
  <c r="CM54" i="23141"/>
  <c r="BT201" i="23140"/>
  <c r="BT202" i="23140" s="1"/>
  <c r="BT209" i="23140" s="1"/>
  <c r="BT215" i="23140" s="1"/>
  <c r="BR202" i="23140"/>
  <c r="BR209" i="23140" s="1"/>
  <c r="BR215" i="23140" s="1"/>
  <c r="CM158" i="23141"/>
  <c r="CM156" i="23141"/>
  <c r="CM26" i="23141"/>
  <c r="CM159" i="23141"/>
  <c r="CM157" i="23141"/>
  <c r="CF92" i="23141"/>
  <c r="CF137" i="23141"/>
  <c r="CF183" i="23140"/>
  <c r="CF117" i="23141"/>
  <c r="CR186" i="23140"/>
  <c r="CH136" i="23140"/>
  <c r="DG134" i="23140"/>
  <c r="DG48" i="23141"/>
  <c r="CH53" i="23141"/>
  <c r="DG53" i="23141" s="1"/>
  <c r="CH54" i="23141"/>
  <c r="CP176" i="23140"/>
  <c r="CP85" i="23141"/>
  <c r="CP110" i="23141"/>
  <c r="CP130" i="23141"/>
  <c r="CP64" i="23141"/>
  <c r="CP27" i="23141"/>
  <c r="CO183" i="23140"/>
  <c r="CO92" i="23141"/>
  <c r="CO117" i="23141"/>
  <c r="CO137" i="23141"/>
  <c r="CK117" i="23141"/>
  <c r="CK183" i="23140"/>
  <c r="CK137" i="23141"/>
  <c r="CK92" i="23141"/>
  <c r="CM112" i="23141"/>
  <c r="CU33" i="23141"/>
  <c r="DH33" i="23141"/>
  <c r="CM87" i="23141"/>
  <c r="CM115" i="23141"/>
  <c r="CR114" i="23141" l="1"/>
  <c r="CM164" i="23141"/>
  <c r="BR210" i="23140"/>
  <c r="BT210" i="23140" s="1"/>
  <c r="BT212" i="23140" s="1"/>
  <c r="CP111" i="23141"/>
  <c r="CP177" i="23140"/>
  <c r="CP131" i="23141"/>
  <c r="CP86" i="23141"/>
  <c r="DG54" i="23141"/>
  <c r="CM110" i="23141"/>
  <c r="CM176" i="23140"/>
  <c r="CM85" i="23141"/>
  <c r="DH26" i="23141"/>
  <c r="CM64" i="23141"/>
  <c r="CM27" i="23141"/>
  <c r="CR179" i="23140"/>
  <c r="CR113" i="23141"/>
  <c r="DI39" i="23141"/>
  <c r="CR88" i="23141"/>
  <c r="CQ111" i="23141"/>
  <c r="CQ86" i="23141"/>
  <c r="CQ177" i="23140"/>
  <c r="CQ131" i="23141"/>
  <c r="CP91" i="23141"/>
  <c r="CP67" i="23141"/>
  <c r="CP136" i="23141"/>
  <c r="CP116" i="23141"/>
  <c r="BR212" i="23140"/>
  <c r="DH53" i="23141"/>
  <c r="CU53" i="23141"/>
  <c r="CH67" i="23141"/>
  <c r="CH116" i="23141"/>
  <c r="DG64" i="23141"/>
  <c r="CH91" i="23141"/>
  <c r="CR157" i="23141"/>
  <c r="CR156" i="23141"/>
  <c r="CR26" i="23141"/>
  <c r="DG27" i="23141"/>
  <c r="CH86" i="23141"/>
  <c r="CH111" i="23141"/>
  <c r="CH177" i="23140"/>
  <c r="CL117" i="23141"/>
  <c r="CL183" i="23140"/>
  <c r="CL92" i="23141"/>
  <c r="CL137" i="23141"/>
  <c r="CQ53" i="23141"/>
  <c r="CQ54" i="23141"/>
  <c r="DH54" i="23141"/>
  <c r="CR48" i="23141"/>
  <c r="CR33" i="23141"/>
  <c r="CR178" i="23140" s="1"/>
  <c r="CQ136" i="23141"/>
  <c r="CQ116" i="23141"/>
  <c r="CQ67" i="23141"/>
  <c r="CQ91" i="23141"/>
  <c r="CR158" i="23141"/>
  <c r="CH92" i="23141" l="1"/>
  <c r="CH117" i="23141"/>
  <c r="DG67" i="23141"/>
  <c r="CH183" i="23140"/>
  <c r="CM111" i="23141"/>
  <c r="CM177" i="23140"/>
  <c r="CM86" i="23141"/>
  <c r="DH27" i="23141"/>
  <c r="CU27" i="23141"/>
  <c r="CQ92" i="23141"/>
  <c r="CQ183" i="23140"/>
  <c r="CQ137" i="23141"/>
  <c r="CQ117" i="23141"/>
  <c r="CP183" i="23140"/>
  <c r="CP117" i="23141"/>
  <c r="CP137" i="23141"/>
  <c r="CP92" i="23141"/>
  <c r="CU64" i="23141"/>
  <c r="DH64" i="23141"/>
  <c r="CM116" i="23141"/>
  <c r="CM91" i="23141"/>
  <c r="CM67" i="23141"/>
  <c r="CR87" i="23141"/>
  <c r="DI33" i="23141"/>
  <c r="CR112" i="23141"/>
  <c r="CR90" i="23141"/>
  <c r="CR64" i="23141"/>
  <c r="CR176" i="23140"/>
  <c r="CR85" i="23141"/>
  <c r="DI26" i="23141"/>
  <c r="CR110" i="23141"/>
  <c r="CR27" i="23141"/>
  <c r="CR115" i="23141"/>
  <c r="CL135" i="23140"/>
  <c r="CL136" i="23140" s="1"/>
  <c r="CK135" i="23140"/>
  <c r="CK136" i="23140" s="1"/>
  <c r="CN135" i="23140"/>
  <c r="CN136" i="23140" s="1"/>
  <c r="CO135" i="23140"/>
  <c r="CO136" i="23140" s="1"/>
  <c r="DH134" i="23140"/>
  <c r="DI48" i="23141"/>
  <c r="CR53" i="23141"/>
  <c r="DI53" i="23141" s="1"/>
  <c r="CR54" i="23141"/>
  <c r="CR164" i="23141"/>
  <c r="CM183" i="23140" l="1"/>
  <c r="CU67" i="23141"/>
  <c r="CM92" i="23141"/>
  <c r="DH67" i="23141"/>
  <c r="CM117" i="23141"/>
  <c r="DI54" i="23141"/>
  <c r="DI64" i="23141"/>
  <c r="CR91" i="23141"/>
  <c r="CR116" i="23141"/>
  <c r="CR67" i="23141"/>
  <c r="CR177" i="23140"/>
  <c r="CR86" i="23141"/>
  <c r="CR111" i="23141"/>
  <c r="DI27" i="23141"/>
  <c r="CR183" i="23140" l="1"/>
  <c r="CR117" i="23141"/>
  <c r="CR92" i="23141"/>
  <c r="DI67" i="23141"/>
  <c r="BW69" i="23141" l="1"/>
  <c r="BW70" i="23141" s="1"/>
  <c r="BX65" i="23141"/>
  <c r="DE65" i="23141" l="1"/>
  <c r="BX69" i="23141"/>
  <c r="BW96" i="23141"/>
  <c r="BW141" i="23141"/>
  <c r="BW121" i="23141"/>
  <c r="BW57" i="23141"/>
  <c r="BX55" i="23141"/>
  <c r="BW71" i="23141"/>
  <c r="BX71" i="23141" s="1"/>
  <c r="DE71" i="23141" s="1"/>
  <c r="BW73" i="23141"/>
  <c r="BW58" i="23141" l="1"/>
  <c r="BX58" i="23141" s="1"/>
  <c r="BW124" i="23141"/>
  <c r="BW144" i="23141"/>
  <c r="BW99" i="23141"/>
  <c r="BW77" i="23141"/>
  <c r="DE69" i="23141"/>
  <c r="BX70" i="23141"/>
  <c r="BX96" i="23141"/>
  <c r="BX121" i="23141"/>
  <c r="DE55" i="23141"/>
  <c r="BX57" i="23141"/>
  <c r="BW60" i="23141" l="1"/>
  <c r="BW123" i="23141" s="1"/>
  <c r="BX60" i="23141"/>
  <c r="DE57" i="23141"/>
  <c r="BW98" i="23141"/>
  <c r="BW63" i="23141"/>
  <c r="BW143" i="23141"/>
  <c r="BX73" i="23141"/>
  <c r="DE70" i="23141"/>
  <c r="DE58" i="23141"/>
  <c r="BX59" i="23141"/>
  <c r="BW76" i="23141" l="1"/>
  <c r="BW75" i="23141"/>
  <c r="DE73" i="23141"/>
  <c r="BX124" i="23141"/>
  <c r="BX77" i="23141"/>
  <c r="DE77" i="23141" s="1"/>
  <c r="BX99" i="23141"/>
  <c r="BX123" i="23141"/>
  <c r="BX98" i="23141"/>
  <c r="BX63" i="23141"/>
  <c r="DE60" i="23141"/>
  <c r="DE63" i="23141" l="1"/>
  <c r="BX75" i="23141"/>
  <c r="DE75" i="23141" s="1"/>
  <c r="BX76" i="23141"/>
  <c r="DE76" i="23141" s="1"/>
  <c r="BY69" i="23141" l="1"/>
  <c r="BY70" i="23141" s="1"/>
  <c r="BY71" i="23141" s="1"/>
  <c r="BY73" i="23141" s="1"/>
  <c r="BY121" i="23141" l="1"/>
  <c r="BY96" i="23141"/>
  <c r="BY141" i="23141"/>
  <c r="BY57" i="23141"/>
  <c r="BY58" i="23141" s="1"/>
  <c r="BY60" i="23141" s="1"/>
  <c r="BY144" i="23141"/>
  <c r="BY77" i="23141"/>
  <c r="BY99" i="23141"/>
  <c r="BY124" i="23141"/>
  <c r="BY143" i="23141" l="1"/>
  <c r="BY123" i="23141"/>
  <c r="BY98" i="23141"/>
  <c r="BY63" i="23141"/>
  <c r="BY76" i="23141" l="1"/>
  <c r="BY75" i="23141"/>
  <c r="BZ69" i="23141" l="1"/>
  <c r="BZ70" i="23141" s="1"/>
  <c r="BZ71" i="23141" s="1"/>
  <c r="BZ73" i="23141" s="1"/>
  <c r="BZ121" i="23141" l="1"/>
  <c r="BZ141" i="23141"/>
  <c r="BZ96" i="23141"/>
  <c r="BZ57" i="23141"/>
  <c r="BZ58" i="23141" s="1"/>
  <c r="BZ60" i="23141" s="1"/>
  <c r="BZ99" i="23141"/>
  <c r="BZ144" i="23141"/>
  <c r="BZ124" i="23141"/>
  <c r="BZ77" i="23141"/>
  <c r="BZ123" i="23141" l="1"/>
  <c r="BZ63" i="23141"/>
  <c r="BZ143" i="23141"/>
  <c r="BZ98" i="23141"/>
  <c r="BZ76" i="23141" l="1"/>
  <c r="BZ75" i="23141"/>
  <c r="CA69" i="23141" l="1"/>
  <c r="CA70" i="23141" s="1"/>
  <c r="CA71" i="23141" s="1"/>
  <c r="CA73" i="23141" s="1"/>
  <c r="CA141" i="23141" l="1"/>
  <c r="CA96" i="23141"/>
  <c r="CA121" i="23141"/>
  <c r="CA57" i="23141"/>
  <c r="CA58" i="23141" s="1"/>
  <c r="CA60" i="23141" s="1"/>
  <c r="CA144" i="23141"/>
  <c r="CA124" i="23141"/>
  <c r="CA77" i="23141"/>
  <c r="CA99" i="23141"/>
  <c r="CA123" i="23141" l="1"/>
  <c r="CA63" i="23141"/>
  <c r="CA143" i="23141"/>
  <c r="CA98" i="23141"/>
  <c r="CA76" i="23141" l="1"/>
  <c r="CA75" i="23141"/>
  <c r="CB69" i="23141" l="1"/>
  <c r="CB70" i="23141" s="1"/>
  <c r="CC65" i="23141"/>
  <c r="CC69" i="23141" l="1"/>
  <c r="DF65" i="23141"/>
  <c r="CB141" i="23141"/>
  <c r="CB121" i="23141"/>
  <c r="CB96" i="23141"/>
  <c r="CB57" i="23141"/>
  <c r="CC55" i="23141"/>
  <c r="CB71" i="23141"/>
  <c r="CC71" i="23141" s="1"/>
  <c r="DF71" i="23141" s="1"/>
  <c r="CB73" i="23141" l="1"/>
  <c r="CB99" i="23141" s="1"/>
  <c r="CB58" i="23141"/>
  <c r="CC58" i="23141" s="1"/>
  <c r="CB77" i="23141"/>
  <c r="CB144" i="23141"/>
  <c r="CB124" i="23141"/>
  <c r="CC96" i="23141"/>
  <c r="DF55" i="23141"/>
  <c r="CC121" i="23141"/>
  <c r="CC57" i="23141"/>
  <c r="DF69" i="23141"/>
  <c r="CC70" i="23141"/>
  <c r="CB60" i="23141" l="1"/>
  <c r="CB123" i="23141" s="1"/>
  <c r="DF70" i="23141"/>
  <c r="CC73" i="23141"/>
  <c r="CC60" i="23141"/>
  <c r="DF57" i="23141"/>
  <c r="CB98" i="23141"/>
  <c r="CB63" i="23141"/>
  <c r="CB143" i="23141"/>
  <c r="DF58" i="23141"/>
  <c r="CC59" i="23141"/>
  <c r="CB75" i="23141" l="1"/>
  <c r="CB76" i="23141"/>
  <c r="CC124" i="23141"/>
  <c r="DF73" i="23141"/>
  <c r="CC77" i="23141"/>
  <c r="CT73" i="23141"/>
  <c r="CC99" i="23141"/>
  <c r="CC123" i="23141"/>
  <c r="CC63" i="23141"/>
  <c r="DF60" i="23141"/>
  <c r="CC98" i="23141"/>
  <c r="CT77" i="23141" l="1"/>
  <c r="DF77" i="23141"/>
  <c r="CC75" i="23141"/>
  <c r="DF75" i="23141" s="1"/>
  <c r="CC76" i="23141"/>
  <c r="DF76" i="23141" s="1"/>
  <c r="DF63" i="23141"/>
  <c r="CD69" i="23141" l="1"/>
  <c r="CD70" i="23141" s="1"/>
  <c r="CD71" i="23141" s="1"/>
  <c r="CD73" i="23141" s="1"/>
  <c r="CD96" i="23141" l="1"/>
  <c r="CD121" i="23141"/>
  <c r="CD141" i="23141"/>
  <c r="CD57" i="23141"/>
  <c r="CD58" i="23141" s="1"/>
  <c r="CD60" i="23141" s="1"/>
  <c r="CD144" i="23141"/>
  <c r="CD99" i="23141"/>
  <c r="CD77" i="23141"/>
  <c r="CD124" i="23141"/>
  <c r="CD98" i="23141" l="1"/>
  <c r="CD123" i="23141"/>
  <c r="CD63" i="23141"/>
  <c r="CD143" i="23141"/>
  <c r="CD76" i="23141" l="1"/>
  <c r="CD75" i="23141"/>
  <c r="CE69" i="23141" l="1"/>
  <c r="CE70" i="23141" s="1"/>
  <c r="CE71" i="23141" s="1"/>
  <c r="CE73" i="23141" s="1"/>
  <c r="CE121" i="23141" l="1"/>
  <c r="CE141" i="23141"/>
  <c r="CE96" i="23141"/>
  <c r="CE57" i="23141"/>
  <c r="CE58" i="23141" s="1"/>
  <c r="CE60" i="23141" s="1"/>
  <c r="CE124" i="23141"/>
  <c r="CE99" i="23141"/>
  <c r="CE77" i="23141"/>
  <c r="CE144" i="23141"/>
  <c r="CE98" i="23141" l="1"/>
  <c r="CE63" i="23141"/>
  <c r="CE143" i="23141"/>
  <c r="CE123" i="23141"/>
  <c r="CE75" i="23141" l="1"/>
  <c r="CE76" i="23141"/>
  <c r="CF69" i="23141" l="1"/>
  <c r="CF70" i="23141" s="1"/>
  <c r="CF71" i="23141" s="1"/>
  <c r="CF73" i="23141" s="1"/>
  <c r="CF141" i="23141" l="1"/>
  <c r="CF121" i="23141"/>
  <c r="CF96" i="23141"/>
  <c r="CF57" i="23141"/>
  <c r="CF144" i="23141"/>
  <c r="CF124" i="23141"/>
  <c r="CF77" i="23141"/>
  <c r="CF99" i="23141"/>
  <c r="CF58" i="23141" l="1"/>
  <c r="CF60" i="23141" s="1"/>
  <c r="CF63" i="23141" l="1"/>
  <c r="CF98" i="23141"/>
  <c r="CF123" i="23141"/>
  <c r="CF143" i="23141"/>
  <c r="CF75" i="23141" l="1"/>
  <c r="CF76" i="23141"/>
  <c r="CG69" i="23141" l="1"/>
  <c r="CG70" i="23141" s="1"/>
  <c r="CH65" i="23141"/>
  <c r="CG121" i="23141" l="1"/>
  <c r="CG141" i="23141"/>
  <c r="CG96" i="23141"/>
  <c r="CG57" i="23141"/>
  <c r="CH55" i="23141"/>
  <c r="CH69" i="23141"/>
  <c r="DG65" i="23141"/>
  <c r="CG71" i="23141"/>
  <c r="CH71" i="23141" s="1"/>
  <c r="DG71" i="23141" s="1"/>
  <c r="CG73" i="23141" l="1"/>
  <c r="CG124" i="23141" s="1"/>
  <c r="CG58" i="23141"/>
  <c r="CH58" i="23141" s="1"/>
  <c r="DG69" i="23141"/>
  <c r="CH70" i="23141"/>
  <c r="DG55" i="23141"/>
  <c r="CH121" i="23141"/>
  <c r="CH96" i="23141"/>
  <c r="CH57" i="23141"/>
  <c r="CG77" i="23141" l="1"/>
  <c r="CG99" i="23141"/>
  <c r="CG144" i="23141"/>
  <c r="CG60" i="23141"/>
  <c r="CG143" i="23141" s="1"/>
  <c r="CH60" i="23141"/>
  <c r="DG57" i="23141"/>
  <c r="DG70" i="23141"/>
  <c r="CH73" i="23141"/>
  <c r="DG58" i="23141"/>
  <c r="CH59" i="23141"/>
  <c r="CG98" i="23141" l="1"/>
  <c r="CG123" i="23141"/>
  <c r="CG63" i="23141"/>
  <c r="CG75" i="23141" s="1"/>
  <c r="CH77" i="23141"/>
  <c r="DG77" i="23141" s="1"/>
  <c r="CH124" i="23141"/>
  <c r="CH99" i="23141"/>
  <c r="DG73" i="23141"/>
  <c r="CH123" i="23141"/>
  <c r="CH98" i="23141"/>
  <c r="DG60" i="23141"/>
  <c r="CH63" i="23141"/>
  <c r="CG76" i="23141" l="1"/>
  <c r="CH75" i="23141"/>
  <c r="DG75" i="23141" s="1"/>
  <c r="DG63" i="23141"/>
  <c r="CH76" i="23141"/>
  <c r="DG76" i="23141" s="1"/>
  <c r="CI69" i="23141" l="1"/>
  <c r="CI70" i="23141" s="1"/>
  <c r="CI121" i="23141" l="1"/>
  <c r="CI141" i="23141"/>
  <c r="CI96" i="23141"/>
  <c r="CI57" i="23141"/>
  <c r="CI58" i="23141" s="1"/>
  <c r="CI60" i="23141" s="1"/>
  <c r="CI71" i="23141"/>
  <c r="CI73" i="23141" s="1"/>
  <c r="CI99" i="23141" l="1"/>
  <c r="CI77" i="23141"/>
  <c r="CI144" i="23141"/>
  <c r="CI124" i="23141"/>
  <c r="CI63" i="23141"/>
  <c r="CI143" i="23141"/>
  <c r="CI123" i="23141"/>
  <c r="CI98" i="23141"/>
  <c r="CI75" i="23141" l="1"/>
  <c r="CI76" i="23141"/>
  <c r="CJ69" i="23141" l="1"/>
  <c r="CJ70" i="23141" s="1"/>
  <c r="CJ121" i="23141" l="1"/>
  <c r="CJ96" i="23141"/>
  <c r="CJ141" i="23141"/>
  <c r="CJ57" i="23141"/>
  <c r="CJ58" i="23141" s="1"/>
  <c r="CJ60" i="23141" s="1"/>
  <c r="CJ71" i="23141"/>
  <c r="CJ73" i="23141" s="1"/>
  <c r="CJ143" i="23141" l="1"/>
  <c r="CJ123" i="23141"/>
  <c r="CJ98" i="23141"/>
  <c r="CJ63" i="23141"/>
  <c r="CJ124" i="23141"/>
  <c r="CJ99" i="23141"/>
  <c r="CJ77" i="23141"/>
  <c r="CJ144" i="23141"/>
  <c r="CJ76" i="23141" l="1"/>
  <c r="CJ75" i="23141"/>
  <c r="CK69" i="23141" l="1"/>
  <c r="CK70" i="23141" s="1"/>
  <c r="CK121" i="23141" l="1"/>
  <c r="CK141" i="23141"/>
  <c r="CK96" i="23141"/>
  <c r="CK57" i="23141"/>
  <c r="CK58" i="23141" s="1"/>
  <c r="CK60" i="23141" s="1"/>
  <c r="CK71" i="23141"/>
  <c r="CK73" i="23141" s="1"/>
  <c r="CK124" i="23141" l="1"/>
  <c r="CK144" i="23141"/>
  <c r="CK77" i="23141"/>
  <c r="CK99" i="23141"/>
  <c r="CK143" i="23141"/>
  <c r="CK123" i="23141"/>
  <c r="CK98" i="23141"/>
  <c r="CK63" i="23141"/>
  <c r="CK75" i="23141" l="1"/>
  <c r="CK76" i="23141"/>
  <c r="CL69" i="23141" l="1"/>
  <c r="CL70" i="23141" s="1"/>
  <c r="CM65" i="23141"/>
  <c r="CL121" i="23141" l="1"/>
  <c r="CL141" i="23141"/>
  <c r="CL96" i="23141"/>
  <c r="CL57" i="23141"/>
  <c r="CM55" i="23141"/>
  <c r="DH65" i="23141"/>
  <c r="CM69" i="23141"/>
  <c r="CL71" i="23141"/>
  <c r="CM71" i="23141" s="1"/>
  <c r="DH71" i="23141" s="1"/>
  <c r="CL73" i="23141" l="1"/>
  <c r="CL58" i="23141"/>
  <c r="CM58" i="23141" s="1"/>
  <c r="CL144" i="23141"/>
  <c r="CL99" i="23141"/>
  <c r="CL77" i="23141"/>
  <c r="CL124" i="23141"/>
  <c r="CM96" i="23141"/>
  <c r="DH55" i="23141"/>
  <c r="CM121" i="23141"/>
  <c r="CM57" i="23141"/>
  <c r="DH69" i="23141"/>
  <c r="CM70" i="23141"/>
  <c r="CM60" i="23141" l="1"/>
  <c r="DH57" i="23141"/>
  <c r="CM59" i="23141"/>
  <c r="DH58" i="23141"/>
  <c r="CM73" i="23141"/>
  <c r="DH70" i="23141"/>
  <c r="CL60" i="23141"/>
  <c r="CM99" i="23141" l="1"/>
  <c r="CM124" i="23141"/>
  <c r="CM77" i="23141"/>
  <c r="DH73" i="23141"/>
  <c r="CU73" i="23141"/>
  <c r="CL63" i="23141"/>
  <c r="CL123" i="23141"/>
  <c r="CL143" i="23141"/>
  <c r="CL98" i="23141"/>
  <c r="CM123" i="23141"/>
  <c r="CM98" i="23141"/>
  <c r="CM63" i="23141"/>
  <c r="DH60" i="23141"/>
  <c r="CM75" i="23141" l="1"/>
  <c r="DH63" i="23141"/>
  <c r="CM76" i="23141"/>
  <c r="CL75" i="23141"/>
  <c r="CL76" i="23141"/>
  <c r="DH77" i="23141"/>
  <c r="CU77" i="23141"/>
  <c r="DH76" i="23141" l="1"/>
  <c r="DH75" i="23141"/>
  <c r="CN69" i="23141" l="1"/>
  <c r="CN70" i="23141" s="1"/>
  <c r="CN71" i="23141" s="1"/>
  <c r="CN73" i="23141" s="1"/>
  <c r="CN121" i="23141" l="1"/>
  <c r="CN141" i="23141"/>
  <c r="CN96" i="23141"/>
  <c r="CN57" i="23141"/>
  <c r="CN58" i="23141" s="1"/>
  <c r="CN60" i="23141" s="1"/>
  <c r="CN144" i="23141"/>
  <c r="CN124" i="23141"/>
  <c r="CN99" i="23141"/>
  <c r="CN77" i="23141"/>
  <c r="CN123" i="23141" l="1"/>
  <c r="CN98" i="23141"/>
  <c r="CN63" i="23141"/>
  <c r="CN143" i="23141"/>
  <c r="CN76" i="23141" l="1"/>
  <c r="CN75" i="23141"/>
  <c r="CO69" i="23141" l="1"/>
  <c r="CO70" i="23141" s="1"/>
  <c r="CO71" i="23141" s="1"/>
  <c r="CO73" i="23141" s="1"/>
  <c r="CO141" i="23141" l="1"/>
  <c r="CO121" i="23141"/>
  <c r="CO96" i="23141"/>
  <c r="CO57" i="23141"/>
  <c r="CO58" i="23141" s="1"/>
  <c r="CO60" i="23141" s="1"/>
  <c r="CO124" i="23141"/>
  <c r="CO99" i="23141"/>
  <c r="CO77" i="23141"/>
  <c r="CO144" i="23141"/>
  <c r="CO63" i="23141" l="1"/>
  <c r="CO123" i="23141"/>
  <c r="CO98" i="23141"/>
  <c r="CO143" i="23141"/>
  <c r="CO75" i="23141" l="1"/>
  <c r="CO76" i="23141"/>
  <c r="CP69" i="23141" l="1"/>
  <c r="CP70" i="23141" s="1"/>
  <c r="CP71" i="23141" s="1"/>
  <c r="CP73" i="23141" s="1"/>
  <c r="CP121" i="23141" l="1"/>
  <c r="CP141" i="23141"/>
  <c r="CP96" i="23141"/>
  <c r="CP57" i="23141"/>
  <c r="CP58" i="23141" s="1"/>
  <c r="CP60" i="23141" s="1"/>
  <c r="CP99" i="23141"/>
  <c r="CP77" i="23141"/>
  <c r="CP124" i="23141"/>
  <c r="CP144" i="23141"/>
  <c r="CP98" i="23141" l="1"/>
  <c r="CP63" i="23141"/>
  <c r="CP143" i="23141"/>
  <c r="CP123" i="23141"/>
  <c r="CP76" i="23141" l="1"/>
  <c r="CP75" i="23141"/>
  <c r="CQ69" i="23141" l="1"/>
  <c r="CQ70" i="23141" s="1"/>
  <c r="CR65" i="23141"/>
  <c r="CQ141" i="23141" l="1"/>
  <c r="CQ121" i="23141"/>
  <c r="CQ96" i="23141"/>
  <c r="CQ57" i="23141"/>
  <c r="CR55" i="23141"/>
  <c r="CR69" i="23141"/>
  <c r="DI65" i="23141"/>
  <c r="CQ71" i="23141"/>
  <c r="CR71" i="23141" s="1"/>
  <c r="DI71" i="23141" s="1"/>
  <c r="CQ73" i="23141" l="1"/>
  <c r="CQ124" i="23141" s="1"/>
  <c r="DI69" i="23141"/>
  <c r="CR70" i="23141"/>
  <c r="DI55" i="23141"/>
  <c r="CR121" i="23141"/>
  <c r="CR96" i="23141"/>
  <c r="CR57" i="23141"/>
  <c r="CQ58" i="23141"/>
  <c r="CR58" i="23141" s="1"/>
  <c r="CQ99" i="23141"/>
  <c r="CQ77" i="23141"/>
  <c r="CQ144" i="23141"/>
  <c r="CR60" i="23141" l="1"/>
  <c r="DI57" i="23141"/>
  <c r="DI58" i="23141"/>
  <c r="CR59" i="23141"/>
  <c r="CR73" i="23141"/>
  <c r="DI70" i="23141"/>
  <c r="CQ60" i="23141"/>
  <c r="CR99" i="23141" l="1"/>
  <c r="DI73" i="23141"/>
  <c r="CR124" i="23141"/>
  <c r="CR77" i="23141"/>
  <c r="DI77" i="23141" s="1"/>
  <c r="CQ98" i="23141"/>
  <c r="CQ63" i="23141"/>
  <c r="CQ143" i="23141"/>
  <c r="CQ123" i="23141"/>
  <c r="CR123" i="23141"/>
  <c r="CR63" i="23141"/>
  <c r="CR98" i="23141"/>
  <c r="DI60" i="23141"/>
  <c r="CQ76" i="23141" l="1"/>
  <c r="CQ75" i="23141"/>
  <c r="CR75" i="23141"/>
  <c r="CR76" i="23141"/>
  <c r="DI76" i="23141" s="1"/>
  <c r="DI63" i="23141"/>
  <c r="DI75" i="2314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Jamie Laskovski</author>
  </authors>
  <commentList>
    <comment ref="A1" authorId="0" shapeId="0" xr:uid="{21611523-F87E-464C-BAFE-F047BEDDD575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1736985520"&gt;&lt;FQL&gt;&lt;Q&gt;^P_PRICE_AVG(45108,06/30/24)&lt;/Q&gt;&lt;R&gt;0&lt;/R&gt;&lt;C&gt;0&lt;/C&gt;&lt;/FQL&gt;&lt;FQL&gt;&lt;Q&gt;^P_PRICE_AVG(45108,45473)&lt;/Q&gt;&lt;R&gt;0&lt;/R&gt;&lt;C&gt;0&lt;/C&gt;&lt;/FQL&gt;&lt;FQL&gt;&lt;Q&gt;AUDUSD^P_PRICE_AVG(45108,45473)&lt;/Q&gt;&lt;R&gt;1&lt;/R&gt;&lt;C&gt;1&lt;/C&gt;&lt;D xsi:type="xsd:double"&gt;0.6557505&lt;/D&gt;&lt;/FQL&gt;&lt;FQL&gt;&lt;Q&gt;AUDUSD FY25YTD^FG_PRICE(45838)&lt;/Q&gt;&lt;R&gt;0&lt;/R&gt;&lt;C&gt;0&lt;/C&gt;&lt;/FQL&gt;&lt;FQL&gt;&lt;Q&gt;GMG-AU^FG_PRICE(-1AY,0)&lt;/Q&gt;&lt;R&gt;255&lt;/R&gt;&lt;C&gt;1&lt;/C&gt;&lt;D xsi:type="xsd:double"&gt;24.29&lt;/D&gt;&lt;D xsi:type="xsd:double"&gt;24.37&lt;/D&gt;&lt;D xsi:type="xsd:double"&gt;24.3&lt;/D&gt;&lt;D xsi:type="xsd:double"&gt;24.44&lt;/D&gt;&lt;D xsi:type="xsd:double"&gt;24.35&lt;/D&gt;&lt;D xsi:type="xsd:double"&gt;24.32&lt;/D&gt;&lt;D xsi:type="xsd:double"&gt;23.93&lt;/D&gt;&lt;D xsi:type="xsd:double"&gt;24.34&lt;/D&gt;&lt;D xsi:type="xsd:double"&gt;24.66&lt;/D&gt;&lt;D xsi:type="xsd:double"&gt;24.58&lt;/D&gt;&lt;D xsi:type="xsd:double"&gt;24.76&lt;/D&gt;&lt;D xsi:type="xsd:double"&gt;24.92&lt;/D&gt;&lt;D xsi:type="xsd:double"&gt;25.03&lt;/D&gt;&lt;D xsi:type="xsd:double"&gt;25.28&lt;/D&gt;&lt;D xsi:type="xsd:double"&gt;25.6&lt;/D&gt;&lt;D xsi:type="xsd:double"&gt;25.41&lt;/D&gt;&lt;D xsi:type="xsd:double"&gt;26.98&lt;/D&gt;&lt;D xsi:type="xsd:double"&gt;27.08&lt;/D&gt;&lt;D xsi:type="xsd:double"&gt;26.74&lt;/D&gt;&lt;D xsi:type="xsd:double"&gt;26.83&lt;/D&gt;&lt;D xsi:type="xsd:double"&gt;26.66&lt;/D&gt;&lt;D xsi:type="xsd:double"&gt;26.64&lt;/D&gt;&lt;D xsi:type="xsd:double"&gt;26.74&lt;/D&gt;&lt;D xsi:type="xsd:double"&gt;26.61&lt;/D&gt;&lt;D xsi:type="xsd:double"&gt;26.6&lt;/D&gt;&lt;D xsi:type="xsd:double"&gt;28.47&lt;/D&gt;&lt;D xsi:type="xsd:double"&gt;28.61&lt;/D&gt;&lt;D xsi:type="xsd:double"&gt;28.08&lt;/D&gt;&lt;D xsi:type="xsd:double"&gt;28.71&lt;/D&gt;&lt;D xsi:type="xsd:double"&gt;28.67&lt;/D&gt;&lt;D xsi:type="xsd:double"&gt;28.63&lt;/D&gt;&lt;D xsi:type="xsd:double"&gt;28.74&lt;/D&gt;&lt;D xsi:type="xsd:double"&gt;28.95&lt;/D&gt;&lt;D xsi:type="xsd:double"&gt;28.77&lt;/D&gt;&lt;D xsi:type="xsd:double"&gt;28.82&lt;/D&gt;&lt;D xsi:type="xsd:double"&gt;29.9&lt;/D&gt;&lt;D xsi:type="xsd:double"&gt;30.48&lt;/D&gt;&lt;D xsi:type="xsd:double"&gt;31.19&lt;/D&gt;&lt;D xsi:type="xsd:double"&gt;31&lt;/D&gt;&lt;D xsi:type="xsd:double"&gt;31.08&lt;/D&gt;&lt;D xsi:type="xsd:double"&gt;30.97&lt;/D&gt;&lt;D xsi:type="xsd:double"&gt;30.79&lt;/D&gt;&lt;D xsi:type="xsd:double"&gt;30.15&lt;/D&gt;&lt;D xsi:type="xsd:double"&gt;30.1&lt;/D&gt;&lt;D xsi:type="xsd:double"&gt;30.85&lt;/D&gt;&lt;D xsi:type="xsd:double"&gt;30.96&lt;/D&gt;&lt;D xsi:type="xsd:double"&gt;30.86&lt;/D&gt;&lt;D xsi:type="xsd:double"&gt;29.74&lt;/D&gt;&lt;D xsi:type="xsd:double"&gt;30.42&lt;/D&gt;&lt;D xsi:type="xsd:double"&gt;30.42&lt;/D&gt;&lt;D xsi:type="xsd:double"&gt;31&lt;/D&gt;&lt;D xsi:type="xsd:double"&gt;32.05&lt;/D&gt;&lt;D xsi:type="xsd:double"&gt;33.24&lt;/D&gt;&lt;D xsi:type="xsd:double"&gt;32.93&lt;/D&gt;&lt;D xsi:type="xsd:double"&gt;33.17&lt;/D&gt;&lt;D xsi:type="xsd:double"&gt;33.81&lt;/D&gt;&lt;D xsi:type="xsd:double"&gt;33.38&lt;/D&gt;&lt;D xsi:type="xsd:double"&gt;32.5&lt;/D&gt;&lt;D xsi:type="xsd:double"&gt;32.67&lt;/D&gt;&lt;D xsi:type="xsd:double"&gt;32.33&lt;/D&gt;&lt;D xsi:type="xsd:double"&gt;32.15&lt;/D&gt;&lt;D xsi:type="xsd:double"&gt;31.81&lt;/D&gt;&lt;D xsi:type="xsd:double"&gt;32.33&lt;/D&gt;&lt;D xsi:type="xsd:double"&gt;32.07&lt;/D&gt;&lt;D xsi:type="xsd:double"&gt;32.04&lt;/D&gt;&lt;D xsi:type="xsd:double"&gt;31.77&lt;/D&gt;&lt;D xsi:type="xsd:double"&gt;31.15&lt;/D&gt;&lt;D xsi:type="xsd:double"&gt;31.29&lt;/D&gt;&lt;D xsi:type="xsd:double"&gt;30.97&lt;/D&gt;&lt;D xsi:type="xsd:double"&gt;30.49&lt;/D&gt;&lt;D xsi:type="xsd:double"&gt;30.62&lt;/D&gt;&lt;D xsi:type="xsd:double"&gt;30.85&lt;/D&gt;&lt;D xsi:type="xsd:double"&gt;31.36&lt;/D&gt;&lt;D xsi:type="xsd:double"&gt;30.81&lt;/D&gt;&lt;D xsi:type="xsd:double"&gt;31.19&lt;/D&gt;&lt;D xsi:type="xsd:double"&gt;31.69&lt;/D&gt;&lt;D xsi:type="xsd:double"&gt;31.51&lt;/D&gt;&lt;D xsi:type="xsd:double"&gt;31.77&lt;/D&gt;&lt;D xsi:type="xsd:double"&gt;32.63&lt;/D&gt;&lt;D xsi:type="xsd:double"&gt;33.98&lt;/D&gt;&lt;D xsi:type="xsd:double"&gt;34.38&lt;/D&gt;&lt;D xsi:type="xsd:double"&gt;34.29&lt;/D&gt;&lt;D xsi:type="xsd:double"&gt;33.76&lt;/D&gt;&lt;D xsi:type="xsd:double"&gt;33.65&lt;/D&gt;&lt;D xsi:type="xsd:double"&gt;33.75&lt;/D&gt;&lt;D xsi:type="xsd:double"&gt;33.47&lt;/D&gt;&lt;D xsi:type="xsd:double"&gt;33.37&lt;/D&gt;&lt;D xsi:type="xsd:double"&gt;34.73&lt;/D&gt;&lt;D xsi:type="xsd:double"&gt;34.35&lt;/D&gt;&lt;D xsi:type="xsd:double"&gt;33.99&lt;/D&gt;&lt;D xsi:type="xsd:double"&gt;33.76&lt;/D&gt;&lt;D xsi:type="xsd:double"&gt;33.93&lt;/D&gt;&lt;D xsi:type="xsd:double"&gt;34.17&lt;/D&gt;&lt;D xsi:type="xsd:double"&gt;33.67&lt;/D&gt;&lt;D xsi:type="xsd:double"&gt;34.45&lt;/D&gt;&lt;D xsi:type="xsd:double"&gt;34.26&lt;/D&gt;&lt;D xsi:type="xsd:double"&gt;34.08&lt;/D&gt;&lt;D xsi:type="xsd:double"&gt;34.15&lt;/D&gt;&lt;D xsi:type="xsd:double"&gt;33.52&lt;/D&gt;&lt;D xsi:type="xsd:double"&gt;34.14&lt;/D&gt;&lt;D xsi:type="xsd:double"&gt;34.33&lt;/D&gt;&lt;D xsi:type="xsd:double"&gt;34.86&lt;/D&gt;&lt;D xsi:type="xsd:double"&gt;35.08&lt;/D&gt;&lt;D xsi:type="xsd:double"&gt;35.31&lt;/D&gt;&lt;D xsi:type="xsd:double"&gt;34.73&lt;/D&gt;&lt;D xsi:type="xsd:double"&gt;34.72&lt;/D&gt;&lt;D xsi:type="xsd:double"&gt;35.53&lt;/D&gt;&lt;D xsi:type="xsd:double"&gt;35.77&lt;/D&gt;&lt;D xsi:type="xsd:double"&gt;35.33&lt;/D&gt;&lt;D xsi:type="xsd:double"&gt;35.67&lt;/D&gt;&lt;D xsi:type="xsd:double"&gt;35.43&lt;/D&gt;&lt;D xsi:type="xsd:double"&gt;35.54&lt;/D&gt;&lt;D xsi:type="xsd:double"&gt;35.88&lt;/D&gt;&lt;D xsi:type="xsd:double"&gt;35.18&lt;/D&gt;&lt;D xsi:type="xsd:double"&gt;35.5&lt;/D&gt;&lt;D xsi:type="xsd:double"&gt;34.78&lt;/D&gt;&lt;D xsi:type="xsd:double"&gt;34.48&lt;/D&gt;&lt;D xsi:type="xsd:double"&gt;34.75&lt;/D&gt;&lt;D xsi:type="xsd:double"&gt;35.01&lt;/D&gt;&lt;D xsi:type="xsd:double"&gt;34.29&lt;/D&gt;&lt;D xsi:type="xsd:double"&gt;34.64&lt;/D&gt;&lt;D xsi:type="xsd:double"&gt;35.38&lt;/D&gt;&lt;D xsi:type="xsd:double"&gt;35.43&lt;/D&gt;&lt;D xsi:type="xsd:double"&gt;34.89&lt;/D&gt;&lt;D xsi:type="xsd:double"&gt;34.88&lt;/D&gt;&lt;D xsi:type="xsd:double"&gt;35.06&lt;/D&gt;&lt;D xsi:type="xsd:double"&gt;35.46&lt;/D&gt;&lt;D xsi:type="xsd:double"&gt;35.57&lt;/D&gt;&lt;D xsi:type="xsd:double"&gt;35.7&lt;/D&gt;&lt;D xsi:type="xsd:double"&gt;36.25&lt;/D&gt;&lt;D xsi:type="xsd:double"&gt;36.67&lt;/D&gt;&lt;D xsi:type="xsd:double"&gt;37.17&lt;/D&gt;&lt;D xsi:type="xsd:double"&gt;37.1&lt;/D&gt;&lt;D xsi:type="xsd:double"&gt;36.35&lt;/D&gt;&lt;D xsi:type="xsd:double"&gt;36&lt;/D&gt;&lt;D xsi:type="xsd:double"&gt;35.25&lt;/D&gt;&lt;D xsi:type="xsd:double"&gt;34.15&lt;/D&gt;&lt;D xsi:type="xsd:double"&gt;34.52&lt;/D&gt;&lt;D xsi:type="xsd:double"&gt;35.23&lt;/D&gt;&lt;D xsi:type="xsd:double"&gt;35.05&lt;/D&gt;&lt;D xsi:type="xsd:double"&gt;35.1&lt;/D&gt;&lt;D xsi:type="xsd:double"&gt;36.44&lt;/D&gt;&lt;D xsi:type="xsd:double"&gt;34.58&lt;/D&gt;&lt;D xsi:type="xsd:double"&gt;32.12&lt;/D&gt;&lt;D xsi:type="xsd:double"&gt;32.82&lt;/D&gt;&lt;D xsi:type="xsd:double"&gt;33.05&lt;/D&gt;&lt;D xsi:type="xsd:double"&gt;32.33&lt;/D&gt;&lt;D xsi:type="xsd:double"&gt;33.37&lt;/D&gt;&lt;D xsi:type="xsd:double"&gt;33.8&lt;/D&gt;&lt;D xsi:type="xsd:double"&gt;34.11&lt;/D&gt;&lt;D xsi:type="xsd:double"&gt;35.16&lt;/D&gt;&lt;D xsi:type="xsd:double"&gt;34.71&lt;/D&gt;&lt;D xsi:type="xsd:double"&gt;34.33&lt;/D&gt;&lt;D xsi:type="xsd:double"&gt;33.89&lt;/D&gt;&lt;D xsi:type="xsd:double"&gt;33.41&lt;/D&gt;&lt;D xsi:type="xsd:double"&gt;32.2&lt;/D&gt;&lt;D xsi:type="xsd:double"&gt;32.27&lt;/D&gt;&lt;D xsi:type="xsd:double"&gt;32.56&lt;/D&gt;&lt;D xsi:type="xsd:double"&gt;32.4&lt;/D&gt;&lt;D xsi:type="xsd:double"&gt;32.79&lt;/D&gt;&lt;D xsi:type="xsd:double"&gt;33.27&lt;/D&gt;&lt;D xsi:type="xsd:double"&gt;33.11&lt;/D&gt;&lt;D xsi:type="xsd:double"&gt;33.4&lt;/D&gt;&lt;D xsi:type="xsd:double"&gt;33.33&lt;/D&gt;&lt;D xsi:type="xsd:double"&gt;33.07&lt;/D&gt;&lt;D xsi:type="xsd:double"&gt;32.67&lt;/D&gt;&lt;D xsi:type="xsd:double"&gt;33.19&lt;/D&gt;&lt;D xsi:type="xsd:double"&gt;33.2&lt;/D&gt;&lt;D xsi:type="xsd:double"&gt;33.43&lt;/D&gt;&lt;D xsi:type="xsd:double"&gt;33.36&lt;/D&gt;&lt;D xsi:type="xsd:double"&gt;33.72&lt;/D&gt;&lt;D xsi:type="xsd:double"&gt;34.54&lt;/D&gt;&lt;D xsi:type="xsd:double"&gt;35.38&lt;/D&gt;&lt;D xsi:type="xsd:double"&gt;35.63&lt;/D&gt;&lt;D xsi:type="xsd:double"&gt;35.92&lt;/D&gt;&lt;D xsi:type="xsd:double"&gt;35.95&lt;/D&gt;&lt;D xsi:type="xsd:double"&gt;36.5&lt;/D&gt;&lt;D xsi:type="xsd:double"&gt;36.29&lt;/D&gt;&lt;D xsi:type="xsd:double"&gt;35.74&lt;/D&gt;&lt;D xsi:type="xsd:double"&gt;36.14&lt;/D&gt;&lt;D xsi:type="xsd:double"&gt;36.16&lt;/D&gt;&lt;D xsi:type="xsd:double"&gt;36.34&lt;/D&gt;&lt;D xsi:type="xsd:double"&gt;35.93&lt;/D&gt;&lt;D xsi:type="xsd:double"&gt;36.99&lt;/D&gt;&lt;D xsi:type="xsd:double"&gt;37.08&lt;/D&gt;&lt;D xsi:type="xsd:double"&gt;37.22&lt;/D&gt;&lt;D xsi:type="xsd:double"&gt;37.8&lt;/D&gt;&lt;D xsi:type="xsd:double"&gt;37.07&lt;/D&gt;&lt;D xsi:type="xsd:double"&gt;36.59&lt;/D&gt;&lt;D xsi:type="xsd:double"&gt;36.82&lt;/D&gt;&lt;D xsi:type="xsd:double"&gt;36.3&lt;/D&gt;&lt;D xsi:type="xsd:double"&gt;36.73&lt;/D&gt;&lt;D xsi:type="xsd:double"&gt;36.46&lt;/D&gt;&lt;D xsi:type="xsd:double"&gt;36.41&lt;/D&gt;&lt;D xsi:type="xsd:double"&gt;36.68&lt;/D&gt;&lt;D xsi:type="xsd:double"&gt;36.79&lt;/D&gt;&lt;D xsi:type="xsd:double"&gt;37.42&lt;/D&gt;&lt;D xsi:type="xsd:double"&gt;36.56&lt;/D&gt;&lt;D xsi:type="xsd:double"&gt;37.06&lt;/D&gt;&lt;D xsi:type="xsd:double"&gt;36.07&lt;/D&gt;&lt;D xsi:type="xsd:double"&gt;35.86&lt;/D&gt;&lt;D xsi:type="xsd:double"&gt;35.95&lt;/D&gt;&lt;D xsi:type="xsd:double"&gt;36.04&lt;/D&gt;&lt;D xsi:type="xsd:double"&gt;35.82&lt;/D&gt;&lt;D xsi:type="xsd:double"&gt;36.24&lt;/D&gt;&lt;D xsi:type="xsd:double"&gt;36.68&lt;/D&gt;&lt;D xsi:type="xsd:double"&gt;36.64&lt;/D&gt;&lt;D xsi:type="xsd:double"&gt;36.51&lt;/D&gt;&lt;D xsi:type="xsd:double"&gt;36.5&lt;/D&gt;&lt;D xsi:type="xsd:double"&gt;36.3&lt;/D&gt;&lt;D xsi:type="xsd:double"&gt;36.22&lt;/D&gt;&lt;D xsi:type="xsd:double"&gt;35.34&lt;/D&gt;&lt;D xsi:type="xsd:double"&gt;35.7&lt;/D&gt;&lt;D xsi:type="xsd:double"&gt;36.6&lt;/D&gt;&lt;D xsi:type="xsd:double"&gt;36.52&lt;/D&gt;&lt;D xsi:type="xsd:double"&gt;36.53&lt;/D&gt;&lt;D xsi:type="xsd:double"&gt;37.09&lt;/D&gt;&lt;D xsi:type="xsd:double"&gt;37.5&lt;/D&gt;&lt;D xsi:type="xsd:double"&gt;37.12&lt;/D&gt;&lt;D xsi:type="xsd:double"&gt;37.53&lt;/D&gt;&lt;D xsi:type="xsd:double"&gt;37.45&lt;/D&gt;&lt;D xsi:type="xsd:double"&gt;37.05&lt;/D&gt;&lt;D xsi:type="xsd:double"&gt;37.25&lt;/D&gt;&lt;D xsi:type="xsd:double"&gt;37.81&lt;/D&gt;&lt;D xsi:type="xsd:double"&gt;38.16&lt;/D&gt;&lt;D xsi:type="xsd:double"&gt;38.46&lt;/D&gt;&lt;D xsi:type="xsd:double"&gt;38.23&lt;/D&gt;&lt;D xsi:type="xsd:double"&gt;37.91&lt;/D&gt;&lt;D xsi:type="xsd:double"&gt;37.75&lt;/D&gt;&lt;D xsi:type="xsd:double"&gt;38.12&lt;/D&gt;&lt;D xsi:type="xsd:double"&gt;37.02&lt;/D&gt;&lt;D xsi:type="xsd:double"&gt;36.26&lt;/D&gt;&lt;D xsi:type="xsd:double"&gt;36.57&lt;/D&gt;&lt;D xsi:type="xsd:double"&gt;37.8&lt;/D&gt;&lt;D xsi:type="xsd:double"&gt;36.98&lt;/D&gt;&lt;D xsi:type="xsd:double"&gt;37.61&lt;/D&gt;&lt;D xsi:type="xsd:double"&gt;37.24&lt;/D&gt;&lt;D xsi:type="xsd:double"&gt;36.78&lt;/D&gt;&lt;D xsi:type="xsd:double"&gt;36.12&lt;/D&gt;&lt;D xsi:type="xsd:double"&gt;36.75&lt;/D&gt;&lt;D xsi:type="xsd:double"&gt;36.83&lt;/D&gt;&lt;D xsi:type="xsd:double"&gt;36&lt;/D&gt;&lt;D xsi:type="xsd:double"&gt;35.92&lt;/D&gt;&lt;D xsi:type="xsd:double"&gt;36.55&lt;/D&gt;&lt;D xsi:type="xsd:double"&gt;36.53&lt;/D&gt;&lt;D xsi:type="xsd:double"&gt;36.89&lt;/D&gt;&lt;D xsi:type="xsd:double"&gt;36.37&lt;/D&gt;&lt;D xsi:type="xsd:double"&gt;35.64&lt;/D&gt;&lt;D xsi:type="xsd:double"&gt;36.03&lt;/D&gt;&lt;D xsi:type="xsd:double"&gt;36.53&lt;/D&gt;&lt;D xsi:type="xsd:double"&gt;37.17&lt;/D&gt;&lt;D xsi:type="xsd:double"&gt;37.34&lt;/D&gt;&lt;D xsi:type="xsd:double"&gt;37.24&lt;/D&gt;&lt;D xsi:type="xsd:double"&gt;37.34&lt;/D&gt;&lt;D xsi:type="xsd:double"&gt;37.42&lt;/D&gt;&lt;/FQL&gt;&lt;FQL&gt;&lt;Q&gt;AUDUSD^FG_PRICE(-1AY,0)&lt;/Q&gt;&lt;R&gt;263&lt;/R&gt;&lt;C&gt;1&lt;/C&gt;&lt;D xsi:type="xsd:double"&gt;0.66965&lt;/D&gt;&lt;D xsi:type="xsd:double"&gt;0.66605&lt;/D&gt;&lt;D xsi:type="xsd:double"&gt;0.66995&lt;/D&gt;&lt;D xsi:type="xsd:double"&gt;0.66625&lt;/D&gt;&lt;D xsi:type="xsd:double"&gt;0.65985&lt;/D&gt;&lt;D xsi:type="xsd:double"&gt;0.65315&lt;/D&gt;&lt;D xsi:type="xsd:double"&gt;0.65555&lt;/D&gt;&lt;D xsi:type="xsd:double"&gt;0.65845&lt;/D&gt;&lt;D xsi:type="xsd:double"&gt;0.659&lt;/D&gt;&lt;D xsi:type="xsd:double"&gt;0.65645003&lt;/D&gt;&lt;D xsi:type="xsd:double"&gt;0.66034997&lt;/D&gt;&lt;D xsi:type="xsd:double"&gt;0.65815&lt;/D&gt;&lt;D xsi:type="xsd:double"&gt;0.65905&lt;/D&gt;&lt;D xsi:type="xsd:double"&gt;0.65924996&lt;/D&gt;&lt;D xsi:type="xsd:double"&gt;0.65805&lt;/D&gt;&lt;D xsi:type="xsd:double"&gt;0.66104996&lt;/D&gt;&lt;D xsi:type="xsd:double"&gt;0.6546&lt;/D&gt;&lt;D xsi:type="xsd:double"&gt;0.6519&lt;/D&gt;&lt;D xsi:type="xsd:double"&gt;0.64725&lt;/D&gt;&lt;D xsi:type="xsd:double"&gt;0.65135&lt;/D&gt;&lt;D xsi:type="xsd:double"&gt;0.65295&lt;/D&gt;&lt;D xsi:type="xsd:double"&gt;0.64865&lt;/D&gt;&lt;D xsi:type="xsd:double"&gt;0.65204996&lt;/D&gt;&lt;D xsi:type="xsd:double"&gt;0.65305&lt;/D&gt;&lt;D xsi:type="xsd:double"&gt;0.64605004&lt;/D&gt;&lt;D xsi:type="xsd:double"&gt;0.64860004&lt;/D&gt;&lt;D xsi:type="xsd:double"&gt;0.65175&lt;/D&gt;&lt;D xsi:type="xsd:double"&gt;0.65265&lt;/D&gt;&lt;D xsi:type="xsd:double"&gt;0.65365&lt;/D&gt;&lt;D xsi:type="xsd:double"&gt;0.65685004&lt;/D&gt;&lt;D xsi:type="xsd:double"&gt;0.65435&lt;/D&gt;&lt;D xsi:type="xsd:double"&gt;0.6545&lt;/D&gt;&lt;D xsi:type="xsd:double"&gt;0.65604997&lt;/D&gt;&lt;D xsi:type="xsd:double"&gt;0.65395004&lt;/D&gt;&lt;D xsi:type="xsd:double"&gt;0.65465003&lt;/D&gt;&lt;D xsi:type="xsd:double"&gt;0.6494&lt;/D&gt;&lt;D xsi:type="xsd:double"&gt;0.65115&lt;/D&gt;&lt;D xsi:type="xsd:double"&gt;0.6533&lt;/D&gt;&lt;D xsi:type="xsd:double"&gt;0.6519&lt;/D&gt;&lt;D xsi:type="xsd:double"&gt;0.65204996&lt;/D&gt;&lt;D xsi:type="xsd:double"&gt;0.65675&lt;/D&gt;&lt;D xsi:type="xsd:double"&gt;0.66165&lt;/D&gt;&lt;D xsi:type="xsd:double"&gt;0.66395&lt;/D&gt;&lt;D xsi:type="xsd:double"&gt;0.6608&lt;/D&gt;&lt;D xsi:type="xsd:double"&gt;0.65995&lt;/D&gt;&lt;D xsi:type="xsd:double"&gt;0.66230005&lt;/D&gt;&lt;D xsi:type="xsd:double"&gt;0.6585&lt;/D&gt;&lt;D xsi:type="xsd:double"&gt;0.65685004&lt;/D&gt;&lt;D xsi:type="xsd:double"&gt;0.656&lt;/D&gt;&lt;D xsi:type="xsd:double"&gt;0.6528&lt;/D&gt;&lt;D xsi:type="xsd:double"&gt;0.65285&lt;/D&gt;&lt;D xsi:type="xsd:double"&gt;0.65695&lt;/D&gt;&lt;D xsi:type="xsd:double"&gt;0.652&lt;/D&gt;&lt;D xsi:type="xsd:double"&gt;0.65375&lt;/D&gt;&lt;D xsi:type="xsd:double"&gt;0.65365&lt;/D&gt;&lt;D xsi:type="xsd:double"&gt;0.6524&lt;/D&gt;&lt;D xsi:type="xsd:double"&gt;0.6524&lt;/D&gt;&lt;D xsi:type="xsd:double"&gt;0.65240407&lt;/D&gt;&lt;D xsi:type="xsd:double"&gt;0.64925&lt;/D&gt;&lt;D xsi:type="xsd:double"&gt;0.65145&lt;/D&gt;&lt;D xsi:type="xsd:double"&gt;0.6546&lt;/D&gt;&lt;D xsi:type="xsd:double"&gt;0.66179997&lt;/D&gt;&lt;D xsi:type="xsd:double"&gt;0.65715003&lt;/D&gt;&lt;D xsi:type="xsd:double"&gt;0.66005003&lt;/D&gt;&lt;D xsi:type="xsd:double"&gt;0.66230005&lt;/D&gt;&lt;D xsi:type="xsd:double"&gt;0.6526&lt;/D&gt;&lt;D xsi:type="xsd:double"&gt;0.65175&lt;/D&gt;&lt;D xsi:type="xsd:double"&gt;0.647&lt;/D&gt;&lt;D xsi:type="xsd:double"&gt;0.64575&lt;/D&gt;&lt;D xsi:type="xsd:double"&gt;0.6401&lt;/D&gt;&lt;D xsi:type="xsd:double"&gt;0.6421&lt;/D&gt;&lt;D xsi:type="xsd:double"&gt;0.6434&lt;/D&gt;&lt;D xsi:type="xsd:double"&gt;0.6422&lt;/D&gt;&lt;D xsi:type="xsd:double"&gt;0.64360005&lt;/D&gt;&lt;D xsi:type="xsd:double"&gt;0.64765&lt;/D&gt;&lt;D xsi:type="xsd:double"&gt;0.64935&lt;/D&gt;&lt;D xsi:type="xsd:double"&gt;0.64994997&lt;/D&gt;&lt;D xsi:type="xsd:double"&gt;0.65265&lt;/D&gt;&lt;D xsi:type="xsd:double"&gt;0.65585&lt;/D&gt;&lt;D xsi:type="xsd:double"&gt;0.64935&lt;/D&gt;&lt;D xsi:type="xsd:double"&gt;0.64905&lt;/D&gt;&lt;D xsi:type="xsd:double"&gt;0.65365&lt;/D&gt;&lt;D xsi:type="xsd:double"&gt;0.66099995&lt;/D&gt;&lt;D xsi:type="xsd:double"&gt;0.66265&lt;/D&gt;&lt;D xsi:type="xsd:double"&gt;0.662&lt;/D&gt;&lt;D xsi:type="xsd:double"&gt;0.65755&lt;/D&gt;&lt;D xsi:type="xsd:double"&gt;0.6607&lt;/D&gt;&lt;D xsi:type="xsd:double"&gt;0.6603&lt;/D&gt;&lt;D xsi:type="xsd:double"&gt;0.66205&lt;/D&gt;&lt;D xsi:type="xsd:double"&gt;0.66244996&lt;/D&gt;&lt;D xsi:type="xsd:double"&gt;0.66644996&lt;/D&gt;&lt;D xsi:type="xsd:double"&gt;0.66765&lt;/D&gt;&lt;D xsi:type="xsd:double"&gt;0.66885&lt;/D&gt;&lt;D xsi:type="xsd:double"&gt;0.66754997&lt;/D&gt;&lt;D xsi:type="xsd:double"&gt;0.66705&lt;/D&gt;&lt;D xsi:type="xsd:double"&gt;0.66410005&lt;/D&gt;&lt;D xsi:type="xsd:double"&gt;0.6626&lt;/D&gt;&lt;D xsi:type="xsd:double"&gt;0.66295&lt;/D&gt;&lt;D xsi:type="xsd:double"&gt;0.66595&lt;/D&gt;&lt;D xsi:type="xsd:double"&gt;0.66635&lt;/D&gt;&lt;D xsi:type="xsd:double"&gt;0.66205&lt;/D&gt;&lt;D xsi:type="xsd:double"&gt;0.66425&lt;/D&gt;&lt;D xsi:type="xsd:double"&gt;0.66504997&lt;/D&gt;&lt;D xsi:type="xsd:double"&gt;0.6678&lt;/D&gt;&lt;D xsi:type="xsd:double"&gt;0.66475&lt;/D&gt;&lt;D xsi:type="xsd:double"&gt;0.66295&lt;/D&gt;&lt;D xsi:type="xsd:double"&gt;0.66510004&lt;/D&gt;&lt;D xsi:type="xsd:double"&gt;0.65924996&lt;/D&gt;&lt;D xsi:type="xsd:double"&gt;0.65975004&lt;/D&gt;&lt;D xsi:type="xsd:double"&gt;0.65955&lt;/D&gt;&lt;D xsi:type="xsd:double"&gt;0.66925&lt;/D&gt;&lt;D xsi:type="xsd:double"&gt;0.664&lt;/D&gt;&lt;D xsi:type="xsd:double"&gt;0.6609&lt;/D&gt;&lt;D xsi:type="xsd:double"&gt;0.65929997&lt;/D&gt;&lt;D xsi:type="xsd:double"&gt;0.66410005&lt;/D&gt;&lt;D xsi:type="xsd:double"&gt;0.6675&lt;/D&gt;&lt;D xsi:type="xsd:double"&gt;0.66655004&lt;/D&gt;&lt;D xsi:type="xsd:double"&gt;0.6637&lt;/D&gt;&lt;D xsi:type="xsd:double"&gt;0.66585&lt;/D&gt;&lt;D xsi:type="xsd:double"&gt;0.66389996&lt;/D&gt;&lt;D xsi:type="xsd:double"&gt;0.66515005&lt;/D&gt;&lt;D xsi:type="xsd:double"&gt;0.66585&lt;/D&gt;&lt;D xsi:type="xsd:double"&gt;0.66785&lt;/D&gt;&lt;D xsi:type="xsd:double"&gt;0.66504997&lt;/D&gt;&lt;D xsi:type="xsd:double"&gt;0.66635&lt;/D&gt;&lt;D xsi:type="xsd:double"&gt;0.67205&lt;/D&gt;&lt;D xsi:type="xsd:double"&gt;0.67249995&lt;/D&gt;&lt;D xsi:type="xsd:double"&gt;0.67370003&lt;/D&gt;&lt;D xsi:type="xsd:double"&gt;0.67464995&lt;/D&gt;&lt;D xsi:type="xsd:double"&gt;0.67324996&lt;/D&gt;&lt;D xsi:type="xsd:double"&gt;0.67429996&lt;/D&gt;&lt;D xsi:type="xsd:double"&gt;0.6783&lt;/D&gt;&lt;D xsi:type="xsd:double"&gt;0.67904997&lt;/D&gt;&lt;D xsi:type="xsd:double"&gt;0.67765003&lt;/D&gt;&lt;D xsi:type="xsd:double"&gt;0.67235005&lt;/D&gt;&lt;D xsi:type="xsd:double"&gt;0.67300004&lt;/D&gt;&lt;D xsi:type="xsd:double"&gt;0.67340004&lt;/D&gt;&lt;D xsi:type="xsd:double"&gt;0.6694&lt;/D&gt;&lt;D xsi:type="xsd:double"&gt;0.664&lt;/D&gt;&lt;D xsi:type="xsd:double"&gt;0.66155&lt;/D&gt;&lt;D xsi:type="xsd:double"&gt;0.66065&lt;/D&gt;&lt;D xsi:type="xsd:double"&gt;0.65535&lt;/D&gt;&lt;D xsi:type="xsd:double"&gt;0.65535&lt;/D&gt;&lt;D xsi:type="xsd:double"&gt;0.65345&lt;/D&gt;&lt;D xsi:type="xsd:double"&gt;0.654&lt;/D&gt;&lt;D xsi:type="xsd:double"&gt;0.653&lt;/D&gt;&lt;D xsi:type="xsd:double"&gt;0.6528&lt;/D&gt;&lt;D xsi:type="xsd:double"&gt;0.6519&lt;/D&gt;&lt;D xsi:type="xsd:double"&gt;0.64745&lt;/D&gt;&lt;D xsi:type="xsd:double"&gt;0.65055&lt;/D&gt;&lt;D xsi:type="xsd:double"&gt;0.65565&lt;/D&gt;&lt;D xsi:type="xsd:double"&gt;0.657&lt;/D&gt;&lt;D xsi:type="xsd:double"&gt;0.6583&lt;/D&gt;&lt;D xsi:type="xsd:double"&gt;0.6601&lt;/D&gt;&lt;D xsi:type="xsd:double"&gt;0.6609&lt;/D&gt;&lt;D xsi:type="xsd:double"&gt;0.6621&lt;/D&gt;&lt;D xsi:type="xsd:double"&gt;0.66290003&lt;/D&gt;&lt;D xsi:type="xsd:double"&gt;0.66375&lt;/D&gt;&lt;D xsi:type="xsd:double"&gt;0.67155004&lt;/D&gt;&lt;D xsi:type="xsd:double"&gt;0.67455&lt;/D&gt;&lt;D xsi:type="xsd:double"&gt;0.67385&lt;/D&gt;&lt;D xsi:type="xsd:double"&gt;0.67155004&lt;/D&gt;&lt;D xsi:type="xsd:double"&gt;0.67715&lt;/D&gt;&lt;D xsi:type="xsd:double"&gt;0.6781&lt;/D&gt;&lt;D xsi:type="xsd:double"&gt;0.67805&lt;/D&gt;&lt;D xsi:type="xsd:double"&gt;0.67910004&lt;/D&gt;&lt;D xsi:type="xsd:double"&gt;0.67920005&lt;/D&gt;&lt;D xsi:type="xsd:double"&gt;0.6785&lt;/D&gt;&lt;D xsi:type="xsd:double"&gt;0.67920005&lt;/D&gt;&lt;D xsi:type="xsd:double"&gt;0.67155004&lt;/D&gt;&lt;D xsi:type="xsd:double"&gt;0.67355&lt;/D&gt;&lt;D xsi:type="xsd:double"&gt;0.67219996&lt;/D&gt;&lt;D xsi:type="xsd:double"&gt;0.67135&lt;/D&gt;&lt;D xsi:type="xsd:double"&gt;0.66525&lt;/D&gt;&lt;D xsi:type="xsd:double"&gt;0.66485&lt;/D&gt;&lt;D xsi:type="xsd:double"&gt;0.6634&lt;/D&gt;&lt;D xsi:type="xsd:double"&gt;0.66915&lt;/D&gt;&lt;D xsi:type="xsd:double"&gt;0.67155004&lt;/D&gt;&lt;D xsi:type="xsd:double"&gt;0.67345005&lt;/D&gt;&lt;D xsi:type="xsd:double"&gt;0.67635&lt;/D&gt;&lt;D xsi:type="xsd:double"&gt;0.67684996&lt;/D&gt;&lt;D xsi:type="xsd:double"&gt;0.68055004&lt;/D&gt;&lt;D xsi:type="xsd:double"&gt;0.67935&lt;/D&gt;&lt;D xsi:type="xsd:double"&gt;0.68505&lt;/D&gt;&lt;D xsi:type="xsd:double"&gt;0.6868&lt;/D&gt;&lt;D xsi:type="xsd:double"&gt;0.68625&lt;/D&gt;&lt;D xsi:type="xsd:double"&gt;0.68875&lt;/D&gt;&lt;D xsi:type="xsd:double"&gt;0.69305&lt;/D&gt;&lt;D xsi:type="xsd:double"&gt;0.69375&lt;/D&gt;&lt;D xsi:type="xsd:double"&gt;0.68885&lt;/D&gt;&lt;D xsi:type="xsd:double"&gt;0.68805003&lt;/D&gt;&lt;D xsi:type="xsd:double"&gt;0.68405&lt;/D&gt;&lt;D xsi:type="xsd:double"&gt;0.68005&lt;/D&gt;&lt;D xsi:type="xsd:double"&gt;0.67645&lt;/D&gt;&lt;D xsi:type="xsd:double"&gt;0.67295&lt;/D&gt;&lt;D xsi:type="xsd:double"&gt;0.6714&lt;/D&gt;&lt;D xsi:type="xsd:double"&gt;0.67219996&lt;/D&gt;&lt;D xsi:type="xsd:double"&gt;0.6746&lt;/D&gt;&lt;D xsi:type="xsd:double"&gt;0.67265&lt;/D&gt;&lt;D xsi:type="xsd:double"&gt;0.67184997&lt;/D&gt;&lt;D xsi:type="xsd:double"&gt;0.66675&lt;/D&gt;&lt;D xsi:type="xsd:double"&gt;0.67005&lt;/D&gt;&lt;D xsi:type="xsd:double"&gt;0.67065&lt;/D&gt;&lt;D xsi:type="xsd:double"&gt;0.66725&lt;/D&gt;&lt;D xsi:type="xsd:double"&gt;0.66825&lt;/D&gt;&lt;D xsi:type="xsd:double"&gt;0.66355&lt;/D&gt;&lt;D xsi:type="xsd:double"&gt;0.66335&lt;/D&gt;&lt;D xsi:type="xsd:double"&gt;0.66405&lt;/D&gt;&lt;D xsi:type="xsd:double"&gt;0.65865&lt;/D&gt;&lt;D xsi:type="xsd:double"&gt;0.65575004&lt;/D&gt;&lt;D xsi:type="xsd:double"&gt;0.65815&lt;/D&gt;&lt;D xsi:type="xsd:double"&gt;0.65500003&lt;/D&gt;&lt;D xsi:type="xsd:double"&gt;0.65835&lt;/D&gt;&lt;D xsi:type="xsd:double"&gt;0.66&lt;/D&gt;&lt;D xsi:type="xsd:double"&gt;0.66345&lt;/D&gt;&lt;D xsi:type="xsd:double"&gt;0.65745&lt;/D&gt;&lt;D xsi:type="xsd:double"&gt;0.6686&lt;/D&gt;&lt;D xsi:type="xsd:double"&gt;0.66005003&lt;/D&gt;&lt;D xsi:type="xsd:double"&gt;0.65685004&lt;/D&gt;&lt;D xsi:type="xsd:double"&gt;0.65445&lt;/D&gt;&lt;D xsi:type="xsd:double"&gt;0.65&lt;/D&gt;&lt;D xsi:type="xsd:double"&gt;0.64814997&lt;/D&gt;&lt;D xsi:type="xsd:double"&gt;0.64605004&lt;/D&gt;&lt;D xsi:type="xsd:double"&gt;0.64845&lt;/D&gt;&lt;D xsi:type="xsd:double"&gt;0.65204996&lt;/D&gt;&lt;D xsi:type="xsd:double"&gt;0.649&lt;/D&gt;&lt;D xsi:type="xsd:double"&gt;0.65165&lt;/D&gt;&lt;D xsi:type="xsd:double"&gt;0.64935&lt;/D&gt;&lt;D xsi:type="xsd:double"&gt;0.65015&lt;/D&gt;&lt;D xsi:type="xsd:double"&gt;0.64664996&lt;/D&gt;&lt;D xsi:type="xsd:double"&gt;0.64935&lt;/D&gt;&lt;D xsi:type="xsd:double"&gt;0.64994997&lt;/D&gt;&lt;D xsi:type="xsd:double"&gt;0.65145&lt;/D&gt;&lt;D xsi:type="xsd:double"&gt;0.64475&lt;/D&gt;&lt;D xsi:type="xsd:double"&gt;0.64775&lt;/D&gt;&lt;D xsi:type="xsd:double"&gt;0.64335&lt;/D&gt;&lt;D xsi:type="xsd:double"&gt;0.64355&lt;/D&gt;&lt;D xsi:type="xsd:double"&gt;0.639&lt;/D&gt;&lt;D xsi:type="xsd:double"&gt;0.64664996&lt;/D&gt;&lt;D xsi:type="xsd:double"&gt;0.637&lt;/D&gt;&lt;D xsi:type="xsd:double"&gt;0.6365&lt;/D&gt;&lt;D xsi:type="xsd:double"&gt;0.63805&lt;/D&gt;&lt;D xsi:type="xsd:double"&gt;0.6359&lt;/D&gt;&lt;D xsi:type="xsd:double"&gt;0.63705&lt;/D&gt;&lt;D xsi:type="xsd:double"&gt;0.63420004&lt;/D&gt;&lt;D xsi:type="xsd:double"&gt;0.63054997&lt;/D&gt;&lt;D xsi:type="xsd:double"&gt;0.62535&lt;/D&gt;&lt;D xsi:type="xsd:double"&gt;0.62474996&lt;/D&gt;&lt;D xsi:type="xsd:double"&gt;0.62315&lt;/D&gt;&lt;D xsi:type="xsd:double"&gt;0.6228&lt;/D&gt;&lt;D xsi:type="xsd:double"&gt;0.6227961&lt;/D&gt;&lt;D xsi:type="xsd:double"&gt;0.62165&lt;/D&gt;&lt;D xsi:type="xsd:double"&gt;0.62135&lt;/D&gt;&lt;D xsi:type="xsd:double"&gt;0.62165&lt;/D&gt;&lt;D xsi:type="xsd:double"&gt;0.61915&lt;/D&gt;&lt;D xsi:type="xsd:double"&gt;0.6191418&lt;/D&gt;&lt;D xsi:type="xsd:double"&gt;0.62105&lt;/D&gt;&lt;D xsi:type="xsd:double"&gt;0.62045&lt;/D&gt;&lt;D xsi:type="xsd:double"&gt;0.62465&lt;/D&gt;&lt;D xsi:type="xsd:double"&gt;0.6247&lt;/D&gt;&lt;D xsi:type="xsd:double"&gt;0.62085&lt;/D&gt;&lt;D xsi:type="xsd:double"&gt;0.6192&lt;/D&gt;&lt;D xsi:type="xsd:double"&gt;0.61555&lt;/D&gt;&lt;/FQL&gt;&lt;FQL&gt;&lt;Q&gt;AUDUSD^FG_PRICE(45838,0)&lt;/Q&gt;&lt;R&gt;122&lt;/R&gt;&lt;C&gt;1&lt;/C&gt;&lt;D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xsi:type="xsd:double"&gt;0.61555&lt;/D&gt;&lt;D xsi:type="xsd:double"&gt;0.61555&lt;/D&gt;&lt;/FQL&gt;&lt;FQL&gt;&lt;Q&gt;AUDUSD^FG_PRICE(45838)&lt;/Q&gt;&lt;R&gt;1&lt;/R&gt;&lt;C&gt;1&lt;/C&gt;&lt;D xsi:type="xsd:double"&gt;0.61555&lt;/D&gt;&lt;/FQL&gt;&lt;FQL&gt;&lt;Q&gt;AUDUSD^P_PRICE_AVG(45474,45670)&lt;/Q&gt;&lt;R&gt;1&lt;/R&gt;&lt;C&gt;1&lt;/C&gt;&lt;D xsi:type="xsd:double"&gt;0.6585368&lt;/D&gt;&lt;/FQL&gt;&lt;FQL&gt;&lt;Q&gt;AUDUSD^FG_PRICE(45670)&lt;/Q&gt;&lt;R&gt;1&lt;/R&gt;&lt;C&gt;1&lt;/C&gt;&lt;D xsi:type="xsd:double"&gt;0.61555&lt;/D&gt;&lt;/FQL&gt;&lt;FQL&gt;&lt;Q&gt;^FG_PRICE()&lt;/Q&gt;&lt;R&gt;0&lt;/R&gt;&lt;C&gt;0&lt;/C&gt;&lt;/FQL&gt;&lt;FQL&gt;&lt;Q&gt;^P_PRICE_AVG(,)&lt;/Q&gt;&lt;R&gt;0&lt;/R&gt;&lt;C&gt;0&lt;/C&gt;&lt;/FQL&gt;&lt;FQL&gt;&lt;Q&gt;AUDUSD^P_PRICE_AVG(45474,45671)&lt;/Q&gt;&lt;R&gt;1&lt;/R&gt;&lt;C&gt;1&lt;/C&gt;&lt;D xsi:type="xsd:double"&gt;0.658227&lt;/D&gt;&lt;/FQL&gt;&lt;FQL&gt;&lt;Q&gt;AUDUSD^FG_PRICE(45671)&lt;/Q&gt;&lt;R&gt;1&lt;/R&gt;&lt;C&gt;1&lt;/C&gt;&lt;D xsi:type="xsd:double"&gt;0.61505&lt;/D&gt;&lt;/FQL&gt;&lt;FQL&gt;&lt;Q&gt;AUDUSD^P_PRICE_AVG(45474,45672)&lt;/Q&gt;&lt;R&gt;1&lt;/R&gt;&lt;C&gt;1&lt;/C&gt;&lt;D xsi:type="xsd:double"&gt;0.657988&lt;/D&gt;&lt;/FQL&gt;&lt;FQL&gt;&lt;Q&gt;AUDUSD^FG_PRICE(45672)&lt;/Q&gt;&lt;R&gt;1&lt;/R&gt;&lt;C&gt;1&lt;/C&gt;&lt;D xsi:type="xsd:double"&gt;0.61955&lt;/D&gt;&lt;/FQL&gt;&lt;FQL&gt;&lt;Q&gt;USDAUD^FG_PRICE(45673)&lt;/Q&gt;&lt;R&gt;1&lt;/R&gt;&lt;C&gt;1&lt;/C&gt;&lt;D xsi:type="xsd:double"&gt;1.6059097&lt;/D&gt;&lt;/FQL&gt;&lt;FQL&gt;&lt;Q&gt;EURAUD^FG_PRICE(45673)&lt;/Q&gt;&lt;R&gt;1&lt;/R&gt;&lt;C&gt;1&lt;/C&gt;&lt;D xsi:type="xsd:double"&gt;1.6549703&lt;/D&gt;&lt;/FQL&gt;&lt;FQL&gt;&lt;Q&gt;GBPAUD^FG_PRICE(45673)&lt;/Q&gt;&lt;R&gt;1&lt;/R&gt;&lt;C&gt;1&lt;/C&gt;&lt;D xsi:type="xsd:double"&gt;1.9686044&lt;/D&gt;&lt;/FQL&gt;&lt;FQL&gt;&lt;Q&gt;ZARAUD^FG_PRICE(45673)&lt;/Q&gt;&lt;R&gt;1&lt;/R&gt;&lt;C&gt;1&lt;/C&gt;&lt;D xsi:type="xsd:double"&gt;0.08547756&lt;/D&gt;&lt;/FQL&gt;&lt;FQL&gt;&lt;Q&gt;TRYAUD^FG_PRICE(45673)&lt;/Q&gt;&lt;R&gt;1&lt;/R&gt;&lt;C&gt;1&lt;/C&gt;&lt;D xsi:type="xsd:double"&gt;0.045291435&lt;/D&gt;&lt;/FQL&gt;&lt;FQL&gt;&lt;Q&gt;NZDAUD^FG_PRICE(45673)&lt;/Q&gt;&lt;R&gt;1&lt;/R&gt;&lt;C&gt;1&lt;/C&gt;&lt;D xsi:type="xsd:double"&gt;0.90308326&lt;/D&gt;&lt;/FQL&gt;&lt;FQL&gt;&lt;Q&gt;RMBAUD^FG_PRICE(45673)&lt;/Q&gt;&lt;R&gt;0&lt;/R&gt;&lt;C&gt;0&lt;/C&gt;&lt;/FQL&gt;&lt;FQL&gt;&lt;Q&gt;CHFAUD^FG_PRICE(45673)&lt;/Q&gt;&lt;R&gt;1&lt;/R&gt;&lt;C&gt;1&lt;/C&gt;&lt;D xsi:type="xsd:double"&gt;1.7615418&lt;/D&gt;&lt;/FQL&gt;&lt;FQL&gt;&lt;Q&gt;0.66^P_PRICE_AVG(45474,45673)&lt;/Q&gt;&lt;R&gt;0&lt;/R&gt;&lt;C&gt;0&lt;/C&gt;&lt;/FQL&gt;&lt;FQL&gt;&lt;Q&gt;0.61^P_PRICE_AVG(45474,45673)&lt;/Q&gt;&lt;R&gt;0&lt;/R&gt;&lt;C&gt;0&lt;/C&gt;&lt;/FQL&gt;&lt;FQL&gt;&lt;Q&gt;0.52^P_PRICE_AVG(45474,45673)&lt;/Q&gt;&lt;R&gt;0&lt;/R&gt;&lt;C&gt;0&lt;/C&gt;&lt;/FQL&gt;&lt;FQL&gt;&lt;Q&gt;12^P_PRICE_AVG(45474,45673)&lt;/Q&gt;&lt;R&gt;0&lt;/R&gt;&lt;C&gt;0&lt;/C&gt;&lt;/FQL&gt;&lt;FQL&gt;&lt;Q&gt;22.5^P_PRICE_AVG(45474,45673)&lt;/Q&gt;&lt;R&gt;0&lt;/R&gt;&lt;C&gt;0&lt;/C&gt;&lt;/FQL&gt;&lt;FQL&gt;&lt;Q&gt;1.11^P_PRICE_AVG(45474,45673)&lt;/Q&gt;&lt;R&gt;0&lt;/R&gt;&lt;C&gt;0&lt;/C&gt;&lt;/FQL&gt;&lt;FQL&gt;&lt;Q&gt;4.75^P_PRICE_AVG(45474,45673)&lt;/Q&gt;&lt;R&gt;0&lt;/R&gt;&lt;C&gt;0&lt;/C&gt;&lt;/FQL&gt;&lt;FQL&gt;&lt;Q&gt;0.58^P_PRICE_AVG(45474,45673)&lt;/Q&gt;&lt;R&gt;0&lt;/R&gt;&lt;C&gt;0&lt;/C&gt;&lt;/FQL&gt;&lt;FQL&gt;&lt;Q&gt;USDAUD^P_PRICE_AVG(45474,45673)&lt;/Q&gt;&lt;R&gt;1&lt;/R&gt;&lt;C&gt;1&lt;/C&gt;&lt;D xsi:type="xsd:double"&gt;1.5217034&lt;/D&gt;&lt;/FQL&gt;&lt;FQL&gt;&lt;Q&gt;EURAUD^P_PRICE_AVG(45474,45673)&lt;/Q&gt;&lt;R&gt;1&lt;/R&gt;&lt;C&gt;1&lt;/C&gt;&lt;D xsi:type="xsd:double"&gt;1.6397318&lt;/D&gt;&lt;/FQL&gt;&lt;FQL&gt;&lt;Q&gt;GBPAUD^P_PRICE_AVG(45474,45673)&lt;/Q&gt;&lt;R&gt;1&lt;/R&gt;&lt;C&gt;1&lt;/C&gt;&lt;D xsi:type="xsd:double"&gt;1.9560049&lt;/D&gt;&lt;/FQL&gt;&lt;FQL&gt;&lt;Q&gt;ZARAUD^P_PRICE_AVG(45474,45673)&lt;/Q&gt;&lt;R&gt;1&lt;/R&gt;&lt;C&gt;1&lt;/C&gt;&lt;D xsi:type="xsd:double"&gt;0.084435225&lt;/D&gt;&lt;/FQL&gt;&lt;FQL&gt;&lt;Q&gt;TRYAUD^P_PRICE_AVG(45474,45673)&lt;/Q&gt;&lt;R&gt;1&lt;/R&gt;&lt;C&gt;1&lt;/C&gt;&lt;D xsi:type="xsd:double"&gt;0.044548187&lt;/D&gt;&lt;/FQL&gt;&lt;FQL&gt;&lt;Q&gt;NZDAUD^P_PRICE_AVG(45474,45673)&lt;/Q&gt;&lt;R&gt;1&lt;/R&gt;&lt;C&gt;1&lt;/C&gt;&lt;D xsi:type="xsd:double"&gt;0.90888584&lt;/D&gt;&lt;/FQL&gt;&lt;FQL&gt;&lt;Q&gt;RMBAUD^P_PRICE_AVG(45474,45673)&lt;/Q&gt;&lt;R&gt;0&lt;/R&gt;&lt;C&gt;0&lt;/C&gt;&lt;/FQL&gt;&lt;FQL&gt;&lt;Q&gt;CHFAUD^P_PRICE_AVG(45474,45673)&lt;/Q&gt;&lt;R&gt;1&lt;/R&gt;&lt;C&gt;1&lt;/C&gt;&lt;D xsi:type="xsd:double"&gt;1.7383633&lt;/D&gt;&lt;/FQL&gt;&lt;FQL&gt;&lt;Q&gt;AUDZAR^P_PRICE_AVG(45474,45673)&lt;/Q&gt;&lt;R&gt;1&lt;/R&gt;&lt;C&gt;1&lt;/C&gt;&lt;D xsi:type="xsd:double"&gt;11.847745&lt;/D&gt;&lt;/FQL&gt;&lt;FQL&gt;&lt;Q&gt;AUDEUR^P_PRICE_AVG(45474,45673)&lt;/Q&gt;&lt;R&gt;1&lt;/R&gt;&lt;C&gt;1&lt;/C&gt;&lt;D xsi:type="xsd:double"&gt;0.6099487&lt;/D&gt;&lt;/FQL&gt;&lt;FQL&gt;&lt;Q&gt;AUDCHF^FG_PRICE(45673)&lt;/Q&gt;&lt;R&gt;1&lt;/R&gt;&lt;C&gt;1&lt;/C&gt;&lt;D xsi:type="xsd:double"&gt;0.5676845&lt;/D&gt;&lt;/FQL&gt;&lt;FQL&gt;&lt;Q&gt;AUDTRY^FG_PRICE(45673)&lt;/Q&gt;&lt;R&gt;1&lt;/R&gt;&lt;C&gt;1&lt;/C&gt;&lt;D xsi:type="xsd:double"&gt;22.07923&lt;/D&gt;&lt;/FQL&gt;&lt;FQL&gt;&lt;Q&gt;AUDGBP^FG_PRICE(45673)&lt;/Q&gt;&lt;R&gt;1&lt;/R&gt;&lt;C&gt;1&lt;/C&gt;&lt;D xsi:type="xsd:double"&gt;0.5079741&lt;/D&gt;&lt;/FQL&gt;&lt;FQL&gt;&lt;Q&gt;AUDAUD^FG_PRICE(45673)&lt;/Q&gt;&lt;R&gt;1&lt;/R&gt;&lt;C&gt;1&lt;/C&gt;&lt;D xsi:type="xsd:double"&gt;1&lt;/D&gt;&lt;/FQL&gt;&lt;FQL&gt;&lt;Q&gt;AUDUSD^FG_PRICE(45673)&lt;/Q&gt;&lt;R&gt;1&lt;/R&gt;&lt;C&gt;1&lt;/C&gt;&lt;D xsi:type="xsd:double"&gt;0.62270004&lt;/D&gt;&lt;/FQL&gt;&lt;FQL&gt;&lt;Q&gt;AUDTRY^P_PRICE_AVG(45474,45673)&lt;/Q&gt;&lt;R&gt;1&lt;/R&gt;&lt;C&gt;1&lt;/C&gt;&lt;D xsi:type="xsd:double"&gt;22.45934&lt;/D&gt;&lt;/FQL&gt;&lt;FQL&gt;&lt;Q&gt;AUDGBP^P_PRICE_AVG(45474,45673)&lt;/Q&gt;&lt;R&gt;1&lt;/R&gt;&lt;C&gt;1&lt;/C&gt;&lt;D xsi:type="xsd:double"&gt;0.5113506&lt;/D&gt;&lt;/FQL&gt;&lt;FQL&gt;&lt;Q&gt;AUDUSD^P_PRICE_AVG(45474,45673)&lt;/Q&gt;&lt;R&gt;1&lt;/R&gt;&lt;C&gt;1&lt;/C&gt;&lt;D xsi:type="xsd:double"&gt;0.65776485&lt;/D&gt;&lt;/FQL&gt;&lt;FQL&gt;&lt;Q&gt;AUDZNZD^FG_PRICE(45673)&lt;/Q&gt;&lt;R&gt;0&lt;/R&gt;&lt;C&gt;0&lt;/C&gt;&lt;/FQL&gt;&lt;FQL&gt;&lt;Q&gt;AUDZAR^FG_PRICE(45673)&lt;/Q&gt;&lt;R&gt;1&lt;/R&gt;&lt;C&gt;1&lt;/C&gt;&lt;D xsi:type="xsd:double"&gt;11.698977&lt;/D&gt;&lt;/FQL&gt;&lt;FQL&gt;&lt;Q&gt;AUDAUD^P_PRICE_AVG(45474,45673)&lt;/Q&gt;&lt;R&gt;1&lt;/R&gt;&lt;C&gt;1&lt;/C&gt;&lt;D xsi:type="xsd:double"&gt;1&lt;/D&gt;&lt;/FQL&gt;&lt;FQL&gt;&lt;Q&gt;AUDEUR^FG_PRICE(45673)&lt;/Q&gt;&lt;R&gt;1&lt;/R&gt;&lt;C&gt;1&lt;/C&gt;&lt;D xsi:type="xsd:double"&gt;0.6042405&lt;/D&gt;&lt;/FQL&gt;&lt;FQL&gt;&lt;Q&gt;AUDZNZD^P_PRICE_AVG(45474,45673)&lt;/Q&gt;&lt;R&gt;0&lt;/R&gt;&lt;C&gt;0&lt;/C&gt;&lt;/FQL&gt;&lt;FQL&gt;&lt;Q&gt;AUDCHF^P_PRICE_AVG(45474,45673)&lt;/Q&gt;&lt;R&gt;1&lt;/R&gt;&lt;C&gt;1&lt;/C&gt;&lt;D xsi:type="xsd:double"&gt;0.5754889&lt;/D&gt;&lt;/FQL&gt;&lt;FQL&gt;&lt;Q&gt;AUDNZD^FG_PRICE(45673)&lt;/Q&gt;&lt;R&gt;1&lt;/R&gt;&lt;C&gt;1&lt;/C&gt;&lt;D xsi:type="xsd:double"&gt;1.1073176&lt;/D&gt;&lt;/FQL&gt;&lt;FQL&gt;&lt;Q&gt;AUDNZD^P_PRICE_AVG(45474,45673)&lt;/Q&gt;&lt;R&gt;1&lt;/R&gt;&lt;C&gt;1&lt;/C&gt;&lt;D xsi:type="xsd:double"&gt;1.100304&lt;/D&gt;&lt;/FQL&gt;&lt;/Schema&gt;</t>
        </r>
      </text>
    </comment>
  </commentList>
</comments>
</file>

<file path=xl/sharedStrings.xml><?xml version="1.0" encoding="utf-8"?>
<sst xmlns="http://schemas.openxmlformats.org/spreadsheetml/2006/main" count="1750" uniqueCount="1066">
  <si>
    <t>Tax (paid)</t>
  </si>
  <si>
    <t>Total EBITDA</t>
  </si>
  <si>
    <t>Investments - Total</t>
  </si>
  <si>
    <t>Add depreciation and non goodwill amortisation</t>
  </si>
  <si>
    <t>Cash flow (for CFPS - profit based)</t>
  </si>
  <si>
    <t>Cash flow for CFPS calculations</t>
  </si>
  <si>
    <t>Fully diluted CFPS</t>
  </si>
  <si>
    <t>CFPS (profit based)</t>
  </si>
  <si>
    <t>NPAT (for fully diluted EPS pre goodwill amortisation)</t>
  </si>
  <si>
    <t>CFPS (free cash flow based)</t>
  </si>
  <si>
    <t>CFPS CALCULATION</t>
  </si>
  <si>
    <t>DPS (Interim and final) - ordinary</t>
  </si>
  <si>
    <t>DPS &amp; FRANKING</t>
  </si>
  <si>
    <t>Gearing - Net debt/(Net debt +Equity)</t>
  </si>
  <si>
    <t>Gearing - Net debt/Equity</t>
  </si>
  <si>
    <t>Market capitalisation</t>
  </si>
  <si>
    <t>Market value of non-operating assets</t>
  </si>
  <si>
    <t>Enterprise value</t>
  </si>
  <si>
    <t>BOOK VALUE</t>
  </si>
  <si>
    <t>Goodwill and other intangibles</t>
  </si>
  <si>
    <t>Net assets (Book value)</t>
  </si>
  <si>
    <t>Net tangible assets</t>
  </si>
  <si>
    <t>NTA per share</t>
  </si>
  <si>
    <t>Book value per share</t>
  </si>
  <si>
    <t>EFPOWA (fully diluted - incl CPS)</t>
  </si>
  <si>
    <t>Franking</t>
  </si>
  <si>
    <t>Sales</t>
  </si>
  <si>
    <t>EBITDA</t>
  </si>
  <si>
    <t>EBIT</t>
  </si>
  <si>
    <t>Other receivables</t>
  </si>
  <si>
    <t>Inventories</t>
  </si>
  <si>
    <t>Other</t>
  </si>
  <si>
    <t>Trade debtors</t>
  </si>
  <si>
    <t>Goodwill</t>
  </si>
  <si>
    <t>Borrowings</t>
  </si>
  <si>
    <t>Provisions</t>
  </si>
  <si>
    <t>Reserves</t>
  </si>
  <si>
    <t>Dividends paid</t>
  </si>
  <si>
    <t>Asset sales - operating businesses</t>
  </si>
  <si>
    <t>Asset sales - equity investments</t>
  </si>
  <si>
    <t>Acquisitions - operating businesses</t>
  </si>
  <si>
    <t>Acquisitions - equity interests</t>
  </si>
  <si>
    <t>Asset sales - pp&amp;e</t>
  </si>
  <si>
    <t>Acquisitions - total</t>
  </si>
  <si>
    <t>Asset sales - total</t>
  </si>
  <si>
    <t>DPS</t>
  </si>
  <si>
    <t>EFPO</t>
  </si>
  <si>
    <t>Income tax expense</t>
  </si>
  <si>
    <t>Abnormal items (after tax)</t>
  </si>
  <si>
    <t>Net profit (after abnormals)</t>
  </si>
  <si>
    <t>Interim (¢ps)</t>
  </si>
  <si>
    <t>Final (¢ps)</t>
  </si>
  <si>
    <t>Tax rate</t>
  </si>
  <si>
    <t>CASHFLOW SUMMARY</t>
  </si>
  <si>
    <t>Net operating cashflow</t>
  </si>
  <si>
    <t>Capital expenditure - maintenance</t>
  </si>
  <si>
    <t>Capital expenditure - expansion</t>
  </si>
  <si>
    <t>Borrowings incurred/(repaid)</t>
  </si>
  <si>
    <t>Average net debt</t>
  </si>
  <si>
    <t>Average interest rate</t>
  </si>
  <si>
    <t>Net interest cover</t>
  </si>
  <si>
    <t>BALANCE SHEET SUMMARY</t>
  </si>
  <si>
    <t>Current assets</t>
  </si>
  <si>
    <t>Cash</t>
  </si>
  <si>
    <t>Total current assets</t>
  </si>
  <si>
    <t>Non-current assets</t>
  </si>
  <si>
    <t>Accumulated depreciation</t>
  </si>
  <si>
    <t>Accumulated amortisation</t>
  </si>
  <si>
    <t>Net goodwill</t>
  </si>
  <si>
    <t>Other intangibles</t>
  </si>
  <si>
    <t>FITB</t>
  </si>
  <si>
    <t>Total non-current assets</t>
  </si>
  <si>
    <t>Total assets</t>
  </si>
  <si>
    <t>Current liabilities</t>
  </si>
  <si>
    <t>Trade creditors</t>
  </si>
  <si>
    <t>Other creditors</t>
  </si>
  <si>
    <t>Other liabilities</t>
  </si>
  <si>
    <t>Total current liabilities</t>
  </si>
  <si>
    <t>Non-current liabilities</t>
  </si>
  <si>
    <t>Deferred income taxes</t>
  </si>
  <si>
    <t>Total non-current liabilities</t>
  </si>
  <si>
    <t>Total liabilities</t>
  </si>
  <si>
    <t>Shareholders' equity</t>
  </si>
  <si>
    <t>Retained profits</t>
  </si>
  <si>
    <t>Minorities</t>
  </si>
  <si>
    <t>Total equity</t>
  </si>
  <si>
    <t>Working capital</t>
  </si>
  <si>
    <t>(Increase)/decrease in working capital</t>
  </si>
  <si>
    <t>Funds employed</t>
  </si>
  <si>
    <t>Average funds employed</t>
  </si>
  <si>
    <t>ROFE</t>
  </si>
  <si>
    <t>EPS (post goodwill amortisation) (¢)</t>
  </si>
  <si>
    <t>Franking (%)</t>
  </si>
  <si>
    <t>WACC</t>
  </si>
  <si>
    <t>NET INTEREST EXPENSE</t>
  </si>
  <si>
    <t>Gross debt as at 1 July</t>
  </si>
  <si>
    <t>Gross debt as at 30 June</t>
  </si>
  <si>
    <t>Average gross debt</t>
  </si>
  <si>
    <t>Gross interest expense</t>
  </si>
  <si>
    <t>Cash as at 1 July</t>
  </si>
  <si>
    <t>Cash as at 30 June</t>
  </si>
  <si>
    <t>Average cash</t>
  </si>
  <si>
    <t>Interest income</t>
  </si>
  <si>
    <t>Calculated net interest expense</t>
  </si>
  <si>
    <t>Beta</t>
  </si>
  <si>
    <t>Equity Value</t>
  </si>
  <si>
    <t>Total Revenue</t>
  </si>
  <si>
    <t>Property, plant &amp; equipment</t>
  </si>
  <si>
    <t>Net property, plant &amp; equipment</t>
  </si>
  <si>
    <t>Total sales</t>
  </si>
  <si>
    <t>Converting preference dividends</t>
  </si>
  <si>
    <t>Sales revenue</t>
  </si>
  <si>
    <t>SHARE BASE SUMMARY</t>
  </si>
  <si>
    <t>Issued shares</t>
  </si>
  <si>
    <t>Opening issued shares</t>
  </si>
  <si>
    <t>Options exercised</t>
  </si>
  <si>
    <t>Closing issued shares</t>
  </si>
  <si>
    <t>EFPOWA (basic)</t>
  </si>
  <si>
    <t>EPS CALCULATION</t>
  </si>
  <si>
    <t>Fully diluted EPS</t>
  </si>
  <si>
    <t>Basic EPS</t>
  </si>
  <si>
    <t>EPS (reported - post abnormals) (¢)</t>
  </si>
  <si>
    <t>Total payout - ordinary shares ($m)</t>
  </si>
  <si>
    <t>Revenue</t>
  </si>
  <si>
    <t>Working capital/Sales</t>
  </si>
  <si>
    <t>CAPITAL INTENSITY</t>
  </si>
  <si>
    <t>Capex/Sales (%)</t>
  </si>
  <si>
    <t>Consolidated pre tax profit</t>
  </si>
  <si>
    <t>Equity accounted profits/(losses)</t>
  </si>
  <si>
    <t>Year to 30 June</t>
  </si>
  <si>
    <t>Trade debtors turnover (Days)</t>
  </si>
  <si>
    <t>Trade creditors turnover (Days)</t>
  </si>
  <si>
    <t>Inventory turnover (Days)</t>
  </si>
  <si>
    <t>Check</t>
  </si>
  <si>
    <t>Net debt as at 1 July</t>
  </si>
  <si>
    <t>Net debt as at 30 June</t>
  </si>
  <si>
    <t>Gross operating cashflow (CBIT)</t>
  </si>
  <si>
    <t>QUALITY OF EARNINGS</t>
  </si>
  <si>
    <t>CBIT/EBITDA</t>
  </si>
  <si>
    <t>Other investing cashflows</t>
  </si>
  <si>
    <t>Variation explained by:</t>
  </si>
  <si>
    <t xml:space="preserve">   Working capital</t>
  </si>
  <si>
    <t>Net interest expense/(income)</t>
  </si>
  <si>
    <t>Net interest (paid)/received</t>
  </si>
  <si>
    <t xml:space="preserve">   Other</t>
  </si>
  <si>
    <t>NPAT (for reported EPS)</t>
  </si>
  <si>
    <t>NPAT for EPS calculations ($m)</t>
  </si>
  <si>
    <t>NPAT (pre abnormals)</t>
  </si>
  <si>
    <t>Add consolidated goodwill amortisation</t>
  </si>
  <si>
    <t>Add associated goodwill amortisation</t>
  </si>
  <si>
    <t>NPAT (for basic EPS)</t>
  </si>
  <si>
    <t>Growth rates</t>
  </si>
  <si>
    <t>Costs</t>
  </si>
  <si>
    <t>NPAT (Consolidated)</t>
  </si>
  <si>
    <t>Margins</t>
  </si>
  <si>
    <t>EBITDA/Sales</t>
  </si>
  <si>
    <t>Tax paid/Tax expense</t>
  </si>
  <si>
    <t>Investments - Associates</t>
  </si>
  <si>
    <t>Investments - Other</t>
  </si>
  <si>
    <t>Capex/Depreciation (Current)</t>
  </si>
  <si>
    <t>Capex/Depreciation (3 year rolling)</t>
  </si>
  <si>
    <t>Market value of minority interests</t>
  </si>
  <si>
    <t>Capex/EBITDA (%)</t>
  </si>
  <si>
    <t>Net investments (expansionary)</t>
  </si>
  <si>
    <t>(Increase)/decrease in net debt</t>
  </si>
  <si>
    <t>Net increase/(decrease) in cash</t>
  </si>
  <si>
    <t>Shares issued/(repurchased)</t>
  </si>
  <si>
    <t>ENTERPRISE VALUE</t>
  </si>
  <si>
    <t>Market value of equity associates</t>
  </si>
  <si>
    <t>Market value of other investments</t>
  </si>
  <si>
    <t>Dividend income - associates</t>
  </si>
  <si>
    <t>Dividend income - other investments</t>
  </si>
  <si>
    <t>Other inflows/(outflows)</t>
  </si>
  <si>
    <t>Adjusted market capitalisation</t>
  </si>
  <si>
    <t>Payout ratio (ordinary dividends)</t>
  </si>
  <si>
    <t>Payout ratio (incl special dividends)</t>
  </si>
  <si>
    <t>Free cashflow (post dividends)</t>
  </si>
  <si>
    <t>Cashflow/earnings</t>
  </si>
  <si>
    <t>Receivables</t>
  </si>
  <si>
    <t>Share capital</t>
  </si>
  <si>
    <t>Gearing - Net debt/EBITDA</t>
  </si>
  <si>
    <t>Depreciation/Gross pty, plant &amp; eqpmt</t>
  </si>
  <si>
    <t>EFPOWA (fully diluted - incl options)</t>
  </si>
  <si>
    <t>Free cashflow (FCF)</t>
  </si>
  <si>
    <t>Total</t>
  </si>
  <si>
    <t>Net other intangibles</t>
  </si>
  <si>
    <t>Adjustments for asset revaluations</t>
  </si>
  <si>
    <t>Adjusted funds employed</t>
  </si>
  <si>
    <t>Average adjusted funds employed</t>
  </si>
  <si>
    <t>RETURN ON CAPITAL ANALYSIS</t>
  </si>
  <si>
    <t>EBITDA/Funds employed</t>
  </si>
  <si>
    <t>EBITDA/Adjusted funds employed</t>
  </si>
  <si>
    <t>WACC (pre tax)</t>
  </si>
  <si>
    <t>ROFE spread (Funds employed)</t>
  </si>
  <si>
    <t>ROFE spread (Adjusted funds employed)</t>
  </si>
  <si>
    <t>WACC Calculation</t>
  </si>
  <si>
    <t>10 year bond rate</t>
  </si>
  <si>
    <t>Equity risk premium</t>
  </si>
  <si>
    <t>Market value based gearing</t>
  </si>
  <si>
    <t>Risk margin for debt</t>
  </si>
  <si>
    <t>Kd (pre tax)</t>
  </si>
  <si>
    <t>Kd (after tax)</t>
  </si>
  <si>
    <t>WACC (after tax)</t>
  </si>
  <si>
    <t>Ke (after tax)</t>
  </si>
  <si>
    <t>Ke (pre tax)</t>
  </si>
  <si>
    <t>Mastheads &amp; tradenames</t>
  </si>
  <si>
    <t>Minority share of profits/(losses)</t>
  </si>
  <si>
    <t>FCF (for CFPS - free cashflow based)</t>
  </si>
  <si>
    <t>EFPOWA (fully diluted)</t>
  </si>
  <si>
    <t>Add abnormal items after tax</t>
  </si>
  <si>
    <t>EPS growth</t>
  </si>
  <si>
    <t>Dilution for Options in the money</t>
  </si>
  <si>
    <t>EPS (¢)</t>
  </si>
  <si>
    <t>EPS</t>
  </si>
  <si>
    <t>EPS (reported - post abnormals)</t>
  </si>
  <si>
    <t>H2</t>
  </si>
  <si>
    <t>H1</t>
  </si>
  <si>
    <t>EBITDA_PUB</t>
  </si>
  <si>
    <t>EPS_PUB</t>
  </si>
  <si>
    <t>NI_PUB</t>
  </si>
  <si>
    <t>EBIT_PUB</t>
  </si>
  <si>
    <t>REVS_PUB</t>
  </si>
  <si>
    <t>Cost of equity</t>
  </si>
  <si>
    <t>Perpetuity Growth Rate</t>
  </si>
  <si>
    <t>Discount Factor</t>
  </si>
  <si>
    <t>Depreciation</t>
  </si>
  <si>
    <t>Acquisitions</t>
  </si>
  <si>
    <t>Effects of exchange rate changes</t>
  </si>
  <si>
    <t>Total (¢ps)</t>
  </si>
  <si>
    <t>EPS (pre abnormals)</t>
  </si>
  <si>
    <t>Growth</t>
  </si>
  <si>
    <t>Value</t>
  </si>
  <si>
    <t>2018E</t>
  </si>
  <si>
    <t>2019E</t>
  </si>
  <si>
    <t>2020E</t>
  </si>
  <si>
    <t>2021E</t>
  </si>
  <si>
    <t>2022E</t>
  </si>
  <si>
    <t>2023E</t>
  </si>
  <si>
    <t>2024E</t>
  </si>
  <si>
    <t>2025E</t>
  </si>
  <si>
    <t>2026E</t>
  </si>
  <si>
    <t>2027E</t>
  </si>
  <si>
    <t>Revenues (A$mn)</t>
  </si>
  <si>
    <t>EBITDA (A$mn)</t>
  </si>
  <si>
    <t>NPAT (A$mn)</t>
  </si>
  <si>
    <t>EPS (A¢ ps)</t>
  </si>
  <si>
    <t>Old</t>
  </si>
  <si>
    <t>New</t>
  </si>
  <si>
    <t>% chg</t>
  </si>
  <si>
    <t>FY18E</t>
  </si>
  <si>
    <t>FY19E</t>
  </si>
  <si>
    <t>GQ live</t>
  </si>
  <si>
    <t>Model</t>
  </si>
  <si>
    <t>Growth %</t>
  </si>
  <si>
    <t>Core NPAT (pre abnormals)</t>
  </si>
  <si>
    <t>FY20E</t>
  </si>
  <si>
    <t>Price Target (A$)</t>
  </si>
  <si>
    <t>Shares Outstanding</t>
  </si>
  <si>
    <t>% debt</t>
  </si>
  <si>
    <t>% equity</t>
  </si>
  <si>
    <t>Cost of debt (after tax)</t>
  </si>
  <si>
    <t>Cost of debt</t>
  </si>
  <si>
    <t>DCF - One year forward</t>
  </si>
  <si>
    <t>WACC CALCULATION</t>
  </si>
  <si>
    <t>DCF valuation including imputation credits</t>
  </si>
  <si>
    <t>Value of imputation credits</t>
  </si>
  <si>
    <t>Equity value per share</t>
  </si>
  <si>
    <t>Risk margin</t>
  </si>
  <si>
    <t>Shares on issue</t>
  </si>
  <si>
    <t>Equity premium</t>
  </si>
  <si>
    <t>Equity beta</t>
  </si>
  <si>
    <t>Enterprise Value</t>
  </si>
  <si>
    <t>Risk free rate</t>
  </si>
  <si>
    <t>NPV of Terminal Value</t>
  </si>
  <si>
    <t>COST OF EQUITY CALCULATION</t>
  </si>
  <si>
    <t>Cumulative NPV of Free Cash Flow</t>
  </si>
  <si>
    <t>Implied Terminal EBITDA Multiple</t>
  </si>
  <si>
    <t>Implied Terminal P/E Multiple</t>
  </si>
  <si>
    <t>Terminal Free Cash Flow Multiple</t>
  </si>
  <si>
    <t>Terminal Value</t>
  </si>
  <si>
    <t>Terminal Year Free Cash Flow</t>
  </si>
  <si>
    <t>Terminal Value Calculation:</t>
  </si>
  <si>
    <t>Sensitivities</t>
  </si>
  <si>
    <t>PV</t>
  </si>
  <si>
    <t>% of imputation credits valued by market</t>
  </si>
  <si>
    <t>Imputation credits</t>
  </si>
  <si>
    <t>Free cash flow (post div)</t>
  </si>
  <si>
    <t>Dividend</t>
  </si>
  <si>
    <t>Free cash flow</t>
  </si>
  <si>
    <t>Net interest</t>
  </si>
  <si>
    <t>Present Value of Free Cash Flow</t>
  </si>
  <si>
    <t>Discount Period</t>
  </si>
  <si>
    <t>Unlevered Free Cash Flow</t>
  </si>
  <si>
    <t>Add: Working Capital Changes</t>
  </si>
  <si>
    <t>Less: Capital Expenditures</t>
  </si>
  <si>
    <t>Add: Depreciation &amp; Amortization</t>
  </si>
  <si>
    <t>After-Tax Income</t>
  </si>
  <si>
    <t>Tax Expense</t>
  </si>
  <si>
    <t>Effective Tax Rate</t>
  </si>
  <si>
    <t>(All figures in $A millions, except per share and per sub data)</t>
  </si>
  <si>
    <t>DCF Valuation</t>
  </si>
  <si>
    <t>June 30 year end</t>
  </si>
  <si>
    <t>*10 year DCF forecast period</t>
  </si>
  <si>
    <t>$ millions, except per share data</t>
  </si>
  <si>
    <t>Add: market value of investments</t>
  </si>
  <si>
    <t>Less: FY18 Net Debt</t>
  </si>
  <si>
    <t>Less: Agent Ownership</t>
  </si>
  <si>
    <t>Terminal Value of imputation credits</t>
  </si>
  <si>
    <t>Valuation Summary (at 30/6/18)</t>
  </si>
  <si>
    <t>Equity Valuation</t>
  </si>
  <si>
    <t xml:space="preserve">Multiple </t>
  </si>
  <si>
    <t>(X)</t>
  </si>
  <si>
    <t>FY21E</t>
  </si>
  <si>
    <t>FY18-FY21E CAGR</t>
  </si>
  <si>
    <t>FY19</t>
  </si>
  <si>
    <t>FY18</t>
  </si>
  <si>
    <t>Kane Hannan, CFA</t>
  </si>
  <si>
    <t>kane.hannan@gs.com</t>
  </si>
  <si>
    <t>+61 2 9320 1419</t>
  </si>
  <si>
    <t>FY15</t>
  </si>
  <si>
    <t>FY16</t>
  </si>
  <si>
    <t>FY17</t>
  </si>
  <si>
    <t>FY22E</t>
  </si>
  <si>
    <t>FY23E</t>
  </si>
  <si>
    <t>FY20</t>
  </si>
  <si>
    <t>FY21</t>
  </si>
  <si>
    <t>4 to -on c.2</t>
  </si>
  <si>
    <t>FY24E</t>
  </si>
  <si>
    <t>FY21A</t>
  </si>
  <si>
    <t>FY20A</t>
  </si>
  <si>
    <t>Wisetech Global</t>
  </si>
  <si>
    <t>Wisetech Global (WTC.AX)</t>
  </si>
  <si>
    <t>Australia Technology</t>
  </si>
  <si>
    <t>Global Freight Forwarders</t>
  </si>
  <si>
    <t>Mature - +5 Year</t>
  </si>
  <si>
    <t>Top 25</t>
  </si>
  <si>
    <t>% Top 25</t>
  </si>
  <si>
    <t>1-2 Year</t>
  </si>
  <si>
    <t>2-3 Year</t>
  </si>
  <si>
    <t>3-4 Year</t>
  </si>
  <si>
    <t>4-5 Year</t>
  </si>
  <si>
    <t>New (0-1 Year)</t>
  </si>
  <si>
    <t>New Customers</t>
  </si>
  <si>
    <t>Existing Customers</t>
  </si>
  <si>
    <t>M&amp;A</t>
  </si>
  <si>
    <t>2028E</t>
  </si>
  <si>
    <t>Wisetech Global - FINANCIAL MODEL</t>
  </si>
  <si>
    <t>Gross Profit</t>
  </si>
  <si>
    <t>Cost of Goods Sold</t>
  </si>
  <si>
    <t>Product Design and Development</t>
  </si>
  <si>
    <t>Sales and Marketing</t>
  </si>
  <si>
    <t>General and Administration</t>
  </si>
  <si>
    <t>% of Sales</t>
  </si>
  <si>
    <t>GP/Sales</t>
  </si>
  <si>
    <t>Current Tax Receivables</t>
  </si>
  <si>
    <t>Capex</t>
  </si>
  <si>
    <t>Capex % Revenue</t>
  </si>
  <si>
    <t>Total Software Investment</t>
  </si>
  <si>
    <t>% Capitalised</t>
  </si>
  <si>
    <t>Fair value gain on contingent consideration</t>
  </si>
  <si>
    <t>Customers</t>
  </si>
  <si>
    <t>Total Subs</t>
  </si>
  <si>
    <t>Net Adds</t>
  </si>
  <si>
    <t>Average Subs</t>
  </si>
  <si>
    <t>Market Growth</t>
  </si>
  <si>
    <t>TOTAL CAGR</t>
  </si>
  <si>
    <t>Cargowise recurring growth</t>
  </si>
  <si>
    <t>3PL Revenues</t>
  </si>
  <si>
    <t>DSV</t>
  </si>
  <si>
    <t>Toll</t>
  </si>
  <si>
    <t>Yusen</t>
  </si>
  <si>
    <t>Mainfreight</t>
  </si>
  <si>
    <t>Geodis</t>
  </si>
  <si>
    <t>Logwin</t>
  </si>
  <si>
    <t>DHL</t>
  </si>
  <si>
    <t>Bollore</t>
  </si>
  <si>
    <t>Hellman</t>
  </si>
  <si>
    <t>CEVA</t>
  </si>
  <si>
    <t>FY06</t>
  </si>
  <si>
    <t>FY07</t>
  </si>
  <si>
    <t>FY08</t>
  </si>
  <si>
    <t>FY09</t>
  </si>
  <si>
    <t>FY10</t>
  </si>
  <si>
    <t>FY11</t>
  </si>
  <si>
    <t>FY12</t>
  </si>
  <si>
    <t>FY13</t>
  </si>
  <si>
    <t>FY14</t>
  </si>
  <si>
    <t>FY25E</t>
  </si>
  <si>
    <t xml:space="preserve">WTC Revenues </t>
  </si>
  <si>
    <t>Transition Pricing</t>
  </si>
  <si>
    <t>T</t>
  </si>
  <si>
    <t>T+0</t>
  </si>
  <si>
    <t>T+1</t>
  </si>
  <si>
    <t>T+2</t>
  </si>
  <si>
    <t>T+3</t>
  </si>
  <si>
    <t>T+4</t>
  </si>
  <si>
    <t>T+5</t>
  </si>
  <si>
    <t>Legacy Systems</t>
  </si>
  <si>
    <t>T+6</t>
  </si>
  <si>
    <t>T+7</t>
  </si>
  <si>
    <t>T+8</t>
  </si>
  <si>
    <t>T+9</t>
  </si>
  <si>
    <t>T+10</t>
  </si>
  <si>
    <t>CAGR Post Rollout</t>
  </si>
  <si>
    <t>+3% New Product Releases, +4% New Product Features, +3% Existing Customer growth and market share</t>
  </si>
  <si>
    <t>By the end of 2022, 50% of all CEVA Logistics locations
will be fully operational on the CargoWise platform, with
the whole project completed and deployed by 2025.</t>
  </si>
  <si>
    <t>Acquired
Company</t>
  </si>
  <si>
    <t>EV/Sales</t>
  </si>
  <si>
    <t>Customs</t>
  </si>
  <si>
    <t>Kabushiki Kaisha Exas</t>
  </si>
  <si>
    <t>Primary Geography</t>
  </si>
  <si>
    <t>Japan</t>
  </si>
  <si>
    <t>✓</t>
  </si>
  <si>
    <t>Upfront
Consideration</t>
  </si>
  <si>
    <t>Payout Consideration</t>
  </si>
  <si>
    <t>Cypress</t>
  </si>
  <si>
    <t>Depot Systems</t>
  </si>
  <si>
    <t>Ready Korea</t>
  </si>
  <si>
    <t>Sisa</t>
  </si>
  <si>
    <t>SAD EC</t>
  </si>
  <si>
    <t>Total FY20</t>
  </si>
  <si>
    <t>Messaging</t>
  </si>
  <si>
    <t>Xware</t>
  </si>
  <si>
    <t>Containerchain</t>
  </si>
  <si>
    <t>Container Optimisation</t>
  </si>
  <si>
    <t>CargoIT</t>
  </si>
  <si>
    <t>Parcel Shipping</t>
  </si>
  <si>
    <t>SmartFreight</t>
  </si>
  <si>
    <t>DataFreight</t>
  </si>
  <si>
    <t>Freight forwarding</t>
  </si>
  <si>
    <t>Taric</t>
  </si>
  <si>
    <t>Spain</t>
  </si>
  <si>
    <t>United Kingdom</t>
  </si>
  <si>
    <t>Pierbridge</t>
  </si>
  <si>
    <t>United States</t>
  </si>
  <si>
    <t>Fenix</t>
  </si>
  <si>
    <t>SaaS Transportation</t>
  </si>
  <si>
    <t>Turkey</t>
  </si>
  <si>
    <t>Ulukom</t>
  </si>
  <si>
    <t>Easylog</t>
  </si>
  <si>
    <t>Forward</t>
  </si>
  <si>
    <t>Soft Cargo</t>
  </si>
  <si>
    <t>France</t>
  </si>
  <si>
    <t>Latam</t>
  </si>
  <si>
    <t>LSP Solutions</t>
  </si>
  <si>
    <t>Netherlands</t>
  </si>
  <si>
    <t>Intris</t>
  </si>
  <si>
    <t>Belgium</t>
  </si>
  <si>
    <t>ABM</t>
  </si>
  <si>
    <t>CustomsMatters</t>
  </si>
  <si>
    <t>Ireland</t>
  </si>
  <si>
    <t>Europe</t>
  </si>
  <si>
    <t>Cargoguide</t>
  </si>
  <si>
    <t>CargoSphere</t>
  </si>
  <si>
    <t>European</t>
  </si>
  <si>
    <t>Air Freight</t>
  </si>
  <si>
    <t>CMS Transport</t>
  </si>
  <si>
    <t>ANZ</t>
  </si>
  <si>
    <t>Taiwan</t>
  </si>
  <si>
    <t>Prolink</t>
  </si>
  <si>
    <t>Taiwan/China</t>
  </si>
  <si>
    <t>2.5-3.0 FY21</t>
  </si>
  <si>
    <t>Digerati</t>
  </si>
  <si>
    <t>Australia</t>
  </si>
  <si>
    <t>Brazil</t>
  </si>
  <si>
    <t>Bysoft</t>
  </si>
  <si>
    <t>3.8 FY18</t>
  </si>
  <si>
    <t>Italy</t>
  </si>
  <si>
    <t>ACO Informatica S.R.L.</t>
  </si>
  <si>
    <t xml:space="preserve">ZNet </t>
  </si>
  <si>
    <t>Germany</t>
  </si>
  <si>
    <t>CCN Australia</t>
  </si>
  <si>
    <t>TMS</t>
  </si>
  <si>
    <t>Truck/ 
Land</t>
  </si>
  <si>
    <t>International Liner / Shipping</t>
  </si>
  <si>
    <t>FY17A</t>
  </si>
  <si>
    <t>FY18A</t>
  </si>
  <si>
    <t>Date Control Gained</t>
  </si>
  <si>
    <t>Tradefox</t>
  </si>
  <si>
    <t>Total FY18</t>
  </si>
  <si>
    <t>Total FY17</t>
  </si>
  <si>
    <t>FY19A</t>
  </si>
  <si>
    <t>Total FY19</t>
  </si>
  <si>
    <t>Total FY21A</t>
  </si>
  <si>
    <t>Warehouse/ Container  Management</t>
  </si>
  <si>
    <t>Korea</t>
  </si>
  <si>
    <t>Poland</t>
  </si>
  <si>
    <t>Switzerland</t>
  </si>
  <si>
    <t>APAC/EU/US</t>
  </si>
  <si>
    <t>Multi Consult</t>
  </si>
  <si>
    <t>Sweden</t>
  </si>
  <si>
    <t>Tankstream</t>
  </si>
  <si>
    <t>Trinium</t>
  </si>
  <si>
    <t>Microlistics</t>
  </si>
  <si>
    <t>US/Canada</t>
  </si>
  <si>
    <t>A$</t>
  </si>
  <si>
    <t>Count</t>
  </si>
  <si>
    <t>Previously Owned</t>
  </si>
  <si>
    <t>FY16A</t>
  </si>
  <si>
    <t>Softship (76.97%)</t>
  </si>
  <si>
    <t>CCL</t>
  </si>
  <si>
    <t>South Africa</t>
  </si>
  <si>
    <t>Total FY16</t>
  </si>
  <si>
    <t>COUNT</t>
  </si>
  <si>
    <t>FF</t>
  </si>
  <si>
    <t>Container</t>
  </si>
  <si>
    <t>Warehouse</t>
  </si>
  <si>
    <t>Air</t>
  </si>
  <si>
    <t>Sea</t>
  </si>
  <si>
    <t>Land</t>
  </si>
  <si>
    <t>Parcel</t>
  </si>
  <si>
    <t>Cash Payments</t>
  </si>
  <si>
    <t>16-Jun to 
4-Sep-15</t>
  </si>
  <si>
    <t>Softship (100%)</t>
  </si>
  <si>
    <t>Built?</t>
  </si>
  <si>
    <t>Acquired?</t>
  </si>
  <si>
    <t>New Zealand</t>
  </si>
  <si>
    <t>Canada</t>
  </si>
  <si>
    <t>China</t>
  </si>
  <si>
    <t>Hong Kong</t>
  </si>
  <si>
    <t>Singapore</t>
  </si>
  <si>
    <t>Puerto Rico</t>
  </si>
  <si>
    <t>Total CargoWise</t>
  </si>
  <si>
    <t>Cargowise</t>
  </si>
  <si>
    <t>D&amp;A % Capex</t>
  </si>
  <si>
    <t>Total D&amp;A</t>
  </si>
  <si>
    <t>Sales_On_demand</t>
  </si>
  <si>
    <t>Sales_OTL_maint</t>
  </si>
  <si>
    <t>Sales_Non_Recurr</t>
  </si>
  <si>
    <t>Total_Sales</t>
  </si>
  <si>
    <t>Total_COGS</t>
  </si>
  <si>
    <t>Growth_Sales</t>
  </si>
  <si>
    <t>Total_GP</t>
  </si>
  <si>
    <t>Growth_GP</t>
  </si>
  <si>
    <t>Costs_R&amp;D</t>
  </si>
  <si>
    <t>Costs_Marketing</t>
  </si>
  <si>
    <t>Costs_G&amp;A</t>
  </si>
  <si>
    <t>Total_OpCosts</t>
  </si>
  <si>
    <t>Total_EBITDA</t>
  </si>
  <si>
    <t>Total_EBIT</t>
  </si>
  <si>
    <t>Total_D&amp;A</t>
  </si>
  <si>
    <t>NPATA</t>
  </si>
  <si>
    <t>Growth_EBITDA</t>
  </si>
  <si>
    <t>Growth_EPS</t>
  </si>
  <si>
    <t>Margin_GP</t>
  </si>
  <si>
    <t>Margin_EBITDA</t>
  </si>
  <si>
    <t>R&amp;D_%_Sales</t>
  </si>
  <si>
    <t>Marketing_%_Sales</t>
  </si>
  <si>
    <t>G&amp;A_%_Sales</t>
  </si>
  <si>
    <t>Capex_%_Sales</t>
  </si>
  <si>
    <t>Total_Capex</t>
  </si>
  <si>
    <t>FCF</t>
  </si>
  <si>
    <t>Gross_Debt_Closing</t>
  </si>
  <si>
    <t>Net_Debt_Closing</t>
  </si>
  <si>
    <t>Closing_Shares</t>
  </si>
  <si>
    <t>Weighted_Shares</t>
  </si>
  <si>
    <t>R&amp;D_%_Capitalised</t>
  </si>
  <si>
    <t>Sales_Acq_Total</t>
  </si>
  <si>
    <t>Sales_CW_Total</t>
  </si>
  <si>
    <t>Total_Customers</t>
  </si>
  <si>
    <t>Top25_FF</t>
  </si>
  <si>
    <t>Total_FF</t>
  </si>
  <si>
    <t>Total Operating Costs</t>
  </si>
  <si>
    <t>Capex_Software</t>
  </si>
  <si>
    <t>Capex_PPE</t>
  </si>
  <si>
    <t>Investment_acq</t>
  </si>
  <si>
    <t>1H22</t>
  </si>
  <si>
    <t>Inobiz AB</t>
  </si>
  <si>
    <t>Hazmatica</t>
  </si>
  <si>
    <t>Total Transactions</t>
  </si>
  <si>
    <t>Total Gross Profit</t>
  </si>
  <si>
    <t>CargoWise GP Margins</t>
  </si>
  <si>
    <t>M&amp;A GP Margins</t>
  </si>
  <si>
    <t>Operational Metrics</t>
  </si>
  <si>
    <t>Total Capex (PPE + Intangibles)</t>
  </si>
  <si>
    <t>Capitalised R&amp;D</t>
  </si>
  <si>
    <t>Expensed R&amp;D</t>
  </si>
  <si>
    <t>Capitalised R&amp;D % Sales</t>
  </si>
  <si>
    <t>Total % Sales</t>
  </si>
  <si>
    <t>Other Capex % Sales</t>
  </si>
  <si>
    <t>FY-19</t>
  </si>
  <si>
    <t>FY-20</t>
  </si>
  <si>
    <t>FY-21</t>
  </si>
  <si>
    <t>FY-22</t>
  </si>
  <si>
    <t>FY-23</t>
  </si>
  <si>
    <t>FY-24</t>
  </si>
  <si>
    <t>FY-25</t>
  </si>
  <si>
    <t>FY-26</t>
  </si>
  <si>
    <t>Total revenue - Cargowise</t>
  </si>
  <si>
    <t>1H-FY22</t>
  </si>
  <si>
    <t>2H-FY22</t>
  </si>
  <si>
    <t>1H-FY21</t>
  </si>
  <si>
    <t>2H-FY21</t>
  </si>
  <si>
    <t>1H-FY20</t>
  </si>
  <si>
    <t>2H-FY20</t>
  </si>
  <si>
    <t>Total revenue - Acquisition</t>
  </si>
  <si>
    <t>GP Margin</t>
  </si>
  <si>
    <t>EBITDA Margin</t>
  </si>
  <si>
    <t>Consensus</t>
  </si>
  <si>
    <t>GSe</t>
  </si>
  <si>
    <t>Gross Profit/(loss)</t>
  </si>
  <si>
    <t>Purchase of intangible assets</t>
  </si>
  <si>
    <t>Purchases of property, plant and equipment</t>
  </si>
  <si>
    <t>Total Capex</t>
  </si>
  <si>
    <t>EBITDA less Capex Margin</t>
  </si>
  <si>
    <t>GS vs. Consensus</t>
  </si>
  <si>
    <t>VA</t>
  </si>
  <si>
    <t>vs. Cons</t>
  </si>
  <si>
    <t>CargoWise</t>
  </si>
  <si>
    <t>Margin</t>
  </si>
  <si>
    <t>EBITDA less Capex</t>
  </si>
  <si>
    <t>Customs Summary</t>
  </si>
  <si>
    <t>GS WiseTech Valuation</t>
  </si>
  <si>
    <t>WiseTech Global</t>
  </si>
  <si>
    <t>Total R&amp;D (incl. Capitalised)</t>
  </si>
  <si>
    <t>TotalR&amp;D_%_Sales</t>
  </si>
  <si>
    <t>Margin_Capitalised_EBITDA</t>
  </si>
  <si>
    <t>WTC.AX</t>
  </si>
  <si>
    <t>EV/EBITDA SOTP Valuation</t>
  </si>
  <si>
    <t>NOCF</t>
  </si>
  <si>
    <t>Dividend_CF</t>
  </si>
  <si>
    <t>Shares_issued</t>
  </si>
  <si>
    <t>Other_CF</t>
  </si>
  <si>
    <t>FY22A</t>
  </si>
  <si>
    <t>Price</t>
  </si>
  <si>
    <t>2H22</t>
  </si>
  <si>
    <t>1H23</t>
  </si>
  <si>
    <t>Total FY22TD</t>
  </si>
  <si>
    <t>FY23TD</t>
  </si>
  <si>
    <t>Bolero</t>
  </si>
  <si>
    <t>Total FY23TD</t>
  </si>
  <si>
    <t>FY22</t>
  </si>
  <si>
    <t>Envase (proposed)</t>
  </si>
  <si>
    <t>Taiwan/Mainland China</t>
  </si>
  <si>
    <t>Blume Global (proposed)</t>
  </si>
  <si>
    <t>6.1 (FY24)</t>
  </si>
  <si>
    <t>6.6 (CY23)</t>
  </si>
  <si>
    <t>FY22 Net Debt</t>
  </si>
  <si>
    <t>Envase Debt/Cash</t>
  </si>
  <si>
    <t>Blume Debt/Cash</t>
  </si>
  <si>
    <t>FY23 EBITDA</t>
  </si>
  <si>
    <t>Envase</t>
  </si>
  <si>
    <t>Blume</t>
  </si>
  <si>
    <t>One-offs</t>
  </si>
  <si>
    <t>FY23 Adj.</t>
  </si>
  <si>
    <t>ND/EBITDA</t>
  </si>
  <si>
    <t>Mix - Revenue</t>
  </si>
  <si>
    <t>FY16-22</t>
  </si>
  <si>
    <t>LGFF Rollouts</t>
  </si>
  <si>
    <t>Major product releases</t>
  </si>
  <si>
    <t>Multiple Derivation</t>
  </si>
  <si>
    <t>Peer 12mf EV/EBITDA / FY0-3 Year EBITDA CAGR</t>
  </si>
  <si>
    <t>WTC FY23E-26E CAGR</t>
  </si>
  <si>
    <t>Implied Multiple</t>
  </si>
  <si>
    <t>CAGR vs. FY22</t>
  </si>
  <si>
    <t>NPAT</t>
  </si>
  <si>
    <t>Underlying net profit/(loss) after tax</t>
  </si>
  <si>
    <t>2H23</t>
  </si>
  <si>
    <t>New customers + Existing customer growth</t>
  </si>
  <si>
    <t>FY16-23</t>
  </si>
  <si>
    <t>1H24</t>
  </si>
  <si>
    <t>2H24</t>
  </si>
  <si>
    <t>Annabel Li</t>
  </si>
  <si>
    <t>annabel.li@gs.com</t>
  </si>
  <si>
    <t>+61 2 9320 1366</t>
  </si>
  <si>
    <t>Jamie Laskovski</t>
  </si>
  <si>
    <t>jamie.laskovski@gs.com</t>
  </si>
  <si>
    <t>+61 2 9321 8688</t>
  </si>
  <si>
    <t>Product enhancements in Last 5 Years</t>
  </si>
  <si>
    <t>Inorganic</t>
  </si>
  <si>
    <t>EBIT/Sales</t>
  </si>
  <si>
    <t>FY16-24</t>
  </si>
  <si>
    <t>1H25E</t>
  </si>
  <si>
    <t>CW/non-CW revenue breakdown</t>
  </si>
  <si>
    <t>Non-Cargowise</t>
  </si>
  <si>
    <t>Gross Profit margin (%)</t>
  </si>
  <si>
    <t>Revenue (US$mn)</t>
  </si>
  <si>
    <t>Gross Profit (US$mn)</t>
  </si>
  <si>
    <t>PROFIT SUMMARY (US$mn)</t>
  </si>
  <si>
    <t>This sheet contains FactSet XML data for use with this workbook's =FDS codes.  Modifying the worksheet's contents may damage the workbook's =FDS functionality.</t>
  </si>
  <si>
    <t>Underlying</t>
  </si>
  <si>
    <t>Total Cargowise</t>
  </si>
  <si>
    <t>FX</t>
  </si>
  <si>
    <t>% growth</t>
  </si>
  <si>
    <t>US$mn</t>
  </si>
  <si>
    <t>GS 12m Target Price (A$)</t>
  </si>
  <si>
    <t>Spot AUD/USD</t>
  </si>
  <si>
    <t>Dividends (US$)</t>
  </si>
  <si>
    <t>Underlying NPAT</t>
  </si>
  <si>
    <t>STATUTORY</t>
  </si>
  <si>
    <t>&lt;--AUD</t>
  </si>
  <si>
    <t>Amortisation</t>
  </si>
  <si>
    <t>On-Demand</t>
  </si>
  <si>
    <t>OTL maintenance</t>
  </si>
  <si>
    <t>OTL &amp; support services (non-recurring)</t>
  </si>
  <si>
    <t>Total Recurring Growth</t>
  </si>
  <si>
    <t>Growth - Constant Currency</t>
  </si>
  <si>
    <t>Recurring Revenue Growth</t>
  </si>
  <si>
    <t>Non-recurring revenue</t>
  </si>
  <si>
    <t>Mix</t>
  </si>
  <si>
    <t>CargoWise/M&amp;A Revenue Breakdown</t>
  </si>
  <si>
    <t>CargoWise Underlying</t>
  </si>
  <si>
    <t>Acquisition Recurring</t>
  </si>
  <si>
    <t>Acquisition Non-Recurring</t>
  </si>
  <si>
    <t>Non-Cargowise revenue</t>
  </si>
  <si>
    <t>Acquisition</t>
  </si>
  <si>
    <t>Net Revenue</t>
  </si>
  <si>
    <t>CargoWise Gross Profit</t>
  </si>
  <si>
    <t>M&amp;A Gross Profit</t>
  </si>
  <si>
    <t>Group Margins</t>
  </si>
  <si>
    <t>Headline</t>
  </si>
  <si>
    <t>Core Cargowise</t>
  </si>
  <si>
    <t>1H25</t>
  </si>
  <si>
    <t>D&amp;A</t>
  </si>
  <si>
    <t>FY27E EBITDA</t>
  </si>
  <si>
    <t>FY26 Net Debt (Cash)</t>
  </si>
  <si>
    <t>WTC non-Cargowise revenue</t>
  </si>
  <si>
    <t>ETWO Revenue Build</t>
  </si>
  <si>
    <t>FY end February</t>
  </si>
  <si>
    <t>$ mn, except per share data</t>
  </si>
  <si>
    <t>ETWO</t>
  </si>
  <si>
    <t>FY</t>
  </si>
  <si>
    <t>FYE</t>
  </si>
  <si>
    <t>'24-'27</t>
  </si>
  <si>
    <t>'24-'29</t>
  </si>
  <si>
    <t>USD, millions</t>
  </si>
  <si>
    <t>1Q12</t>
  </si>
  <si>
    <t>2Q12</t>
  </si>
  <si>
    <t>3Q12</t>
  </si>
  <si>
    <t>4Q12</t>
  </si>
  <si>
    <t>1Q13</t>
  </si>
  <si>
    <t>2Q13</t>
  </si>
  <si>
    <t>3Q13</t>
  </si>
  <si>
    <t>4Q13</t>
  </si>
  <si>
    <t>1Q14</t>
  </si>
  <si>
    <t>2Q14</t>
  </si>
  <si>
    <t>3Q14</t>
  </si>
  <si>
    <t>4Q14</t>
  </si>
  <si>
    <t>1Q15</t>
  </si>
  <si>
    <t>2Q15</t>
  </si>
  <si>
    <t>3Q15</t>
  </si>
  <si>
    <t>4Q15</t>
  </si>
  <si>
    <t>1Q16</t>
  </si>
  <si>
    <t>2Q16</t>
  </si>
  <si>
    <t>3Q16</t>
  </si>
  <si>
    <t>4Q16</t>
  </si>
  <si>
    <t>1Q17</t>
  </si>
  <si>
    <t>2Q17</t>
  </si>
  <si>
    <t>3Q17</t>
  </si>
  <si>
    <t>4Q17</t>
  </si>
  <si>
    <t>1Q18</t>
  </si>
  <si>
    <t>2Q18</t>
  </si>
  <si>
    <t>3Q18</t>
  </si>
  <si>
    <t>4Q18</t>
  </si>
  <si>
    <t>1Q19</t>
  </si>
  <si>
    <t>2Q19</t>
  </si>
  <si>
    <t>3Q19</t>
  </si>
  <si>
    <t>4Q19</t>
  </si>
  <si>
    <t>1Q20</t>
  </si>
  <si>
    <t>2Q20</t>
  </si>
  <si>
    <t>3Q20</t>
  </si>
  <si>
    <t>4Q20</t>
  </si>
  <si>
    <t>1Q21</t>
  </si>
  <si>
    <t>2Q21</t>
  </si>
  <si>
    <t>3Q21</t>
  </si>
  <si>
    <t>4Q21</t>
  </si>
  <si>
    <t>1Q22</t>
  </si>
  <si>
    <t>2Q22</t>
  </si>
  <si>
    <t>3Q22</t>
  </si>
  <si>
    <t>4Q22</t>
  </si>
  <si>
    <t>1Q23</t>
  </si>
  <si>
    <t>2Q23</t>
  </si>
  <si>
    <t>3Q23</t>
  </si>
  <si>
    <t>4Q23</t>
  </si>
  <si>
    <t>1Q24</t>
  </si>
  <si>
    <t>2Q24</t>
  </si>
  <si>
    <t>3Q24</t>
  </si>
  <si>
    <t>4Q24</t>
  </si>
  <si>
    <t>1Q25</t>
  </si>
  <si>
    <t>2Q25</t>
  </si>
  <si>
    <t>3Q25</t>
  </si>
  <si>
    <t>4Q25</t>
  </si>
  <si>
    <t>1Q26</t>
  </si>
  <si>
    <t>2Q26E</t>
  </si>
  <si>
    <t>3Q26E</t>
  </si>
  <si>
    <t>4Q26E</t>
  </si>
  <si>
    <t>1Q27E</t>
  </si>
  <si>
    <t>2Q27E</t>
  </si>
  <si>
    <t>3Q27E</t>
  </si>
  <si>
    <t>4Q27E</t>
  </si>
  <si>
    <t>1Q28E</t>
  </si>
  <si>
    <t>2Q28E</t>
  </si>
  <si>
    <t>3Q28E</t>
  </si>
  <si>
    <t>4Q28E</t>
  </si>
  <si>
    <t>1Q29E</t>
  </si>
  <si>
    <t>2Q29E</t>
  </si>
  <si>
    <t>3Q29E</t>
  </si>
  <si>
    <t>4Q29E</t>
  </si>
  <si>
    <t>1Q30E</t>
  </si>
  <si>
    <t>2Q30E</t>
  </si>
  <si>
    <t>3Q30E</t>
  </si>
  <si>
    <t>4Q30E</t>
  </si>
  <si>
    <t>CAGR</t>
  </si>
  <si>
    <t>May-11</t>
  </si>
  <si>
    <t>Aug-11</t>
  </si>
  <si>
    <t>Nov-11</t>
  </si>
  <si>
    <t>Feb-12</t>
  </si>
  <si>
    <t>May-12</t>
  </si>
  <si>
    <t>Aug-12</t>
  </si>
  <si>
    <t>Nov-12</t>
  </si>
  <si>
    <t>Feb-13</t>
  </si>
  <si>
    <t>May-13</t>
  </si>
  <si>
    <t>Aug-13</t>
  </si>
  <si>
    <t>Nov-13</t>
  </si>
  <si>
    <t>Feb-14</t>
  </si>
  <si>
    <t>May-14</t>
  </si>
  <si>
    <t>Aug-14</t>
  </si>
  <si>
    <t>Nov-14</t>
  </si>
  <si>
    <t>Feb-15</t>
  </si>
  <si>
    <t>May-15</t>
  </si>
  <si>
    <t>Aug-15</t>
  </si>
  <si>
    <t>Nov-15</t>
  </si>
  <si>
    <t>Feb-16</t>
  </si>
  <si>
    <t>May-16</t>
  </si>
  <si>
    <t>Aug-16</t>
  </si>
  <si>
    <t>Nov-16</t>
  </si>
  <si>
    <t>Feb-17</t>
  </si>
  <si>
    <t>May-17</t>
  </si>
  <si>
    <t>Aug-17</t>
  </si>
  <si>
    <t>Nov-17</t>
  </si>
  <si>
    <t>Feb-18</t>
  </si>
  <si>
    <t>May-18</t>
  </si>
  <si>
    <t>Aug-18</t>
  </si>
  <si>
    <t>Nov-18</t>
  </si>
  <si>
    <t>Feb-19</t>
  </si>
  <si>
    <t>May-19</t>
  </si>
  <si>
    <t>Aug-19</t>
  </si>
  <si>
    <t>Nov-19</t>
  </si>
  <si>
    <t>Feb-20</t>
  </si>
  <si>
    <t>May-20</t>
  </si>
  <si>
    <t>Aug-20</t>
  </si>
  <si>
    <t>Nov-20</t>
  </si>
  <si>
    <t>Feb-21</t>
  </si>
  <si>
    <t>May-21</t>
  </si>
  <si>
    <t>Aug-21</t>
  </si>
  <si>
    <t>Nov-21</t>
  </si>
  <si>
    <t>Feb-22</t>
  </si>
  <si>
    <t>May-22</t>
  </si>
  <si>
    <t>Aug-22</t>
  </si>
  <si>
    <t>Nov-22</t>
  </si>
  <si>
    <t>Feb-23</t>
  </si>
  <si>
    <t>May-23</t>
  </si>
  <si>
    <t>Aug-23</t>
  </si>
  <si>
    <t>Nov-23</t>
  </si>
  <si>
    <t>Feb-24</t>
  </si>
  <si>
    <t>May-24</t>
  </si>
  <si>
    <t>Aug-24</t>
  </si>
  <si>
    <t>Nov-24</t>
  </si>
  <si>
    <t>Feb-25</t>
  </si>
  <si>
    <t>May-25</t>
  </si>
  <si>
    <t>Aug-25</t>
  </si>
  <si>
    <t>Nov-25</t>
  </si>
  <si>
    <t>Feb-26</t>
  </si>
  <si>
    <t>May-26</t>
  </si>
  <si>
    <t>Aug-26</t>
  </si>
  <si>
    <t>Nov-26</t>
  </si>
  <si>
    <t>Feb-27</t>
  </si>
  <si>
    <t>May-27</t>
  </si>
  <si>
    <t>Aug-27</t>
  </si>
  <si>
    <t>Nov-27</t>
  </si>
  <si>
    <t>Feb-28</t>
  </si>
  <si>
    <t>May-28</t>
  </si>
  <si>
    <t>Aug-28</t>
  </si>
  <si>
    <t>Nov-28</t>
  </si>
  <si>
    <t>Feb-29</t>
  </si>
  <si>
    <t>May-29</t>
  </si>
  <si>
    <t>Aug-29</t>
  </si>
  <si>
    <t>Nov-29</t>
  </si>
  <si>
    <t>Feb-30</t>
  </si>
  <si>
    <t>Revenue Summary</t>
  </si>
  <si>
    <t>Total Non-GAAP Revenue ($mn)</t>
  </si>
  <si>
    <t>yoy % growth</t>
  </si>
  <si>
    <t>yoy % growth ex-FX</t>
  </si>
  <si>
    <t>qoq % growth</t>
  </si>
  <si>
    <t>seasonality</t>
  </si>
  <si>
    <t>FX Impact</t>
  </si>
  <si>
    <t>FX Impact in bps</t>
  </si>
  <si>
    <t>Total Non-GAAP Revenue BluJay PF</t>
  </si>
  <si>
    <t>Total Non-GAAP Revenue Logistyx PF</t>
  </si>
  <si>
    <t>- adjustments</t>
  </si>
  <si>
    <t>% of Non-GAAP Revenue</t>
  </si>
  <si>
    <t>Total GAAP Revenue ($mn)</t>
  </si>
  <si>
    <t>Non-GAAP Subscription revenue ($mn)</t>
  </si>
  <si>
    <t>Non-GAAP Subscription revenue BluJay PF ($mn)</t>
  </si>
  <si>
    <t>Non-GAAP Subscription revenue Logistyx PF ($mn)</t>
  </si>
  <si>
    <t>GAAP Subscription revenue ($mn)</t>
  </si>
  <si>
    <t>% of revenue</t>
  </si>
  <si>
    <t>Professional services &amp; other revenue ($mn)</t>
  </si>
  <si>
    <t>Non-GAAP Professional services BluJay PF</t>
  </si>
  <si>
    <t>Non-GAAP Professional services Logistyx PF</t>
  </si>
  <si>
    <t>Subscription Build</t>
  </si>
  <si>
    <t>Ending ARR year ago (estimated)</t>
  </si>
  <si>
    <t>Dollar-based net revenue retention rate</t>
  </si>
  <si>
    <t>Gross retention rate</t>
  </si>
  <si>
    <t>Subscription revenue from existing customers ($mn)</t>
  </si>
  <si>
    <t>Net New Revenue from existing Cos</t>
  </si>
  <si>
    <t>% of New ARR</t>
  </si>
  <si>
    <t>Gross New ARR from existing Cos (est.)</t>
  </si>
  <si>
    <t>% of Gross New ARR</t>
  </si>
  <si>
    <t>Gross dollar-churn from existing Cos (est.)</t>
  </si>
  <si>
    <t>% of prior-year ARR</t>
  </si>
  <si>
    <t>Revenue from net new customers ($mn)</t>
  </si>
  <si>
    <t>NM</t>
  </si>
  <si>
    <t>Deferred Revenue analysis</t>
  </si>
  <si>
    <t>Billings ($mn)</t>
  </si>
  <si>
    <t>CF Billings ($mn)</t>
  </si>
  <si>
    <t>Deferred revenue ($mn)</t>
  </si>
  <si>
    <t>Deferred revenue (ST)</t>
  </si>
  <si>
    <t>% of total change in deferred</t>
  </si>
  <si>
    <t>Deferred revenue (LT)</t>
  </si>
  <si>
    <t>Change in deferred</t>
  </si>
  <si>
    <t xml:space="preserve"> </t>
  </si>
  <si>
    <t>Remaining Performance Obligations (Backlog)</t>
  </si>
  <si>
    <t>RPO less Deferred Revenue</t>
  </si>
  <si>
    <t>Change in RPO</t>
  </si>
  <si>
    <t>TCV Bookings</t>
  </si>
  <si>
    <t>Efficiency Analysis</t>
  </si>
  <si>
    <t>ARR (calculated using quarterly non-GAAP revenue)</t>
  </si>
  <si>
    <t>New ARR</t>
  </si>
  <si>
    <t>GAAP Sales and marketing</t>
  </si>
  <si>
    <t>TTM</t>
  </si>
  <si>
    <t>CAC</t>
  </si>
  <si>
    <t>Non-GAAP S&amp;M</t>
  </si>
  <si>
    <t>Non-GAAP CAC</t>
  </si>
  <si>
    <t>Customers &amp; Headcount</t>
  </si>
  <si>
    <t>Total Customers</t>
  </si>
  <si>
    <t>&gt;1,200</t>
  </si>
  <si>
    <t>~6,000</t>
  </si>
  <si>
    <t>~5800</t>
  </si>
  <si>
    <t>Total Headcount</t>
  </si>
  <si>
    <t>North America</t>
  </si>
  <si>
    <t>Asia-Pacific</t>
  </si>
  <si>
    <t>S&amp;M % of headcount</t>
  </si>
  <si>
    <t>Product % of headcount</t>
  </si>
  <si>
    <t>Operations % of headcount</t>
  </si>
  <si>
    <t>Data content % of headcount</t>
  </si>
  <si>
    <t>Professional services % of headcount</t>
  </si>
  <si>
    <t>G&amp;A % of headcount</t>
  </si>
  <si>
    <t>Revenue by geography</t>
  </si>
  <si>
    <t>Americas</t>
  </si>
  <si>
    <t>Asia Pacific</t>
  </si>
  <si>
    <t>ETWO Income Statement</t>
  </si>
  <si>
    <t>pre-606</t>
  </si>
  <si>
    <t>Billings</t>
  </si>
  <si>
    <t>Change in Deferreds</t>
  </si>
  <si>
    <t>Subscription revenues</t>
  </si>
  <si>
    <t>Professional services revenues</t>
  </si>
  <si>
    <t>Total GAAP Revenues</t>
  </si>
  <si>
    <t>Adjustments</t>
  </si>
  <si>
    <t>Total Non-GAAP Revenues</t>
  </si>
  <si>
    <t>GAAP Subscription COR</t>
  </si>
  <si>
    <t>GAAP Professional services COR</t>
  </si>
  <si>
    <t>Amortization of intangible assets</t>
  </si>
  <si>
    <t>Total GAAP Cost of Revenue</t>
  </si>
  <si>
    <t>Business Combination Adjustment</t>
  </si>
  <si>
    <t>Depreciation and amortization</t>
  </si>
  <si>
    <t>Non-recurring/non-operating costs</t>
  </si>
  <si>
    <t>Share-based and unit-based compensation</t>
  </si>
  <si>
    <t>Cost of Revenues - Non-GAAP</t>
  </si>
  <si>
    <t>Gross Profit - Non-GAAP</t>
  </si>
  <si>
    <t>GAAP Research and development</t>
  </si>
  <si>
    <t>M&amp;A-related &amp; non-recurring costs</t>
  </si>
  <si>
    <t>SBC</t>
  </si>
  <si>
    <t>Research and development - Non-GAAP</t>
  </si>
  <si>
    <t>Sales and marketing - Non-GAAP</t>
  </si>
  <si>
    <t>GAAP General and Administrative</t>
  </si>
  <si>
    <t>General and administrative - Non-GAAP</t>
  </si>
  <si>
    <t>Acquisition-related expenses &amp; other</t>
  </si>
  <si>
    <t>GAAP Operating Expenses</t>
  </si>
  <si>
    <t>Total Non-GAAP Operating Expenses</t>
  </si>
  <si>
    <t>GAAP Operating Income (Loss)</t>
  </si>
  <si>
    <t>Interest and other expense, net</t>
  </si>
  <si>
    <t>Other non-operating expenses</t>
  </si>
  <si>
    <t>Income (Loss) before taxes</t>
  </si>
  <si>
    <t>Income Tax Expense (Benefit)</t>
  </si>
  <si>
    <t>% Effective Tax Rate</t>
  </si>
  <si>
    <t>GAAP Net Income / (Loss)</t>
  </si>
  <si>
    <t>Net Loss attributable to non-controlling interest</t>
  </si>
  <si>
    <t>Adjustment attributable to non-controlling interest</t>
  </si>
  <si>
    <t>GAAP Net Income / (Loss) attributable to E2open</t>
  </si>
  <si>
    <t>Non-GAAP Operating Income (Loss)</t>
  </si>
  <si>
    <t>Interest expense used for EBITDA (excl. other)</t>
  </si>
  <si>
    <t>Other Adjustments</t>
  </si>
  <si>
    <t>Adjusted EBITDA</t>
  </si>
  <si>
    <t>Adjusted EBT</t>
  </si>
  <si>
    <t>Normalized income taxes (24% effective rate)</t>
  </si>
  <si>
    <t>Non-GAAP Net loss attributable E2open</t>
  </si>
  <si>
    <t>GAAP EPS - Basic</t>
  </si>
  <si>
    <t>GAAP EPS - Fully Diluted</t>
  </si>
  <si>
    <t>Non-GAAP EPS - Fully Diluted</t>
  </si>
  <si>
    <t>Basic shares outstanding</t>
  </si>
  <si>
    <t>Adjusted Basic shares</t>
  </si>
  <si>
    <t>Fully converted shares (excl. incentive plans)</t>
  </si>
  <si>
    <t>% of Non-GAAP revenue</t>
  </si>
  <si>
    <t>Sales &amp; Marketing - Non-GAAP</t>
  </si>
  <si>
    <t>Non-GAAP Operating expenses</t>
  </si>
  <si>
    <t>Share-based compensation</t>
  </si>
  <si>
    <t>Acquisition-related expenses</t>
  </si>
  <si>
    <t>Amortization of Intangible assets</t>
  </si>
  <si>
    <t>Subscription COR as % of Subs. Revs - GAAP</t>
  </si>
  <si>
    <t>Profressional serv. COR as % of PS Revs - GAAP</t>
  </si>
  <si>
    <t>Subscription Gross Margin - GAAP</t>
  </si>
  <si>
    <t>Professional serv. Gross Margin - GAAP</t>
  </si>
  <si>
    <t>Year-over-year growth</t>
  </si>
  <si>
    <t>Quarter-over-quarter growth</t>
  </si>
  <si>
    <t>Amortization &amp; SBC Breakdown</t>
  </si>
  <si>
    <t>Amortization of Intangibles</t>
  </si>
  <si>
    <t>Cost of Revenue</t>
  </si>
  <si>
    <t>Operating Expenses</t>
  </si>
  <si>
    <t>Stock-based compensation</t>
  </si>
  <si>
    <t xml:space="preserve">Research and development </t>
  </si>
  <si>
    <t>Sales and marketing</t>
  </si>
  <si>
    <t>General and administrative</t>
  </si>
  <si>
    <t>Unallocated amortization of intangibles</t>
  </si>
  <si>
    <t>Amortization Check</t>
  </si>
  <si>
    <t>SBC Check</t>
  </si>
  <si>
    <t>D&amp;A Check</t>
  </si>
  <si>
    <t>E2Open</t>
  </si>
  <si>
    <t>1H21</t>
  </si>
  <si>
    <t>2H21</t>
  </si>
  <si>
    <t>Total non-Gaap revenues</t>
  </si>
  <si>
    <t>Cost of revenues - non-GAAP</t>
  </si>
  <si>
    <t>Gross profit - non-GAAP</t>
  </si>
  <si>
    <t>G&amp;A</t>
  </si>
  <si>
    <t>Cost of sales</t>
  </si>
  <si>
    <t>Subscription revenue</t>
  </si>
  <si>
    <t>Other revenue</t>
  </si>
  <si>
    <t>Total revenue</t>
  </si>
  <si>
    <t>Gross profit</t>
  </si>
  <si>
    <t>Research &amp; Development</t>
  </si>
  <si>
    <t>Sales &amp; Marketing</t>
  </si>
  <si>
    <t>Total operating expenses</t>
  </si>
  <si>
    <t>Adjusted EBITDA (reported by E2)</t>
  </si>
  <si>
    <t>E2Open Historicals</t>
  </si>
  <si>
    <t>E2Open subscription</t>
  </si>
  <si>
    <t>E2Open other</t>
  </si>
  <si>
    <t>Total Non-Cargowise</t>
  </si>
  <si>
    <t>% margin</t>
  </si>
  <si>
    <t>GP margin</t>
  </si>
  <si>
    <t>EBITDA margin</t>
  </si>
  <si>
    <t>Blended gross profit derivation</t>
  </si>
  <si>
    <t>WTC</t>
  </si>
  <si>
    <t>E2</t>
  </si>
  <si>
    <t>Blended gross profit</t>
  </si>
  <si>
    <t>E2 cost base</t>
  </si>
  <si>
    <t>WTC cost (pre E2)</t>
  </si>
  <si>
    <t>Combined cost base</t>
  </si>
  <si>
    <t>R&amp;D (inc. SBP)</t>
  </si>
  <si>
    <t>S&amp;M (inc. SBP)</t>
  </si>
  <si>
    <t>G&amp;A (inc. SBP)</t>
  </si>
  <si>
    <t>SBP</t>
  </si>
  <si>
    <t>EBITDA (ex-M&amp;A related costs, inc. SBP)</t>
  </si>
  <si>
    <t>Add back: SBP</t>
  </si>
  <si>
    <t>Acquired amortisation</t>
  </si>
  <si>
    <t>2H25</t>
  </si>
  <si>
    <t>FY16-25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</si>
</sst>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_-* #,##0_-;\-* #,##0_-;_-* &quot;-&quot;_-;_-@_-"/>
    <numFmt numFmtId="166" formatCode="_-* #,##0.00_-;\-* #,##0.00_-;_-* &quot;-&quot;??_-;_-@_-"/>
    <numFmt numFmtId="167" formatCode="0.0%&quot; &quot;;\(0.0%\)"/>
    <numFmt numFmtId="168" formatCode="#,##0.0&quot; &quot;;\(#,##0.0\)"/>
    <numFmt numFmtId="169" formatCode="&quot;$&quot;#,##0.00"/>
    <numFmt numFmtId="170" formatCode="#,##0.0"/>
    <numFmt numFmtId="171" formatCode="0.0"/>
    <numFmt numFmtId="172" formatCode="0%&quot; &quot;;\(0%\)"/>
    <numFmt numFmtId="173" formatCode="#,##0.00&quot; &quot;;\(#,##0.00\)"/>
    <numFmt numFmtId="174" formatCode="#,##0.000&quot; &quot;;\(#,##0.000\)"/>
    <numFmt numFmtId="175" formatCode="0.0%"/>
    <numFmt numFmtId="176" formatCode="#,##0&quot; &quot;;\(#,##0\)"/>
    <numFmt numFmtId="177" formatCode="&quot;$&quot;#,##0.0"/>
    <numFmt numFmtId="178" formatCode="0&quot; &quot;;\(0.0\)"/>
    <numFmt numFmtId="179" formatCode="0.0&quot; &quot;;\(0.00\)"/>
    <numFmt numFmtId="180" formatCode="0.000%"/>
    <numFmt numFmtId="181" formatCode="0.000"/>
    <numFmt numFmtId="182" formatCode="#,##0.0_);\(#,##0.0\)"/>
    <numFmt numFmtId="183" formatCode="0.0&quot; &quot;;\(0.0\)"/>
    <numFmt numFmtId="184" formatCode="[&gt;0.5]#,##0;[&lt;-0.5]\-#,##0;\-"/>
    <numFmt numFmtId="185" formatCode="##0.00"/>
    <numFmt numFmtId="186" formatCode="0.00_)"/>
    <numFmt numFmtId="187" formatCode="#,##0.000_);[Red]\(#,##0.000\)"/>
    <numFmt numFmtId="188" formatCode="#,##0.0_);[Red]\(#,##0.0\)"/>
    <numFmt numFmtId="189" formatCode="_ #,###_-;\-\(#,##0\)\-;_-* &quot;0,000&quot;?;_-@_-"/>
    <numFmt numFmtId="190" formatCode="_ #,###_-;\(#,##0\);_-* &quot;–&quot;?;_-@_-"/>
    <numFmt numFmtId="191" formatCode="_ #,###.0_-;\(#,###.0\);_-* &quot;–&quot;?;_-@_-"/>
    <numFmt numFmtId="192" formatCode="#,##0;\(#,##0\)"/>
    <numFmt numFmtId="193" formatCode="#,##0.0;[Red]\(#,##0.0\)"/>
    <numFmt numFmtId="194" formatCode="\Ç\ \´\´\´\´\ \»\»\»\»"/>
    <numFmt numFmtId="195" formatCode="#,##0.000000000;[Red]\-#,##0.000000000"/>
    <numFmt numFmtId="196" formatCode="&quot;£&quot;#,##0;[Red]\-&quot;£&quot;#,##0"/>
    <numFmt numFmtId="197" formatCode="0.0%;\(0.0%\)"/>
    <numFmt numFmtId="198" formatCode="&quot;US$&quot;&quot;$&quot;#,##0.00_);\(&quot;$&quot;#,##0.00\)"/>
    <numFmt numFmtId="199" formatCode="\$#,##0_);\(\$#,##0\)"/>
    <numFmt numFmtId="200" formatCode="#,##0.00;[Red]\(#,##0.00\)"/>
    <numFmt numFmtId="201" formatCode="&quot;£&quot;#,##0.00;\-&quot;£&quot;#,##0.00"/>
    <numFmt numFmtId="202" formatCode="&quot;£&quot;#,##0.00;[Red]\-&quot;£&quot;#,##0.00"/>
    <numFmt numFmtId="203" formatCode="_-&quot;£&quot;* #,##0_-;\-&quot;£&quot;* #,##0_-;_-&quot;£&quot;* &quot;-&quot;_-;_-@_-"/>
    <numFmt numFmtId="204" formatCode="0.00_);\(0.00\)"/>
    <numFmt numFmtId="205" formatCode="#,##0.000_);\(#,##0.000\)"/>
    <numFmt numFmtId="206" formatCode="0\A"/>
    <numFmt numFmtId="207" formatCode="0."/>
    <numFmt numFmtId="208" formatCode="0.0&quot;  &quot;"/>
    <numFmt numFmtId="209" formatCode="_-* #,##0_-;\(#,##0\);_-* &quot;–&quot;_-;_-@_-"/>
    <numFmt numFmtId="210" formatCode="#,##0;\(#,##0\);\–;@"/>
    <numFmt numFmtId="211" formatCode=";;;"/>
    <numFmt numFmtId="212" formatCode="0.0_)\%;\(0.0\)\%;0.0_)\%;@_)_%"/>
    <numFmt numFmtId="213" formatCode="#,##0.0_)_%;\(#,##0.0\)_%;0.0_)_%;@_)_%"/>
    <numFmt numFmtId="214" formatCode="#,##0.0_);\(#,##0.0\);#,##0.0_);@_)"/>
    <numFmt numFmtId="215" formatCode="&quot;$&quot;_(#,##0.00_);&quot;$&quot;\(#,##0.00\);&quot;$&quot;_(0.00_);@_)"/>
    <numFmt numFmtId="216" formatCode="&quot;$&quot;_(#,##0.00_);&quot;$&quot;\(#,##0.00\)"/>
    <numFmt numFmtId="217" formatCode="#,##0.00_);\(#,##0.00\);0.00_);@_)"/>
    <numFmt numFmtId="218" formatCode="\€_(#,##0.00_);\€\(#,##0.00\);\€_(0.00_);@_)"/>
    <numFmt numFmtId="219" formatCode="#,##0_)\x;\(#,##0\)\x;0_)\x;@_)_x"/>
    <numFmt numFmtId="220" formatCode="#,##0.0_)\x;\(#,##0.0\)\x"/>
    <numFmt numFmtId="221" formatCode="#,##0.0_)\x;\(#,##0.0\)\x;0.0_)\x;@_)_x"/>
    <numFmt numFmtId="222" formatCode="#,##0_)_x;\(#,##0\)_x;0_)_x;@_)_x"/>
    <numFmt numFmtId="223" formatCode="#,##0.0_)_x;\(#,##0.0\)_x"/>
    <numFmt numFmtId="224" formatCode="#,##0.0_)_x;\(#,##0.0\)_x;0.0_)_x;@_)_x"/>
    <numFmt numFmtId="225" formatCode="0\p"/>
    <numFmt numFmtId="226" formatCode="#,##0.00;;;[White]General"/>
    <numFmt numFmtId="227" formatCode="_(* #,##0.00000_);_(* \(#,##0.00000\);_(* &quot;-&quot;??_);_(@_)"/>
    <numFmt numFmtId="228" formatCode="&quot;$&quot;0.0"/>
    <numFmt numFmtId="229" formatCode="_(&quot;CHF&quot;* #,##0.0_);_(&quot;CHF&quot;* \(#,##0.0\);_(&quot;CHF&quot;* &quot;-&quot;??_);_(@_)"/>
    <numFmt numFmtId="230" formatCode="#,##0.000000000000000_);\(#,##0.000000000000000\)"/>
    <numFmt numFmtId="231" formatCode="&quot;$&quot;#,##0.0_);\(&quot;$&quot;#,##0.0\)"/>
    <numFmt numFmtId="232" formatCode="0_);\(0\)"/>
    <numFmt numFmtId="233" formatCode="_(&quot;$&quot;#,##0_)&quot;millions&quot;;\(&quot;$&quot;#,##0\)&quot; millions&quot;"/>
    <numFmt numFmtId="234" formatCode="&quot;$&quot;#,##0.00_)\ \ \ ;\(&quot;$&quot;#,##0.00\)\ \ \ "/>
    <numFmt numFmtId="235" formatCode="&quot;$&quot;#,##0.00&quot;*&quot;\ \ ;\(&quot;$&quot;#,##0.00\)&quot;*&quot;\ \ "/>
    <numFmt numFmtId="236" formatCode="&quot;$&quot;#,##0.00\A_)\ ;\(&quot;$&quot;#,##0.00\A\)\ \ "/>
    <numFmt numFmtId="237" formatCode="&quot;$&quot;@\ "/>
    <numFmt numFmtId="238" formatCode="0\ %"/>
    <numFmt numFmtId="239" formatCode="0.0%_);\(0.0%\)"/>
    <numFmt numFmtId="240" formatCode="\£\ #,##0_);[Red]\(\£\ #,##0\)"/>
    <numFmt numFmtId="241" formatCode="\¥\ #,##0_);[Red]\(\¥\ #,##0\)"/>
    <numFmt numFmtId="242" formatCode="#,##0.0&quot;*&quot;_);\(#,##0.0\)"/>
    <numFmt numFmtId="243" formatCode="#,##0\ ;\(#,##0\);\-\ \ \ \ \ "/>
    <numFmt numFmtId="244" formatCode="#,##0\ ;\(#,##0\);\–\ \ \ \ \ "/>
    <numFmt numFmtId="245" formatCode="\•\ \ @"/>
    <numFmt numFmtId="246" formatCode="\ \ &quot;$&quot;#,##0_);\ \ \(&quot;$&quot;#,##0\)"/>
    <numFmt numFmtId="247" formatCode="0.000_)"/>
    <numFmt numFmtId="248" formatCode="#,##0\ ;\(#,##0.0\)"/>
    <numFmt numFmtId="249" formatCode="&quot;$&quot;0.00_)"/>
    <numFmt numFmtId="250" formatCode="_(&quot;$&quot;* #,##0.0_);_(&quot;$&quot;* \(#,##0.0\);_(&quot;$&quot;* &quot;-&quot;_);_(@_)"/>
    <numFmt numFmtId="251" formatCode="@\ \ \ \ \ "/>
    <numFmt numFmtId="252" formatCode="\ \ _•\–\ \ \ \ @"/>
    <numFmt numFmtId="253" formatCode="0.00%_);[Red]\(0.00%\)"/>
    <numFmt numFmtId="254" formatCode="#,##0.00_)\ \ \ \ \ ;\(#,##0.00\)\ \ \ \ \ "/>
    <numFmt numFmtId="255" formatCode="&quot;$&quot;#,##0.00_)\ \ \ \ \ ;\(&quot;$&quot;#,##0.00\)\ \ \ \ \ "/>
    <numFmt numFmtId="256" formatCode="&quot;$&quot;#,##0.00\A\ \ \ \ ;\(&quot;$&quot;#,##0.00\A\)\ \ \ \ "/>
    <numFmt numFmtId="257" formatCode="&quot;$&quot;#,##0.00&quot;E&quot;\ \ \ \ ;\(&quot;$&quot;#,##0.00&quot;E&quot;\)\ \ \ \ "/>
    <numFmt numFmtId="258" formatCode="#,##0.00\A\ \ \ \ ;\(#,##0.00\A\)\ \ \ \ "/>
    <numFmt numFmtId="259" formatCode="#,##0.00&quot;E&quot;\ \ \ \ ;\(#,##0.00&quot;E&quot;\)\ \ \ \ "/>
    <numFmt numFmtId="260" formatCode="\€#,##0_);\(\€#,##0\)"/>
    <numFmt numFmtId="261" formatCode="&quot;$&quot;#,##0;[Red]&quot;$&quot;#,##0"/>
    <numFmt numFmtId="262" formatCode="0%\ \ \ \ \ \ \ "/>
    <numFmt numFmtId="263" formatCode="#,##0.00\x_);[Red]\(#,##0.00\x\)"/>
    <numFmt numFmtId="264" formatCode="0.00\%;\-0.00\%;0.00\%"/>
    <numFmt numFmtId="265" formatCode="_(&quot;$&quot;* #,##0_)\ &quot;millions&quot;;_(&quot;$&quot;* \(#,##0\)&quot; millions&quot;"/>
    <numFmt numFmtId="266" formatCode="&quot;$&quot;#,##0\ &quot;MM&quot;;\(&quot;$&quot;#,##0.00\ &quot;MM&quot;\)"/>
    <numFmt numFmtId="267" formatCode="_-* #,##0\ _k_r_-;\-* #,##0\ _k_r_-;_-* &quot;-&quot;\ _k_r_-;_-@_-"/>
    <numFmt numFmtId="268" formatCode="_-* #,##0.00\ _k_r_-;\-* #,##0.00\ _k_r_-;_-* &quot;-&quot;??\ _k_r_-;_-@_-"/>
    <numFmt numFmtId="269" formatCode="#,##0\ &quot;MM&quot;"/>
    <numFmt numFmtId="270" formatCode="_-* #,##0\ &quot;kr&quot;_-;\-* #,##0\ &quot;kr&quot;_-;_-* &quot;-&quot;\ &quot;kr&quot;_-;_-@_-"/>
    <numFmt numFmtId="271" formatCode="_-* #,##0.00\ &quot;kr&quot;_-;\-* #,##0.00\ &quot;kr&quot;_-;_-* &quot;-&quot;??\ &quot;kr&quot;_-;_-@_-"/>
    <numFmt numFmtId="272" formatCode="&quot;$&quot;#,##0.000;\(&quot;$&quot;#,##0.000\)"/>
    <numFmt numFmtId="273" formatCode="#,##0.0\ ;\(#,##0.0\)"/>
    <numFmt numFmtId="274" formatCode="0.0_);\(0.0\)"/>
    <numFmt numFmtId="275" formatCode="#,##0___);\(#,##0.00\)"/>
    <numFmt numFmtId="276" formatCode="&quot;$&quot;#,##0.00&quot;E&quot;;[Red]\(&quot;$&quot;#,##0.00\)&quot;E&quot;"/>
    <numFmt numFmtId="277" formatCode="0.0\ \ \ \ \ \ "/>
    <numFmt numFmtId="278" formatCode="0.0%\ \ \ \ \ "/>
    <numFmt numFmtId="279" formatCode="#,##0&quot;%&quot;"/>
    <numFmt numFmtId="280" formatCode="0.00_);\(0.00\);0.00"/>
    <numFmt numFmtId="281" formatCode="_(#,##0.000_);_(\-#,##0.000_)"/>
    <numFmt numFmtId="282" formatCode="0.00\ \ \ \ "/>
    <numFmt numFmtId="283" formatCode="&quot;$&quot;@"/>
    <numFmt numFmtId="284" formatCode="&quot;$&quot;#,##0.00&quot;A&quot;;[Red]\(&quot;$&quot;#,##0.00\)&quot;A&quot;"/>
    <numFmt numFmtId="285" formatCode="_(* #,##0_);_(* \(#,##0\)"/>
    <numFmt numFmtId="286" formatCode="_(#,##0_);_(\-#,##0_)"/>
    <numFmt numFmtId="287" formatCode="_(#,##0.00_);_(\-#,##0.00_)"/>
    <numFmt numFmtId="288" formatCode="_(#,##0.0_);_(\-#,##0.0_)"/>
    <numFmt numFmtId="289" formatCode="0.0000"/>
    <numFmt numFmtId="290" formatCode="mmm\ yy"/>
    <numFmt numFmtId="291" formatCode="00000"/>
    <numFmt numFmtId="292" formatCode="_(* #,##0.0_);_(* \(#,##0.0\);_(* &quot;-&quot;?_);_(@_)"/>
    <numFmt numFmtId="293" formatCode="_-&quot;£&quot;* #,##0.00_-;\-&quot;£&quot;* #,##0.00_-;_-&quot;£&quot;* &quot;-&quot;??_-;_-@_-"/>
    <numFmt numFmtId="294" formatCode="&quot;$&quot;0,000"/>
    <numFmt numFmtId="295" formatCode="_(* #,##0_);_(* \(#,##0\);_(* &quot;-&quot;??_);_(@_)"/>
    <numFmt numFmtId="296" formatCode="#,###_);\(#,###\)"/>
    <numFmt numFmtId="297" formatCode="&quot;£&quot;#,##0_);[Red]\(&quot;£&quot;#,##0\)"/>
    <numFmt numFmtId="298" formatCode="#,###\—_);\(#,###\—\)"/>
    <numFmt numFmtId="299" formatCode="0.0%;[Red]\(0.0\)%"/>
    <numFmt numFmtId="300" formatCode="&quot;£&quot;#,##0.00_);\(&quot;£&quot;#,##0.00\)"/>
    <numFmt numFmtId="301" formatCode="&quot;£&quot;#,##0.00_);[Red]\(&quot;£&quot;#,##0.00\)"/>
    <numFmt numFmtId="302" formatCode="_(&quot;£&quot;* #,##0_);_(&quot;£&quot;* \(#,##0\);_(&quot;£&quot;* &quot;-&quot;_);_(@_)"/>
    <numFmt numFmtId="303" formatCode="0.0%;\(0.0\)%"/>
    <numFmt numFmtId="304" formatCode="#,##0.0&quot;¢&quot;;\-#,##0.0&quot;¢&quot;"/>
    <numFmt numFmtId="305" formatCode="#,##0.0&quot;x&quot;;\-#,##0.0&quot;x&quot;"/>
    <numFmt numFmtId="306" formatCode="#,##0.0;\(#,##0.0\)"/>
    <numFmt numFmtId="307" formatCode="#,##0.00;\(#,##0.00\)"/>
    <numFmt numFmtId="308" formatCode="#,##0_%_);\(#,##0\)_%;#,##0_%_);@_%_)"/>
    <numFmt numFmtId="309" formatCode="&quot;$&quot;#,##0_%_);\(&quot;$&quot;#,##0\)_%;&quot;$&quot;#,##0_%_);@_%_)"/>
    <numFmt numFmtId="310" formatCode="m/d/yy_%_)"/>
    <numFmt numFmtId="311" formatCode="###0;\(###0\)"/>
    <numFmt numFmtId="312" formatCode="0_%_);\(0\)_%;0_%_);@_%_)"/>
    <numFmt numFmtId="313" formatCode="#,##0.0000000"/>
    <numFmt numFmtId="314" formatCode="0.00%;\(0.00%\)"/>
    <numFmt numFmtId="315" formatCode="0.0\%_);\(0.0\%\);0.0\%_);@_%_)"/>
    <numFmt numFmtId="316" formatCode="#,##0&quot;m&quot;;\-#,##0&quot;m&quot;"/>
    <numFmt numFmtId="317" formatCode="&quot;$&quot;#,##0.00_%_);\(&quot;$&quot;#,##0.00\)_%;&quot;$&quot;\ \ \-\-\ \ \ \ \ \ ;@_%_)"/>
    <numFmt numFmtId="318" formatCode="###0.0_x;\(###0.0\)_x"/>
    <numFmt numFmtId="319" formatCode="\$\ #,##0;&quot;£&quot;\ \-#,##0"/>
    <numFmt numFmtId="320" formatCode="#,##0.00_)\ \x;\(#,##0.00\)\ \x"/>
    <numFmt numFmtId="321" formatCode="&quot;$&quot;#,##0.0,,&quot;m&quot;;\-&quot;$&quot;#,##0.0,,&quot;m&quot;"/>
    <numFmt numFmtId="322" formatCode="#,##0.0,,;\-#,##0.0,,"/>
    <numFmt numFmtId="323" formatCode="&quot;$&quot;#,##0.0,,&quot;k&quot;;\-&quot;$&quot;#,##0.0,,&quot;k&quot;"/>
    <numFmt numFmtId="324" formatCode="#,##0.0,;\-#,##0.0,"/>
    <numFmt numFmtId="325" formatCode="_(* #,##0.00_);_(* &quot;\&quot;&quot;\&quot;\(#,##0.00&quot;\&quot;&quot;\&quot;\);_(* &quot;-&quot;??_);_(@_)"/>
    <numFmt numFmtId="326" formatCode="0.0%\ "/>
    <numFmt numFmtId="327" formatCode="0.00\ "/>
    <numFmt numFmtId="328" formatCode="0.0\x"/>
    <numFmt numFmtId="329" formatCode="0.0%_);\(0.0%\);0.0%_);@_)"/>
    <numFmt numFmtId="330" formatCode="0.00%&quot; &quot;;\(0.00%\)"/>
    <numFmt numFmtId="331" formatCode="0.0000%"/>
    <numFmt numFmtId="332" formatCode="[$-409]d\-mmm\-yy;@"/>
    <numFmt numFmtId="333" formatCode="mm/dd/yy;@"/>
    <numFmt numFmtId="334" formatCode="0.00&quot; &quot;;\(0.000\)"/>
    <numFmt numFmtId="335" formatCode="0.00&quot; &quot;;\(0.00\)"/>
    <numFmt numFmtId="336" formatCode="0&quot;bps&quot;"/>
    <numFmt numFmtId="337" formatCode="&quot;EUR&quot;\ 0.0&quot;mn&quot;"/>
    <numFmt numFmtId="338" formatCode="0.0&quot;x&quot;"/>
    <numFmt numFmtId="339" formatCode="0&quot;x&quot;"/>
    <numFmt numFmtId="340" formatCode="0%_);\(0%\);0%_);@_)"/>
    <numFmt numFmtId="341" formatCode="#,##0_);\(#,##0\);#,##0_);@_)"/>
    <numFmt numFmtId="342" formatCode="#,##0.00_);\(#,##0.00\);#,##0.00_);@_)"/>
    <numFmt numFmtId="343" formatCode="#,##0.000000000000"/>
    <numFmt numFmtId="344" formatCode="#,##0.000_);\(#,##0.000\);#,##0.000_);@_)"/>
    <numFmt numFmtId="345" formatCode="_(* #,##0.00_);_(* \(#,##0.00\);_(\ &quot;-&quot;??_);_(@_)"/>
    <numFmt numFmtId="346" formatCode="_(* #,##0.0_);_(* \(#,##0.0\);_(* &quot;-&quot;??_);_(@_)"/>
    <numFmt numFmtId="347" formatCode="#,##0.00\ \x"/>
    <numFmt numFmtId="348" formatCode="&quot;$&quot;#,##0.0_);\(&quot;$&quot;#,##0.0\);&quot;$&quot;#,##0.0_);@_)"/>
    <numFmt numFmtId="349" formatCode="_(* #,##0_);_(* \(#,##0\);_(* &quot;-&quot;?_);_(@_)"/>
    <numFmt numFmtId="350" formatCode="_(* #,##0.0_);_(* \(#,##0.0\);_(\ &quot;-&quot;??_);_(@_)"/>
    <numFmt numFmtId="351" formatCode="#,##0.00000000000_);\(#,##0.00000000000\)"/>
  </numFmts>
  <fonts count="311">
    <font>
      <sz val="10"/>
      <name val="Helvetica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1"/>
      <color theme="1"/>
      <name val="Univers LT Std 55"/>
      <family val="2"/>
      <scheme val="minor"/>
    </font>
    <font>
      <sz val="10"/>
      <name val="MS Sans Serif"/>
      <family val="2"/>
    </font>
    <font>
      <sz val="10"/>
      <name val="Helvetica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name val="Verdana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Helv"/>
    </font>
    <font>
      <sz val="10"/>
      <name val="Helvetica"/>
      <family val="2"/>
    </font>
    <font>
      <sz val="8"/>
      <name val="Helv"/>
    </font>
    <font>
      <sz val="10"/>
      <name val="Tms Rmn"/>
    </font>
    <font>
      <sz val="10"/>
      <name val="Palatino"/>
      <family val="1"/>
    </font>
    <font>
      <sz val="10"/>
      <name val="Courier"/>
      <family val="3"/>
    </font>
    <font>
      <b/>
      <sz val="10"/>
      <color indexed="17"/>
      <name val="MS Sans Serif"/>
      <family val="2"/>
    </font>
    <font>
      <sz val="9"/>
      <color indexed="8"/>
      <name val="Times New Roman"/>
      <family val="1"/>
    </font>
    <font>
      <b/>
      <sz val="10"/>
      <color indexed="8"/>
      <name val="Times New Roman"/>
      <family val="1"/>
    </font>
    <font>
      <sz val="8"/>
      <name val="Arial"/>
      <family val="2"/>
    </font>
    <font>
      <sz val="8"/>
      <color indexed="12"/>
      <name val="Arial"/>
      <family val="2"/>
    </font>
    <font>
      <sz val="9"/>
      <color indexed="9"/>
      <name val="Times New Roman"/>
      <family val="1"/>
    </font>
    <font>
      <i/>
      <sz val="8"/>
      <color indexed="18"/>
      <name val="MS Sans Serif"/>
      <family val="2"/>
    </font>
    <font>
      <sz val="9"/>
      <name val="Helv"/>
    </font>
    <font>
      <sz val="9"/>
      <name val="Times New Roman"/>
      <family val="1"/>
    </font>
    <font>
      <b/>
      <sz val="7"/>
      <name val="TarzanaNarrow"/>
    </font>
    <font>
      <sz val="7"/>
      <name val="TarzanaNarrow"/>
    </font>
    <font>
      <b/>
      <sz val="24"/>
      <name val="Times New Roman"/>
      <family val="1"/>
    </font>
    <font>
      <sz val="10"/>
      <name val="TarzanaNarrow"/>
    </font>
    <font>
      <sz val="8"/>
      <color indexed="10"/>
      <name val="Arial"/>
      <family val="2"/>
    </font>
    <font>
      <sz val="10"/>
      <color indexed="12"/>
      <name val="MS Sans Serif"/>
      <family val="2"/>
    </font>
    <font>
      <b/>
      <sz val="10"/>
      <name val="Times New Roman"/>
      <family val="1"/>
    </font>
    <font>
      <b/>
      <sz val="8.5"/>
      <color indexed="17"/>
      <name val="Arial"/>
      <family val="2"/>
    </font>
    <font>
      <sz val="9"/>
      <name val="Tms Rmn"/>
    </font>
    <font>
      <sz val="7"/>
      <name val="Arial"/>
      <family val="2"/>
    </font>
    <font>
      <b/>
      <sz val="7"/>
      <color indexed="17"/>
      <name val="Arial"/>
      <family val="2"/>
    </font>
    <font>
      <sz val="8.5"/>
      <color indexed="8"/>
      <name val="Arial"/>
      <family val="2"/>
    </font>
    <font>
      <i/>
      <sz val="8"/>
      <name val="MS Sans Serif"/>
      <family val="2"/>
    </font>
    <font>
      <b/>
      <sz val="12"/>
      <name val="Times New Roman"/>
      <family val="1"/>
    </font>
    <font>
      <b/>
      <i/>
      <sz val="10"/>
      <name val="Times New Roman"/>
      <family val="1"/>
    </font>
    <font>
      <i/>
      <sz val="10"/>
      <name val="Times New Roman"/>
      <family val="1"/>
    </font>
    <font>
      <b/>
      <i/>
      <sz val="12"/>
      <color indexed="3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b/>
      <sz val="9"/>
      <name val="Helv"/>
    </font>
    <font>
      <sz val="10"/>
      <color indexed="62"/>
      <name val="Arial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b/>
      <i/>
      <sz val="8"/>
      <name val="Helvetica"/>
      <family val="2"/>
    </font>
    <font>
      <sz val="10"/>
      <color indexed="9"/>
      <name val="Arial"/>
      <family val="2"/>
    </font>
    <font>
      <i/>
      <sz val="8"/>
      <color indexed="14"/>
      <name val="MS Sans Serif"/>
      <family val="2"/>
    </font>
    <font>
      <b/>
      <sz val="14"/>
      <name val="Arial"/>
      <family val="2"/>
    </font>
    <font>
      <b/>
      <sz val="10"/>
      <color indexed="17"/>
      <name val="Arial"/>
      <family val="2"/>
    </font>
    <font>
      <sz val="16"/>
      <name val="MS Sans Serif"/>
      <family val="2"/>
    </font>
    <font>
      <sz val="10"/>
      <name val="Times New Roman"/>
      <family val="1"/>
    </font>
    <font>
      <sz val="7"/>
      <name val="Small Fonts"/>
      <family val="2"/>
    </font>
    <font>
      <b/>
      <i/>
      <sz val="16"/>
      <name val="Helv"/>
    </font>
    <font>
      <i/>
      <sz val="10"/>
      <name val="Helv"/>
    </font>
    <font>
      <b/>
      <sz val="9"/>
      <name val="TarzanaNarrow"/>
    </font>
    <font>
      <b/>
      <sz val="10"/>
      <name val="TarzanaNarrow"/>
    </font>
    <font>
      <sz val="9"/>
      <name val="Geneva"/>
      <family val="2"/>
    </font>
    <font>
      <b/>
      <sz val="14.5"/>
      <name val="TarzanaNarrow"/>
    </font>
    <font>
      <b/>
      <sz val="14"/>
      <name val="Times New Roman"/>
      <family val="1"/>
    </font>
    <font>
      <sz val="10"/>
      <name val="Geneva"/>
      <family val="2"/>
    </font>
    <font>
      <sz val="12"/>
      <name val="Helvetica"/>
      <family val="2"/>
    </font>
    <font>
      <b/>
      <sz val="8"/>
      <name val="HelveticaNeue Condensed"/>
    </font>
    <font>
      <sz val="8"/>
      <name val="HelveticaNeue LightCond"/>
      <family val="2"/>
    </font>
    <font>
      <b/>
      <sz val="7"/>
      <name val="HelveticaNeue Condensed"/>
      <family val="2"/>
    </font>
    <font>
      <b/>
      <sz val="9"/>
      <name val="Times New Roman"/>
      <family val="1"/>
    </font>
    <font>
      <sz val="8"/>
      <name val="Helv"/>
      <family val="2"/>
    </font>
    <font>
      <b/>
      <sz val="11"/>
      <name val="Times New Roman"/>
      <family val="1"/>
    </font>
    <font>
      <b/>
      <sz val="8.5"/>
      <color indexed="8"/>
      <name val="Arial"/>
      <family val="2"/>
    </font>
    <font>
      <b/>
      <sz val="8.5"/>
      <color indexed="17"/>
      <name val="Arial"/>
      <family val="2"/>
    </font>
    <font>
      <b/>
      <u/>
      <sz val="10"/>
      <name val="Arial"/>
      <family val="2"/>
    </font>
    <font>
      <sz val="9.5"/>
      <name val="TarzanaNarrow"/>
    </font>
    <font>
      <sz val="10"/>
      <name val="MS Serif"/>
      <family val="1"/>
    </font>
    <font>
      <b/>
      <sz val="10"/>
      <color indexed="50"/>
      <name val="Arial"/>
      <family val="2"/>
    </font>
    <font>
      <sz val="10"/>
      <name val="MS Sans Serif"/>
      <family val="2"/>
    </font>
    <font>
      <sz val="10"/>
      <color indexed="20"/>
      <name val="Arial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b/>
      <sz val="11"/>
      <color indexed="62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0"/>
      <color indexed="34"/>
      <name val="Arial"/>
      <family val="2"/>
    </font>
    <font>
      <b/>
      <sz val="18"/>
      <color indexed="62"/>
      <name val="Cambria"/>
      <family val="2"/>
    </font>
    <font>
      <sz val="10"/>
      <color indexed="10"/>
      <name val="Arial"/>
      <family val="2"/>
    </font>
    <font>
      <b/>
      <sz val="12"/>
      <color indexed="9"/>
      <name val="Arial"/>
      <family val="2"/>
    </font>
    <font>
      <sz val="10"/>
      <name val="Univers LT Std 55"/>
      <family val="2"/>
      <scheme val="minor"/>
    </font>
    <font>
      <i/>
      <sz val="10"/>
      <name val="Univers LT Std 55"/>
      <family val="2"/>
      <scheme val="minor"/>
    </font>
    <font>
      <sz val="10"/>
      <color rgb="FFFF0000"/>
      <name val="Verdana"/>
      <family val="2"/>
    </font>
    <font>
      <sz val="11"/>
      <color rgb="FF006100"/>
      <name val="Univers LT Std 55"/>
      <family val="2"/>
      <scheme val="minor"/>
    </font>
    <font>
      <sz val="11"/>
      <color rgb="FF9C6500"/>
      <name val="Univers LT Std 55"/>
      <family val="2"/>
      <scheme val="minor"/>
    </font>
    <font>
      <sz val="11"/>
      <color rgb="FF9C0006"/>
      <name val="Univers LT Std 55"/>
      <family val="2"/>
      <scheme val="minor"/>
    </font>
    <font>
      <b/>
      <sz val="11"/>
      <color rgb="FF3F3F3F"/>
      <name val="Univers LT Std 55"/>
      <family val="2"/>
      <scheme val="minor"/>
    </font>
    <font>
      <sz val="10"/>
      <name val="GS TheSans"/>
      <family val="2"/>
    </font>
    <font>
      <sz val="8"/>
      <name val="Tahoma"/>
      <family val="2"/>
    </font>
    <font>
      <b/>
      <sz val="10"/>
      <name val="MS Sans Serif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name val="Times"/>
      <family val="1"/>
    </font>
    <font>
      <sz val="8"/>
      <name val="Helvetica"/>
      <family val="2"/>
    </font>
    <font>
      <b/>
      <sz val="12"/>
      <name val="Tms Rmn"/>
    </font>
    <font>
      <b/>
      <i/>
      <sz val="8"/>
      <name val="Arial"/>
      <family val="2"/>
    </font>
    <font>
      <b/>
      <sz val="10"/>
      <name val="Bookman"/>
      <family val="1"/>
    </font>
    <font>
      <b/>
      <sz val="14"/>
      <name val="Book Antiqua"/>
      <family val="1"/>
    </font>
    <font>
      <sz val="11"/>
      <color indexed="12"/>
      <name val="Book Antiqua"/>
      <family val="1"/>
    </font>
    <font>
      <b/>
      <u/>
      <sz val="7"/>
      <name val="Helvetica"/>
      <family val="2"/>
    </font>
    <font>
      <sz val="10"/>
      <name val="Book Antiqua"/>
      <family val="1"/>
    </font>
    <font>
      <b/>
      <sz val="10"/>
      <name val="Palatino"/>
      <family val="1"/>
    </font>
    <font>
      <sz val="8"/>
      <name val="Book Antiqua"/>
      <family val="1"/>
    </font>
    <font>
      <i/>
      <sz val="7"/>
      <name val="Book Antiqua"/>
      <family val="1"/>
    </font>
    <font>
      <sz val="8"/>
      <color indexed="9"/>
      <name val="Arial"/>
      <family val="2"/>
    </font>
    <font>
      <sz val="10"/>
      <color indexed="72"/>
      <name val="System"/>
      <family val="2"/>
    </font>
    <font>
      <b/>
      <sz val="14"/>
      <name val="Bookman"/>
      <family val="1"/>
    </font>
    <font>
      <b/>
      <sz val="12"/>
      <color indexed="16"/>
      <name val="Arial"/>
      <family val="2"/>
    </font>
    <font>
      <sz val="7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9"/>
      <color indexed="81"/>
      <name val="Tahoma"/>
      <family val="2"/>
    </font>
    <font>
      <sz val="10"/>
      <name val="Helv"/>
      <family val="2"/>
    </font>
    <font>
      <sz val="10"/>
      <name val="GillSans"/>
      <family val="2"/>
    </font>
    <font>
      <sz val="8"/>
      <color indexed="49"/>
      <name val="Times New Roman"/>
      <family val="1"/>
    </font>
    <font>
      <sz val="9"/>
      <name val="Helvetica 45"/>
    </font>
    <font>
      <sz val="10"/>
      <color indexed="8"/>
      <name val="MS Sans Serif"/>
      <family val="2"/>
    </font>
    <font>
      <sz val="12"/>
      <name val="Times New Roman"/>
      <family val="1"/>
    </font>
    <font>
      <sz val="8"/>
      <name val="Times New Roman"/>
      <family val="1"/>
    </font>
    <font>
      <b/>
      <sz val="9"/>
      <color indexed="0"/>
      <name val="Arial"/>
      <family val="2"/>
    </font>
    <font>
      <sz val="9"/>
      <color indexed="0"/>
      <name val="Arial"/>
      <family val="2"/>
    </font>
    <font>
      <b/>
      <sz val="12"/>
      <name val="Times"/>
      <family val="1"/>
    </font>
    <font>
      <b/>
      <i/>
      <sz val="12"/>
      <name val="Times"/>
      <family val="1"/>
    </font>
    <font>
      <sz val="11"/>
      <name val="Times New Roman"/>
      <family val="1"/>
    </font>
    <font>
      <b/>
      <sz val="8"/>
      <name val="Times New Roman"/>
      <family val="1"/>
    </font>
    <font>
      <sz val="10"/>
      <color indexed="18"/>
      <name val="Times New Roman"/>
      <family val="1"/>
    </font>
    <font>
      <b/>
      <sz val="7"/>
      <name val="Helvetica-Narrow"/>
      <family val="2"/>
    </font>
    <font>
      <b/>
      <sz val="7"/>
      <name val="GillSans"/>
      <family val="2"/>
    </font>
    <font>
      <sz val="11"/>
      <name val="Times"/>
      <family val="1"/>
    </font>
    <font>
      <sz val="11"/>
      <name val="Helvetica-Narrow"/>
      <family val="2"/>
    </font>
    <font>
      <sz val="10"/>
      <color indexed="12"/>
      <name val="Helv"/>
    </font>
    <font>
      <b/>
      <sz val="9"/>
      <color indexed="2"/>
      <name val="Arial"/>
      <family val="2"/>
    </font>
    <font>
      <sz val="9"/>
      <color indexed="2"/>
      <name val="Arial"/>
      <family val="2"/>
    </font>
    <font>
      <b/>
      <i/>
      <sz val="9"/>
      <color indexed="12"/>
      <name val="Arial Narrow"/>
      <family val="2"/>
    </font>
    <font>
      <b/>
      <i/>
      <sz val="8"/>
      <color indexed="12"/>
      <name val="Arial"/>
      <family val="2"/>
    </font>
    <font>
      <u/>
      <sz val="10"/>
      <color indexed="36"/>
      <name val="Arial"/>
      <family val="2"/>
    </font>
    <font>
      <u/>
      <sz val="10"/>
      <color indexed="39"/>
      <name val="Arial"/>
      <family val="2"/>
    </font>
    <font>
      <sz val="9"/>
      <name val="GillSans Light"/>
      <family val="2"/>
    </font>
    <font>
      <sz val="8"/>
      <color indexed="17"/>
      <name val="Times New Roman"/>
      <family val="1"/>
    </font>
    <font>
      <b/>
      <sz val="10"/>
      <color indexed="9"/>
      <name val="GillSans"/>
      <family val="2"/>
    </font>
    <font>
      <b/>
      <sz val="10"/>
      <color indexed="8"/>
      <name val="GillSans"/>
      <family val="2"/>
    </font>
    <font>
      <sz val="10"/>
      <name val="GillSans Light"/>
      <family val="2"/>
    </font>
    <font>
      <sz val="8"/>
      <color indexed="18"/>
      <name val="Times New Roman"/>
      <family val="1"/>
    </font>
    <font>
      <sz val="8"/>
      <color indexed="8"/>
      <name val="Times New Roman"/>
      <family val="1"/>
    </font>
    <font>
      <sz val="10"/>
      <color indexed="8"/>
      <name val="Helv"/>
      <family val="2"/>
    </font>
    <font>
      <sz val="10"/>
      <name val="Times"/>
      <family val="1"/>
    </font>
    <font>
      <sz val="9"/>
      <color indexed="12"/>
      <name val="Swis721 Cn BT"/>
    </font>
    <font>
      <b/>
      <sz val="12"/>
      <color indexed="10"/>
      <name val="Swis721 Cn BT"/>
    </font>
    <font>
      <sz val="12"/>
      <name val="Arial"/>
      <family val="2"/>
    </font>
    <font>
      <b/>
      <sz val="14"/>
      <color indexed="9"/>
      <name val="Arial"/>
      <family val="2"/>
    </font>
    <font>
      <b/>
      <sz val="11"/>
      <color indexed="9"/>
      <name val="Arial"/>
      <family val="2"/>
    </font>
    <font>
      <b/>
      <i/>
      <sz val="8"/>
      <color indexed="9"/>
      <name val="Arial"/>
      <family val="2"/>
    </font>
    <font>
      <b/>
      <sz val="10"/>
      <name val="GillSans"/>
      <family val="2"/>
    </font>
    <font>
      <b/>
      <sz val="10"/>
      <color indexed="12"/>
      <name val="MS Sans Serif"/>
      <family val="2"/>
    </font>
    <font>
      <b/>
      <sz val="12"/>
      <color indexed="60"/>
      <name val="Swis721 Cn BT"/>
    </font>
    <font>
      <b/>
      <sz val="12"/>
      <name val="GillSans"/>
      <family val="2"/>
    </font>
    <font>
      <b/>
      <sz val="8"/>
      <color indexed="18"/>
      <name val="Times New Roman"/>
      <family val="1"/>
    </font>
    <font>
      <u/>
      <sz val="11"/>
      <name val="GillSans"/>
      <family val="2"/>
    </font>
    <font>
      <b/>
      <sz val="10"/>
      <color indexed="16"/>
      <name val="GillSans"/>
      <family val="2"/>
    </font>
    <font>
      <u/>
      <sz val="10"/>
      <name val="Helv"/>
    </font>
    <font>
      <sz val="11"/>
      <name val="ZapfCalligr BT"/>
      <family val="1"/>
    </font>
    <font>
      <sz val="12"/>
      <name val="Weiss"/>
    </font>
    <font>
      <sz val="10"/>
      <color indexed="18"/>
      <name val="GS TheSans"/>
      <family val="2"/>
    </font>
    <font>
      <b/>
      <sz val="8"/>
      <color indexed="32"/>
      <name val="Arial"/>
      <family val="2"/>
    </font>
    <font>
      <outline/>
      <sz val="14"/>
      <name val="N Helvetica Narrow"/>
    </font>
    <font>
      <sz val="8"/>
      <name val="Palatino"/>
      <family val="1"/>
    </font>
    <font>
      <sz val="10"/>
      <color indexed="22"/>
      <name val="Arial"/>
      <family val="2"/>
      <charset val="238"/>
    </font>
    <font>
      <sz val="8"/>
      <color indexed="10"/>
      <name val="Helv"/>
    </font>
    <font>
      <b/>
      <sz val="10"/>
      <color indexed="10"/>
      <name val="Helv"/>
    </font>
    <font>
      <i/>
      <sz val="8"/>
      <color indexed="10"/>
      <name val="Helv"/>
    </font>
    <font>
      <sz val="18"/>
      <name val="Helvetica-Black"/>
    </font>
    <font>
      <i/>
      <sz val="14"/>
      <name val="Palatino"/>
      <family val="1"/>
    </font>
    <font>
      <sz val="10"/>
      <color indexed="10"/>
      <name val="Times New Roman"/>
      <family val="1"/>
    </font>
    <font>
      <sz val="10"/>
      <color indexed="10"/>
      <name val="Helv"/>
    </font>
    <font>
      <b/>
      <i/>
      <sz val="8"/>
      <color indexed="10"/>
      <name val="Helvetica"/>
      <family val="2"/>
    </font>
    <font>
      <sz val="5"/>
      <name val="Arial"/>
      <family val="2"/>
    </font>
    <font>
      <sz val="10"/>
      <name val="Arial CE"/>
      <family val="2"/>
      <charset val="238"/>
    </font>
    <font>
      <sz val="8"/>
      <color indexed="12"/>
      <name val="Helv"/>
    </font>
    <font>
      <sz val="10"/>
      <color indexed="16"/>
      <name val="Helvetica-Black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b/>
      <sz val="10"/>
      <name val="Helv"/>
    </font>
    <font>
      <i/>
      <sz val="7"/>
      <color indexed="12"/>
      <name val="Times New Roman"/>
      <family val="1"/>
    </font>
    <font>
      <b/>
      <sz val="9"/>
      <name val="Palatino"/>
      <family val="1"/>
    </font>
    <font>
      <sz val="9"/>
      <color indexed="21"/>
      <name val="Helvetica-Black"/>
    </font>
    <font>
      <b/>
      <sz val="9"/>
      <color indexed="8"/>
      <name val="Helv"/>
    </font>
    <font>
      <sz val="12"/>
      <color indexed="9"/>
      <name val="Weiss"/>
    </font>
    <font>
      <sz val="12"/>
      <name val="Helv"/>
    </font>
    <font>
      <sz val="10"/>
      <name val="Univers LT Std 65 Bold"/>
      <family val="2"/>
      <scheme val="major"/>
    </font>
    <font>
      <sz val="11"/>
      <name val="Univers LT Std 55"/>
      <family val="2"/>
      <scheme val="minor"/>
    </font>
    <font>
      <sz val="10"/>
      <color rgb="FFFF0000"/>
      <name val="Univers LT Std 55"/>
      <family val="2"/>
      <scheme val="minor"/>
    </font>
    <font>
      <b/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3" tint="0.59999389629810485"/>
      <name val="Arial"/>
      <family val="2"/>
    </font>
    <font>
      <sz val="10"/>
      <color rgb="FFFF0000"/>
      <name val="Arial"/>
      <family val="2"/>
    </font>
    <font>
      <b/>
      <sz val="10"/>
      <color rgb="FF0000FF"/>
      <name val="Arial"/>
      <family val="2"/>
    </font>
    <font>
      <i/>
      <sz val="8"/>
      <name val="Arial"/>
      <family val="2"/>
    </font>
    <font>
      <b/>
      <sz val="15"/>
      <color indexed="9"/>
      <name val="Arial"/>
      <family val="2"/>
    </font>
    <font>
      <b/>
      <sz val="15"/>
      <color theme="0"/>
      <name val="Arial"/>
      <family val="2"/>
    </font>
    <font>
      <b/>
      <sz val="10"/>
      <color indexed="10"/>
      <name val="Arial"/>
      <family val="2"/>
    </font>
    <font>
      <i/>
      <sz val="10"/>
      <name val="Arial"/>
      <family val="2"/>
    </font>
    <font>
      <i/>
      <sz val="10"/>
      <color indexed="8"/>
      <name val="Arial"/>
      <family val="2"/>
    </font>
    <font>
      <sz val="12"/>
      <color indexed="9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0"/>
      <name val="Univers LT Std 55"/>
      <family val="2"/>
      <scheme val="minor"/>
    </font>
    <font>
      <b/>
      <sz val="22"/>
      <name val="Arial"/>
      <family val="2"/>
    </font>
    <font>
      <u/>
      <sz val="10"/>
      <color indexed="12"/>
      <name val="Arial"/>
      <family val="2"/>
    </font>
    <font>
      <u/>
      <sz val="10"/>
      <color theme="6"/>
      <name val="Arial"/>
      <family val="2"/>
    </font>
    <font>
      <i/>
      <sz val="9"/>
      <name val="Arial"/>
      <family val="2"/>
    </font>
    <font>
      <sz val="10"/>
      <color rgb="FFFF0000"/>
      <name val="Helvetica"/>
      <family val="2"/>
    </font>
    <font>
      <b/>
      <sz val="10"/>
      <name val="Helvetica"/>
    </font>
    <font>
      <sz val="11"/>
      <color rgb="FF58585B"/>
      <name val="Arial"/>
      <family val="2"/>
    </font>
    <font>
      <sz val="10"/>
      <color rgb="FF0000FF"/>
      <name val="Helvetica"/>
      <family val="2"/>
    </font>
    <font>
      <b/>
      <sz val="14"/>
      <color rgb="FF0C0C0C"/>
      <name val="Arial"/>
      <family val="2"/>
    </font>
    <font>
      <sz val="10"/>
      <name val="Helvetica"/>
    </font>
    <font>
      <sz val="10"/>
      <color theme="0"/>
      <name val="Helvetica"/>
      <family val="2"/>
    </font>
    <font>
      <b/>
      <sz val="10"/>
      <color theme="0"/>
      <name val="Helvetica"/>
    </font>
    <font>
      <sz val="8"/>
      <color rgb="FF0C0C0C"/>
      <name val="Arial"/>
      <family val="2"/>
    </font>
    <font>
      <b/>
      <u/>
      <sz val="10"/>
      <name val="Helvetica"/>
      <family val="2"/>
    </font>
    <font>
      <b/>
      <sz val="10"/>
      <name val="Helvetica"/>
      <family val="2"/>
    </font>
    <font>
      <sz val="10"/>
      <color theme="0"/>
      <name val="Helvetica"/>
    </font>
    <font>
      <b/>
      <sz val="10"/>
      <color theme="0"/>
      <name val="Helvetica"/>
      <family val="2"/>
    </font>
    <font>
      <i/>
      <sz val="10"/>
      <name val="Helvetica"/>
    </font>
    <font>
      <b/>
      <u/>
      <sz val="10"/>
      <color theme="0"/>
      <name val="Helvetica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i/>
      <sz val="10"/>
      <color rgb="FFFF0000"/>
      <name val="Arial"/>
      <family val="2"/>
    </font>
    <font>
      <sz val="10"/>
      <color rgb="FF000000"/>
      <name val="Verdana"/>
      <family val="2"/>
    </font>
    <font>
      <sz val="10"/>
      <color theme="6"/>
      <name val="Arial"/>
      <family val="2"/>
    </font>
    <font>
      <sz val="10"/>
      <color rgb="FF000000"/>
      <name val="Arial"/>
      <family val="2"/>
    </font>
    <font>
      <b/>
      <sz val="10"/>
      <color theme="6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Helvetica"/>
      <family val="2"/>
    </font>
    <font>
      <i/>
      <sz val="10"/>
      <color rgb="FF000000"/>
      <name val="Arial"/>
      <family val="2"/>
    </font>
    <font>
      <sz val="10"/>
      <color indexed="40"/>
      <name val="Arial"/>
      <family val="2"/>
    </font>
    <font>
      <sz val="10"/>
      <color indexed="12"/>
      <name val="Verdana"/>
      <family val="2"/>
    </font>
    <font>
      <b/>
      <sz val="10"/>
      <name val="Verdana"/>
      <family val="2"/>
    </font>
    <font>
      <i/>
      <sz val="10"/>
      <name val="Verdana"/>
      <family val="2"/>
    </font>
    <font>
      <b/>
      <sz val="10"/>
      <color rgb="FFFF0000"/>
      <name val="Verdana"/>
      <family val="2"/>
    </font>
    <font>
      <sz val="10"/>
      <color indexed="10"/>
      <name val="Verdana"/>
      <family val="2"/>
    </font>
    <font>
      <sz val="10"/>
      <color indexed="14"/>
      <name val="Verdana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sz val="10"/>
      <color indexed="40"/>
      <name val="Verdana"/>
      <family val="2"/>
    </font>
    <font>
      <sz val="10"/>
      <color theme="6"/>
      <name val="Verdana"/>
      <family val="2"/>
    </font>
    <font>
      <b/>
      <sz val="10"/>
      <color rgb="FF000000"/>
      <name val="Verdana"/>
      <family val="2"/>
    </font>
    <font>
      <i/>
      <sz val="10"/>
      <color rgb="FF000000"/>
      <name val="Verdana"/>
      <family val="2"/>
    </font>
    <font>
      <sz val="9"/>
      <color rgb="FF0000FF"/>
      <name val="Arial"/>
      <family val="2"/>
    </font>
    <font>
      <sz val="9"/>
      <color rgb="FF00B050"/>
      <name val="Univers LT Std 55"/>
      <family val="2"/>
      <scheme val="minor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theme="1"/>
      <name val="Arial"/>
      <family val="2"/>
    </font>
    <font>
      <b/>
      <sz val="9"/>
      <color theme="7"/>
      <name val="Arial"/>
      <family val="2"/>
    </font>
    <font>
      <b/>
      <sz val="9"/>
      <color rgb="FF0000FF"/>
      <name val="Arial"/>
      <family val="2"/>
    </font>
    <font>
      <i/>
      <sz val="9"/>
      <color theme="1"/>
      <name val="Arial"/>
      <family val="2"/>
    </font>
    <font>
      <i/>
      <sz val="9"/>
      <color rgb="FF0000FF"/>
      <name val="Arial"/>
      <family val="2"/>
    </font>
    <font>
      <b/>
      <sz val="9"/>
      <color rgb="FF008000"/>
      <name val="Arial"/>
      <family val="2"/>
    </font>
    <font>
      <i/>
      <sz val="9"/>
      <color rgb="FF008000"/>
      <name val="Arial"/>
      <family val="2"/>
    </font>
    <font>
      <b/>
      <sz val="10"/>
      <color rgb="FF0000FF"/>
      <name val="Univers LT Std 55"/>
      <family val="2"/>
      <scheme val="minor"/>
    </font>
    <font>
      <sz val="10"/>
      <color rgb="FF0000FF"/>
      <name val="Univers LT Std 55"/>
      <family val="2"/>
      <scheme val="minor"/>
    </font>
    <font>
      <b/>
      <i/>
      <sz val="9"/>
      <name val="Arial"/>
      <family val="2"/>
    </font>
    <font>
      <sz val="9"/>
      <color rgb="FF008000"/>
      <name val="Arial"/>
      <family val="2"/>
    </font>
    <font>
      <sz val="10"/>
      <color theme="1"/>
      <name val="Univers LT Std 55"/>
      <family val="2"/>
      <scheme val="minor"/>
    </font>
    <font>
      <sz val="10"/>
      <color rgb="FF0070C0"/>
      <name val="Univers LT Std 55"/>
      <family val="2"/>
      <scheme val="minor"/>
    </font>
    <font>
      <i/>
      <sz val="9"/>
      <color rgb="FFC00000"/>
      <name val="Arial"/>
      <family val="2"/>
    </font>
    <font>
      <b/>
      <sz val="11"/>
      <color theme="1"/>
      <name val="Univers LT Std 55"/>
      <family val="2"/>
      <scheme val="minor"/>
    </font>
    <font>
      <i/>
      <sz val="11"/>
      <color theme="1"/>
      <name val="Univers LT Std 55"/>
      <family val="2"/>
      <scheme val="minor"/>
    </font>
    <font>
      <i/>
      <sz val="10"/>
      <color theme="6"/>
      <name val="Arial"/>
      <family val="2"/>
    </font>
    <font>
      <b/>
      <i/>
      <sz val="10"/>
      <color theme="6"/>
      <name val="Arial"/>
      <family val="2"/>
    </font>
    <font>
      <i/>
      <u/>
      <sz val="10"/>
      <name val="Arial"/>
      <family val="2"/>
    </font>
    <font>
      <b/>
      <i/>
      <sz val="10"/>
      <color rgb="FF000000"/>
      <name val="Arial"/>
      <family val="2"/>
    </font>
    <font>
      <u/>
      <sz val="10"/>
      <name val="Arial"/>
      <family val="2"/>
    </font>
    <font>
      <b/>
      <i/>
      <sz val="10"/>
      <color rgb="FFFF0000"/>
      <name val="Arial"/>
      <family val="2"/>
    </font>
  </fonts>
  <fills count="90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38"/>
      </patternFill>
    </fill>
    <fill>
      <patternFill patternType="solid">
        <fgColor indexed="28"/>
      </patternFill>
    </fill>
    <fill>
      <patternFill patternType="solid">
        <fgColor indexed="26"/>
      </patternFill>
    </fill>
    <fill>
      <patternFill patternType="solid">
        <fgColor indexed="33"/>
      </patternFill>
    </fill>
    <fill>
      <patternFill patternType="solid">
        <fgColor indexed="24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gray0625">
        <fgColor indexed="10"/>
        <bgColor indexed="9"/>
      </patternFill>
    </fill>
    <fill>
      <patternFill patternType="solid">
        <fgColor indexed="45"/>
      </patternFill>
    </fill>
    <fill>
      <patternFill patternType="lightGray">
        <fgColor indexed="14"/>
        <bgColor indexed="9"/>
      </patternFill>
    </fill>
    <fill>
      <patternFill patternType="solid">
        <fgColor indexed="27"/>
      </patternFill>
    </fill>
    <fill>
      <patternFill patternType="solid">
        <fgColor indexed="22"/>
        <bgColor indexed="64"/>
      </patternFill>
    </fill>
    <fill>
      <patternFill patternType="lightGray">
        <fgColor indexed="12"/>
        <bgColor indexed="9"/>
      </patternFill>
    </fill>
    <fill>
      <patternFill patternType="solid">
        <fgColor indexed="42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9"/>
      </patternFill>
    </fill>
    <fill>
      <patternFill patternType="solid">
        <fgColor indexed="29"/>
        <bgColor indexed="64"/>
      </patternFill>
    </fill>
    <fill>
      <patternFill patternType="solid">
        <fgColor indexed="15"/>
      </patternFill>
    </fill>
    <fill>
      <patternFill patternType="lightGray">
        <fgColor indexed="22"/>
        <bgColor indexed="9"/>
      </patternFill>
    </fill>
    <fill>
      <patternFill patternType="mediumGray"/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lightGray">
        <fgColor indexed="15"/>
      </patternFill>
    </fill>
    <fill>
      <patternFill patternType="solid">
        <fgColor indexed="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indexed="12"/>
      </patternFill>
    </fill>
    <fill>
      <patternFill patternType="solid">
        <fgColor indexed="44"/>
        <bgColor indexed="64"/>
      </patternFill>
    </fill>
    <fill>
      <patternFill patternType="gray125">
        <fgColor indexed="26"/>
        <bgColor indexed="9"/>
      </patternFill>
    </fill>
    <fill>
      <patternFill patternType="gray0625">
        <fgColor indexed="22"/>
      </patternFill>
    </fill>
    <fill>
      <patternFill patternType="solid">
        <fgColor indexed="13"/>
      </patternFill>
    </fill>
    <fill>
      <patternFill patternType="solid">
        <fgColor indexed="41"/>
        <bgColor indexed="64"/>
      </patternFill>
    </fill>
    <fill>
      <patternFill patternType="mediumGray">
        <fgColor indexed="22"/>
      </patternFill>
    </fill>
    <fill>
      <patternFill patternType="solid">
        <fgColor indexed="63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2"/>
      </patternFill>
    </fill>
    <fill>
      <patternFill patternType="gray0625"/>
    </fill>
    <fill>
      <patternFill patternType="solid">
        <fgColor indexed="29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355F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gray0625">
        <fgColor theme="7" tint="0.59996337778862885"/>
        <bgColor theme="0"/>
      </patternFill>
    </fill>
  </fills>
  <borders count="99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34"/>
      </left>
      <right style="double">
        <color indexed="34"/>
      </right>
      <top style="double">
        <color indexed="34"/>
      </top>
      <bottom style="double">
        <color indexed="3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2"/>
      </left>
      <right style="medium">
        <color indexed="62"/>
      </right>
      <top style="medium">
        <color indexed="62"/>
      </top>
      <bottom style="medium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double">
        <color indexed="5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33"/>
      </left>
      <right style="thin">
        <color indexed="33"/>
      </right>
      <top style="thin">
        <color indexed="33"/>
      </top>
      <bottom style="thin">
        <color indexed="33"/>
      </bottom>
      <diagonal/>
    </border>
    <border>
      <left style="thin">
        <color indexed="34"/>
      </left>
      <right style="thin">
        <color indexed="34"/>
      </right>
      <top style="thin">
        <color indexed="34"/>
      </top>
      <bottom style="thin">
        <color indexed="3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23"/>
      </bottom>
      <diagonal/>
    </border>
    <border>
      <left style="thin">
        <color indexed="23"/>
      </left>
      <right style="dashed">
        <color indexed="9"/>
      </right>
      <top/>
      <bottom style="dashed">
        <color indexed="9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57"/>
      </left>
      <right style="medium">
        <color indexed="57"/>
      </right>
      <top style="medium">
        <color indexed="57"/>
      </top>
      <bottom style="medium">
        <color indexed="57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18"/>
      </bottom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 diagonalDown="1">
      <left/>
      <right/>
      <top/>
      <bottom/>
      <diagonal/>
    </border>
    <border>
      <left style="dotted">
        <color indexed="12"/>
      </left>
      <right style="dotted">
        <color indexed="12"/>
      </right>
      <top style="dotted">
        <color indexed="12"/>
      </top>
      <bottom style="dotted">
        <color indexed="12"/>
      </bottom>
      <diagonal/>
    </border>
    <border>
      <left style="medium">
        <color indexed="51"/>
      </left>
      <right style="medium">
        <color indexed="51"/>
      </right>
      <top style="medium">
        <color indexed="51"/>
      </top>
      <bottom style="medium">
        <color indexed="5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23"/>
      </top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 style="dotted">
        <color indexed="12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/>
      <diagonal/>
    </border>
    <border>
      <left style="thick">
        <color indexed="12"/>
      </left>
      <right style="thick">
        <color indexed="12"/>
      </right>
      <top style="thick">
        <color indexed="12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medium">
        <color indexed="32"/>
      </top>
      <bottom style="medium">
        <color indexed="32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DDDDDD"/>
      </top>
      <bottom/>
      <diagonal/>
    </border>
    <border>
      <left/>
      <right/>
      <top/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998">
    <xf numFmtId="0" fontId="0" fillId="0" borderId="0" applyFont="0"/>
    <xf numFmtId="0" fontId="12" fillId="0" borderId="0"/>
    <xf numFmtId="37" fontId="11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12" fillId="0" borderId="0"/>
    <xf numFmtId="193" fontId="12" fillId="0" borderId="0"/>
    <xf numFmtId="193" fontId="12" fillId="0" borderId="0"/>
    <xf numFmtId="0" fontId="12" fillId="0" borderId="0"/>
    <xf numFmtId="194" fontId="26" fillId="0" borderId="0"/>
    <xf numFmtId="0" fontId="26" fillId="0" borderId="0"/>
    <xf numFmtId="195" fontId="12" fillId="0" borderId="0"/>
    <xf numFmtId="182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196" fontId="14" fillId="0" borderId="0" applyFont="0" applyFill="0" applyBorder="0" applyAlignment="0" applyProtection="0"/>
    <xf numFmtId="0" fontId="16" fillId="0" borderId="0" applyFont="0" applyFill="0" applyBorder="0" applyAlignment="0" applyProtection="0"/>
    <xf numFmtId="39" fontId="12" fillId="0" borderId="0" applyFont="0" applyFill="0" applyBorder="0" applyAlignment="0" applyProtection="0"/>
    <xf numFmtId="0" fontId="26" fillId="0" borderId="0"/>
    <xf numFmtId="0" fontId="26" fillId="0" borderId="0"/>
    <xf numFmtId="0" fontId="26" fillId="0" borderId="0"/>
    <xf numFmtId="197" fontId="26" fillId="0" borderId="0"/>
    <xf numFmtId="0" fontId="26" fillId="0" borderId="0"/>
    <xf numFmtId="198" fontId="16" fillId="0" borderId="0"/>
    <xf numFmtId="0" fontId="16" fillId="0" borderId="0"/>
    <xf numFmtId="0" fontId="26" fillId="0" borderId="0"/>
    <xf numFmtId="0" fontId="12" fillId="0" borderId="0"/>
    <xf numFmtId="0" fontId="12" fillId="0" borderId="0"/>
    <xf numFmtId="0" fontId="16" fillId="0" borderId="0"/>
    <xf numFmtId="0" fontId="12" fillId="0" borderId="0"/>
    <xf numFmtId="0" fontId="26" fillId="0" borderId="0"/>
    <xf numFmtId="0" fontId="26" fillId="0" borderId="0"/>
    <xf numFmtId="197" fontId="26" fillId="0" borderId="0"/>
    <xf numFmtId="0" fontId="26" fillId="0" borderId="0"/>
    <xf numFmtId="198" fontId="16" fillId="0" borderId="0"/>
    <xf numFmtId="0" fontId="12" fillId="0" borderId="0"/>
    <xf numFmtId="0" fontId="16" fillId="0" borderId="0"/>
    <xf numFmtId="0" fontId="16" fillId="0" borderId="0"/>
    <xf numFmtId="0" fontId="12" fillId="0" borderId="0"/>
    <xf numFmtId="0" fontId="12" fillId="0" borderId="0"/>
    <xf numFmtId="0" fontId="12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199" fontId="12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199" fontId="12" fillId="0" borderId="0"/>
    <xf numFmtId="194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199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0" fontId="26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00" fontId="12" fillId="0" borderId="0"/>
    <xf numFmtId="200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26" fillId="0" borderId="0"/>
    <xf numFmtId="195" fontId="12" fillId="0" borderId="0"/>
    <xf numFmtId="0" fontId="12" fillId="0" borderId="0"/>
    <xf numFmtId="0" fontId="12" fillId="0" borderId="0" applyFont="0" applyFill="0" applyBorder="0" applyAlignment="0" applyProtection="0"/>
    <xf numFmtId="201" fontId="14" fillId="0" borderId="0" applyFont="0" applyFill="0" applyBorder="0" applyAlignment="0" applyProtection="0"/>
    <xf numFmtId="0" fontId="16" fillId="0" borderId="0" applyFont="0" applyFill="0" applyBorder="0" applyAlignment="0" applyProtection="0"/>
    <xf numFmtId="202" fontId="14" fillId="0" borderId="0" applyFont="0" applyFill="0" applyBorder="0" applyAlignment="0" applyProtection="0"/>
    <xf numFmtId="0" fontId="16" fillId="0" borderId="0" applyFont="0" applyFill="0" applyBorder="0" applyAlignment="0" applyProtection="0"/>
    <xf numFmtId="203" fontId="14" fillId="0" borderId="0" applyFont="0" applyFill="0" applyBorder="0" applyAlignment="0" applyProtection="0"/>
    <xf numFmtId="0" fontId="16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6" fillId="0" borderId="0" applyFont="0" applyFill="0" applyBorder="0" applyAlignment="0" applyProtection="0"/>
    <xf numFmtId="199" fontId="12" fillId="0" borderId="0"/>
    <xf numFmtId="180" fontId="26" fillId="0" borderId="0"/>
    <xf numFmtId="0" fontId="12" fillId="0" borderId="0"/>
    <xf numFmtId="188" fontId="26" fillId="0" borderId="0"/>
    <xf numFmtId="204" fontId="26" fillId="0" borderId="0"/>
    <xf numFmtId="204" fontId="26" fillId="0" borderId="0"/>
    <xf numFmtId="199" fontId="12" fillId="0" borderId="0"/>
    <xf numFmtId="0" fontId="26" fillId="0" borderId="0"/>
    <xf numFmtId="0" fontId="26" fillId="0" borderId="0"/>
    <xf numFmtId="199" fontId="12" fillId="0" borderId="0"/>
    <xf numFmtId="0" fontId="12" fillId="0" borderId="0"/>
    <xf numFmtId="0" fontId="12" fillId="0" borderId="0"/>
    <xf numFmtId="0" fontId="26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9" fontId="27" fillId="0" borderId="0" applyFont="0" applyFill="0" applyBorder="0" applyAlignment="0" applyProtection="0"/>
    <xf numFmtId="171" fontId="25" fillId="0" borderId="0" applyFont="0" applyFill="0" applyBorder="0" applyAlignment="0" applyProtection="0">
      <alignment horizontal="right"/>
    </xf>
    <xf numFmtId="175" fontId="28" fillId="0" borderId="0"/>
    <xf numFmtId="10" fontId="27" fillId="0" borderId="0" applyFont="0" applyFill="0" applyBorder="0" applyAlignment="0" applyProtection="0"/>
    <xf numFmtId="0" fontId="29" fillId="0" borderId="0" applyNumberFormat="0" applyBorder="0" applyAlignment="0"/>
    <xf numFmtId="0" fontId="27" fillId="0" borderId="0" applyFont="0" applyFill="0" applyBorder="0" applyAlignment="0" applyProtection="0"/>
    <xf numFmtId="3" fontId="11" fillId="0" borderId="0"/>
    <xf numFmtId="0" fontId="12" fillId="0" borderId="0" applyBorder="0"/>
    <xf numFmtId="39" fontId="30" fillId="0" borderId="0" applyFont="0" applyFill="0" applyBorder="0" applyAlignment="0" applyProtection="0"/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4" fillId="5" borderId="0" applyNumberFormat="0" applyBorder="0" applyAlignment="0" applyProtection="0"/>
    <xf numFmtId="0" fontId="24" fillId="2" borderId="0" applyNumberFormat="0" applyBorder="0" applyAlignment="0" applyProtection="0"/>
    <xf numFmtId="0" fontId="24" fillId="3" borderId="0" applyNumberFormat="0" applyBorder="0" applyAlignment="0" applyProtection="0"/>
    <xf numFmtId="205" fontId="30" fillId="0" borderId="0" applyFont="0" applyFill="0" applyBorder="0" applyAlignment="0" applyProtection="0"/>
    <xf numFmtId="0" fontId="24" fillId="6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4" fillId="3" borderId="0" applyNumberFormat="0" applyBorder="0" applyAlignment="0" applyProtection="0"/>
    <xf numFmtId="0" fontId="68" fillId="7" borderId="0" applyNumberFormat="0" applyBorder="0" applyAlignment="0" applyProtection="0"/>
    <xf numFmtId="0" fontId="68" fillId="3" borderId="0" applyNumberFormat="0" applyBorder="0" applyAlignment="0" applyProtection="0"/>
    <xf numFmtId="0" fontId="68" fillId="4" borderId="0" applyNumberFormat="0" applyBorder="0" applyAlignment="0" applyProtection="0"/>
    <xf numFmtId="0" fontId="68" fillId="8" borderId="0" applyNumberFormat="0" applyBorder="0" applyAlignment="0" applyProtection="0"/>
    <xf numFmtId="0" fontId="68" fillId="7" borderId="0" applyNumberFormat="0" applyBorder="0" applyAlignment="0" applyProtection="0"/>
    <xf numFmtId="0" fontId="68" fillId="3" borderId="0" applyNumberFormat="0" applyBorder="0" applyAlignment="0" applyProtection="0"/>
    <xf numFmtId="182" fontId="31" fillId="0" borderId="1">
      <alignment horizontal="right"/>
    </xf>
    <xf numFmtId="0" fontId="68" fillId="9" borderId="0" applyNumberFormat="0" applyBorder="0" applyAlignment="0" applyProtection="0"/>
    <xf numFmtId="0" fontId="68" fillId="10" borderId="0" applyNumberFormat="0" applyBorder="0" applyAlignment="0" applyProtection="0"/>
    <xf numFmtId="0" fontId="68" fillId="11" borderId="0" applyNumberFormat="0" applyBorder="0" applyAlignment="0" applyProtection="0"/>
    <xf numFmtId="0" fontId="68" fillId="12" borderId="0" applyNumberFormat="0" applyBorder="0" applyAlignment="0" applyProtection="0"/>
    <xf numFmtId="0" fontId="68" fillId="13" borderId="0" applyNumberFormat="0" applyBorder="0" applyAlignment="0" applyProtection="0"/>
    <xf numFmtId="0" fontId="68" fillId="14" borderId="0" applyNumberFormat="0" applyBorder="0" applyAlignment="0" applyProtection="0"/>
    <xf numFmtId="192" fontId="32" fillId="15" borderId="0" applyNumberFormat="0" applyFont="0" applyBorder="0" applyAlignment="0">
      <alignment horizontal="right"/>
    </xf>
    <xf numFmtId="206" fontId="33" fillId="15" borderId="2" applyFont="0">
      <alignment horizontal="right"/>
    </xf>
    <xf numFmtId="0" fontId="34" fillId="0" borderId="0" applyNumberFormat="0" applyFill="0" applyBorder="0" applyAlignment="0" applyProtection="0"/>
    <xf numFmtId="0" fontId="35" fillId="0" borderId="0">
      <protection locked="0"/>
    </xf>
    <xf numFmtId="0" fontId="12" fillId="0" borderId="0"/>
    <xf numFmtId="0" fontId="97" fillId="16" borderId="0" applyNumberFormat="0" applyBorder="0" applyAlignment="0" applyProtection="0"/>
    <xf numFmtId="38" fontId="34" fillId="0" borderId="0"/>
    <xf numFmtId="0" fontId="36" fillId="0" borderId="0" applyNumberFormat="0" applyFill="0" applyBorder="0" applyAlignment="0"/>
    <xf numFmtId="38" fontId="37" fillId="0" borderId="0" applyNumberFormat="0" applyBorder="0" applyAlignment="0" applyProtection="0"/>
    <xf numFmtId="177" fontId="12" fillId="0" borderId="0" applyFont="0" applyFill="0" applyBorder="0" applyAlignment="0" applyProtection="0"/>
    <xf numFmtId="2" fontId="34" fillId="17" borderId="0" applyNumberFormat="0" applyFont="0" applyBorder="0" applyAlignment="0" applyProtection="0"/>
    <xf numFmtId="0" fontId="38" fillId="0" borderId="0" applyFill="0" applyBorder="0" applyAlignment="0"/>
    <xf numFmtId="0" fontId="38" fillId="0" borderId="0" applyFill="0" applyBorder="0" applyAlignment="0"/>
    <xf numFmtId="0" fontId="39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98" fillId="18" borderId="3" applyNumberFormat="0" applyAlignment="0" applyProtection="0"/>
    <xf numFmtId="0" fontId="99" fillId="8" borderId="4" applyNumberFormat="0" applyAlignment="0" applyProtection="0"/>
    <xf numFmtId="49" fontId="40" fillId="0" borderId="0">
      <alignment horizontal="right" vertical="center"/>
    </xf>
    <xf numFmtId="49" fontId="41" fillId="0" borderId="0">
      <alignment horizontal="right" vertical="center"/>
    </xf>
    <xf numFmtId="0" fontId="23" fillId="0" borderId="0" applyNumberFormat="0" applyFont="0" applyFill="0" applyBorder="0" applyAlignment="0" applyProtection="0"/>
    <xf numFmtId="0" fontId="17" fillId="0" borderId="0" applyNumberFormat="0" applyFont="0" applyFill="0" applyBorder="0" applyAlignment="0" applyProtection="0"/>
    <xf numFmtId="0" fontId="23" fillId="0" borderId="2" applyNumberFormat="0" applyFill="0" applyProtection="0">
      <alignment horizontal="right"/>
    </xf>
    <xf numFmtId="0" fontId="38" fillId="0" borderId="0" applyFont="0" applyFill="0" applyBorder="0" applyAlignment="0" applyProtection="0"/>
    <xf numFmtId="38" fontId="26" fillId="0" borderId="0">
      <alignment horizontal="center"/>
      <protection locked="0"/>
    </xf>
    <xf numFmtId="177" fontId="12" fillId="0" borderId="5" applyFill="0" applyBorder="0" applyProtection="0"/>
    <xf numFmtId="166" fontId="19" fillId="0" borderId="0" applyFont="0" applyFill="0" applyBorder="0" applyAlignment="0" applyProtection="0"/>
    <xf numFmtId="0" fontId="42" fillId="0" borderId="0" applyNumberFormat="0" applyFill="0" applyBorder="0">
      <alignment horizontal="right"/>
    </xf>
    <xf numFmtId="0" fontId="38" fillId="0" borderId="0" applyFont="0" applyFill="0" applyBorder="0" applyAlignment="0" applyProtection="0"/>
    <xf numFmtId="38" fontId="34" fillId="0" borderId="6" applyBorder="0"/>
    <xf numFmtId="207" fontId="12" fillId="19" borderId="0" applyFont="0" applyBorder="0"/>
    <xf numFmtId="0" fontId="43" fillId="0" borderId="0"/>
    <xf numFmtId="14" fontId="24" fillId="0" borderId="0" applyFill="0" applyBorder="0" applyAlignment="0"/>
    <xf numFmtId="38" fontId="10" fillId="0" borderId="7">
      <alignment vertical="center"/>
    </xf>
    <xf numFmtId="0" fontId="27" fillId="0" borderId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17" fillId="0" borderId="0" applyNumberFormat="0" applyFont="0" applyFill="0" applyBorder="0" applyAlignment="0" applyProtection="0"/>
    <xf numFmtId="38" fontId="23" fillId="0" borderId="2" applyBorder="0" applyAlignment="0" applyProtection="0"/>
    <xf numFmtId="0" fontId="100" fillId="0" borderId="0" applyNumberFormat="0" applyFill="0" applyBorder="0" applyAlignment="0" applyProtection="0"/>
    <xf numFmtId="208" fontId="34" fillId="20" borderId="8" applyNumberFormat="0" applyFont="0" applyBorder="0" applyAlignment="0" applyProtection="0">
      <alignment horizontal="right"/>
    </xf>
    <xf numFmtId="49" fontId="40" fillId="0" borderId="0"/>
    <xf numFmtId="170" fontId="44" fillId="0" borderId="0" applyNumberFormat="0" applyFill="0" applyBorder="0" applyAlignment="0" applyProtection="0"/>
    <xf numFmtId="1" fontId="34" fillId="0" borderId="0" applyNumberFormat="0" applyBorder="0" applyAlignment="0" applyProtection="0"/>
    <xf numFmtId="12" fontId="25" fillId="0" borderId="0">
      <alignment horizontal="center"/>
    </xf>
    <xf numFmtId="38" fontId="45" fillId="0" borderId="0" applyBorder="0"/>
    <xf numFmtId="0" fontId="46" fillId="0" borderId="9" applyProtection="0">
      <alignment horizontal="center"/>
    </xf>
    <xf numFmtId="209" fontId="47" fillId="0" borderId="0">
      <alignment vertical="center"/>
    </xf>
    <xf numFmtId="0" fontId="48" fillId="0" borderId="0"/>
    <xf numFmtId="0" fontId="66" fillId="21" borderId="0" applyNumberFormat="0" applyBorder="0" applyAlignment="0" applyProtection="0"/>
    <xf numFmtId="38" fontId="13" fillId="19" borderId="0" applyNumberFormat="0" applyBorder="0" applyAlignment="0" applyProtection="0"/>
    <xf numFmtId="49" fontId="49" fillId="0" borderId="0">
      <alignment horizontal="right"/>
    </xf>
    <xf numFmtId="49" fontId="50" fillId="0" borderId="0">
      <alignment horizontal="right"/>
    </xf>
    <xf numFmtId="209" fontId="51" fillId="0" borderId="0">
      <alignment vertical="center"/>
    </xf>
    <xf numFmtId="38" fontId="52" fillId="0" borderId="0" applyBorder="0" applyAlignment="0">
      <alignment horizontal="center"/>
    </xf>
    <xf numFmtId="0" fontId="53" fillId="0" borderId="0" applyAlignment="0" applyProtection="0"/>
    <xf numFmtId="0" fontId="54" fillId="0" borderId="0" applyAlignment="0" applyProtection="0"/>
    <xf numFmtId="0" fontId="55" fillId="0" borderId="0" applyAlignment="0" applyProtection="0"/>
    <xf numFmtId="0" fontId="56" fillId="19" borderId="0"/>
    <xf numFmtId="0" fontId="57" fillId="0" borderId="10" applyNumberFormat="0" applyAlignment="0" applyProtection="0">
      <alignment horizontal="left" vertical="center"/>
    </xf>
    <xf numFmtId="0" fontId="57" fillId="0" borderId="2">
      <alignment horizontal="left" vertical="center"/>
    </xf>
    <xf numFmtId="184" fontId="58" fillId="0" borderId="0">
      <alignment horizontal="left" vertical="center"/>
    </xf>
    <xf numFmtId="0" fontId="59" fillId="0" borderId="0"/>
    <xf numFmtId="0" fontId="57" fillId="0" borderId="0"/>
    <xf numFmtId="0" fontId="60" fillId="0" borderId="0"/>
    <xf numFmtId="0" fontId="101" fillId="0" borderId="0" applyNumberFormat="0" applyFill="0" applyBorder="0" applyAlignment="0" applyProtection="0"/>
    <xf numFmtId="170" fontId="61" fillId="0" borderId="0" applyNumberFormat="0" applyFill="0" applyBorder="0" applyAlignment="0" applyProtection="0"/>
    <xf numFmtId="170" fontId="62" fillId="0" borderId="0" applyNumberFormat="0" applyFill="0" applyBorder="0" applyAlignment="0" applyProtection="0"/>
    <xf numFmtId="170" fontId="63" fillId="0" borderId="0" applyNumberFormat="0" applyFont="0" applyFill="0" applyBorder="0" applyAlignment="0">
      <alignment horizontal="left"/>
    </xf>
    <xf numFmtId="4" fontId="64" fillId="22" borderId="11"/>
    <xf numFmtId="0" fontId="65" fillId="19" borderId="12">
      <protection locked="0"/>
    </xf>
    <xf numFmtId="10" fontId="13" fillId="23" borderId="13" applyNumberFormat="0" applyBorder="0" applyAlignment="0" applyProtection="0"/>
    <xf numFmtId="0" fontId="10" fillId="24" borderId="0" applyNumberFormat="0" applyFont="0" applyBorder="0" applyAlignment="0" applyProtection="0"/>
    <xf numFmtId="185" fontId="66" fillId="0" borderId="14" applyBorder="0">
      <protection locked="0"/>
    </xf>
    <xf numFmtId="3" fontId="67" fillId="0" borderId="15" applyNumberFormat="0" applyBorder="0" applyAlignment="0"/>
    <xf numFmtId="10" fontId="68" fillId="25" borderId="16" applyNumberForma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102" fillId="0" borderId="17" applyNumberFormat="0" applyFill="0" applyAlignment="0" applyProtection="0"/>
    <xf numFmtId="0" fontId="69" fillId="0" borderId="0" applyNumberFormat="0" applyBorder="0" applyAlignment="0" applyProtection="0"/>
    <xf numFmtId="0" fontId="70" fillId="0" borderId="0"/>
    <xf numFmtId="0" fontId="71" fillId="0" borderId="0">
      <alignment horizontal="right"/>
    </xf>
    <xf numFmtId="0" fontId="103" fillId="4" borderId="0" applyNumberFormat="0" applyBorder="0" applyAlignment="0" applyProtection="0"/>
    <xf numFmtId="0" fontId="72" fillId="26" borderId="0" applyNumberFormat="0" applyFont="0" applyBorder="0" applyAlignment="0">
      <protection hidden="1"/>
    </xf>
    <xf numFmtId="0" fontId="66" fillId="0" borderId="18" applyNumberFormat="0" applyAlignment="0"/>
    <xf numFmtId="1" fontId="73" fillId="0" borderId="0"/>
    <xf numFmtId="37" fontId="74" fillId="0" borderId="0"/>
    <xf numFmtId="0" fontId="26" fillId="0" borderId="0" applyFont="0" applyFill="0" applyBorder="0" applyAlignment="0" applyProtection="0"/>
    <xf numFmtId="4" fontId="15" fillId="0" borderId="0"/>
    <xf numFmtId="182" fontId="10" fillId="0" borderId="1">
      <alignment horizontal="right"/>
    </xf>
    <xf numFmtId="186" fontId="75" fillId="0" borderId="0"/>
    <xf numFmtId="38" fontId="27" fillId="0" borderId="6" applyBorder="0"/>
    <xf numFmtId="2" fontId="10" fillId="0" borderId="0" applyBorder="0" applyProtection="0"/>
    <xf numFmtId="0" fontId="12" fillId="0" borderId="0"/>
    <xf numFmtId="0" fontId="19" fillId="0" borderId="0"/>
    <xf numFmtId="178" fontId="19" fillId="0" borderId="0"/>
    <xf numFmtId="0" fontId="24" fillId="4" borderId="19" applyNumberFormat="0" applyFont="0" applyAlignment="0" applyProtection="0"/>
    <xf numFmtId="0" fontId="76" fillId="0" borderId="6"/>
    <xf numFmtId="14" fontId="13" fillId="0" borderId="0" applyFont="0" applyFill="0" applyBorder="0" applyAlignment="0" applyProtection="0"/>
    <xf numFmtId="0" fontId="27" fillId="0" borderId="0"/>
    <xf numFmtId="190" fontId="77" fillId="0" borderId="0" applyFill="0" applyBorder="0">
      <alignment horizontal="right" vertical="center"/>
    </xf>
    <xf numFmtId="189" fontId="78" fillId="0" borderId="0">
      <alignment horizontal="right"/>
    </xf>
    <xf numFmtId="0" fontId="79" fillId="0" borderId="0" applyNumberFormat="0" applyFont="0" applyAlignment="0"/>
    <xf numFmtId="191" fontId="43" fillId="0" borderId="0" applyFill="0" applyBorder="0" applyProtection="0">
      <alignment horizontal="right" vertical="center"/>
    </xf>
    <xf numFmtId="0" fontId="104" fillId="18" borderId="20" applyNumberFormat="0" applyAlignment="0" applyProtection="0"/>
    <xf numFmtId="0" fontId="80" fillId="0" borderId="0"/>
    <xf numFmtId="0" fontId="81" fillId="0" borderId="0" applyNumberFormat="0" applyFill="0" applyBorder="0">
      <alignment horizontal="left"/>
    </xf>
    <xf numFmtId="171" fontId="12" fillId="0" borderId="0" applyFill="0"/>
    <xf numFmtId="9" fontId="10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12" fillId="0" borderId="0" applyFont="0" applyFill="0" applyBorder="0" applyAlignment="0" applyProtection="0"/>
    <xf numFmtId="10" fontId="12" fillId="0" borderId="0" applyFont="0" applyFill="0" applyBorder="0" applyAlignment="0" applyProtection="0"/>
    <xf numFmtId="38" fontId="27" fillId="0" borderId="6" applyBorder="0"/>
    <xf numFmtId="175" fontId="16" fillId="0" borderId="5" applyFill="0" applyBorder="0" applyProtection="0"/>
    <xf numFmtId="38" fontId="13" fillId="0" borderId="0" applyFill="0" applyBorder="0" applyAlignment="0" applyProtection="0">
      <alignment horizontal="right"/>
    </xf>
    <xf numFmtId="0" fontId="82" fillId="0" borderId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83" fillId="0" borderId="0"/>
    <xf numFmtId="184" fontId="73" fillId="0" borderId="0" applyFill="0" applyBorder="0" applyAlignment="0" applyProtection="0"/>
    <xf numFmtId="38" fontId="12" fillId="0" borderId="0" applyNumberFormat="0" applyBorder="0" applyAlignment="0" applyProtection="0"/>
    <xf numFmtId="171" fontId="10" fillId="10" borderId="21" applyNumberFormat="0" applyFont="0" applyBorder="0" applyAlignment="0" applyProtection="0">
      <alignment horizontal="center"/>
    </xf>
    <xf numFmtId="38" fontId="12" fillId="1" borderId="0">
      <alignment horizontal="right"/>
    </xf>
    <xf numFmtId="38" fontId="12" fillId="1" borderId="0">
      <alignment horizontal="right"/>
    </xf>
    <xf numFmtId="38" fontId="12" fillId="1" borderId="0">
      <alignment horizontal="right"/>
    </xf>
    <xf numFmtId="1" fontId="83" fillId="27" borderId="0" applyNumberFormat="0" applyFont="0" applyBorder="0" applyAlignment="0">
      <alignment horizontal="left"/>
    </xf>
    <xf numFmtId="0" fontId="25" fillId="28" borderId="0" applyNumberFormat="0" applyFont="0" applyBorder="0" applyAlignment="0" applyProtection="0"/>
    <xf numFmtId="3" fontId="23" fillId="19" borderId="22" applyFont="0" applyFill="0" applyBorder="0" applyAlignment="0" applyProtection="0"/>
    <xf numFmtId="4" fontId="23" fillId="19" borderId="22" applyFont="0" applyFill="0" applyBorder="0" applyAlignment="0" applyProtection="0"/>
    <xf numFmtId="187" fontId="23" fillId="19" borderId="22" applyFont="0" applyFill="0" applyBorder="0" applyAlignment="0" applyProtection="0"/>
    <xf numFmtId="188" fontId="23" fillId="19" borderId="23" applyFont="0" applyFill="0" applyBorder="0" applyAlignment="0" applyProtection="0"/>
    <xf numFmtId="10" fontId="23" fillId="19" borderId="22" applyFont="0" applyFill="0" applyBorder="0" applyAlignment="0" applyProtection="0"/>
    <xf numFmtId="9" fontId="23" fillId="19" borderId="22" applyFont="0" applyFill="0" applyBorder="0" applyAlignment="0" applyProtection="0"/>
    <xf numFmtId="2" fontId="23" fillId="19" borderId="22" applyFont="0" applyFill="0" applyBorder="0" applyAlignment="0" applyProtection="0"/>
    <xf numFmtId="0" fontId="12" fillId="0" borderId="0" applyFont="0" applyFill="0" applyBorder="0" applyAlignment="0" applyProtection="0"/>
    <xf numFmtId="210" fontId="84" fillId="0" borderId="0" applyNumberFormat="0" applyFill="0" applyBorder="0" applyAlignment="0" applyProtection="0">
      <alignment horizontal="right" vertical="center" wrapText="1"/>
    </xf>
    <xf numFmtId="0" fontId="85" fillId="0" borderId="0" applyNumberFormat="0" applyFill="0" applyBorder="0" applyAlignment="0" applyProtection="0"/>
    <xf numFmtId="0" fontId="86" fillId="0" borderId="0" applyNumberFormat="0" applyFill="0" applyBorder="0" applyAlignment="0" applyProtection="0">
      <protection locked="0"/>
    </xf>
    <xf numFmtId="0" fontId="87" fillId="0" borderId="8" applyNumberFormat="0" applyFill="0" applyProtection="0">
      <alignment horizontal="right"/>
    </xf>
    <xf numFmtId="3" fontId="88" fillId="0" borderId="0"/>
    <xf numFmtId="0" fontId="87" fillId="0" borderId="24" applyNumberFormat="0" applyProtection="0">
      <alignment horizontal="right"/>
    </xf>
    <xf numFmtId="0" fontId="89" fillId="0" borderId="9" applyNumberFormat="0" applyFill="0" applyProtection="0"/>
    <xf numFmtId="0" fontId="90" fillId="0" borderId="0">
      <alignment vertical="center"/>
    </xf>
    <xf numFmtId="0" fontId="91" fillId="0" borderId="0">
      <alignment vertical="center"/>
    </xf>
    <xf numFmtId="0" fontId="51" fillId="0" borderId="0">
      <alignment vertical="center"/>
    </xf>
    <xf numFmtId="0" fontId="92" fillId="0" borderId="0" applyNumberFormat="0" applyFont="0" applyFill="0" applyBorder="0" applyAlignment="0" applyProtection="0"/>
    <xf numFmtId="0" fontId="78" fillId="0" borderId="0" applyFill="0" applyBorder="0">
      <alignment vertical="center"/>
    </xf>
    <xf numFmtId="49" fontId="24" fillId="0" borderId="0" applyFill="0" applyBorder="0" applyAlignment="0"/>
    <xf numFmtId="0" fontId="38" fillId="0" borderId="0" applyFill="0" applyBorder="0" applyAlignment="0"/>
    <xf numFmtId="0" fontId="38" fillId="0" borderId="0" applyFill="0" applyBorder="0" applyAlignment="0"/>
    <xf numFmtId="0" fontId="43" fillId="0" borderId="0">
      <alignment vertical="center"/>
    </xf>
    <xf numFmtId="0" fontId="16" fillId="0" borderId="0" applyNumberFormat="0" applyProtection="0"/>
    <xf numFmtId="0" fontId="93" fillId="0" borderId="9" applyAlignment="0"/>
    <xf numFmtId="0" fontId="43" fillId="0" borderId="25" applyAlignment="0"/>
    <xf numFmtId="3" fontId="38" fillId="0" borderId="0" applyFill="0" applyBorder="0" applyAlignment="0" applyProtection="0"/>
    <xf numFmtId="0" fontId="105" fillId="0" borderId="0" applyNumberFormat="0" applyFill="0" applyBorder="0" applyAlignment="0" applyProtection="0"/>
    <xf numFmtId="0" fontId="27" fillId="0" borderId="26" applyNumberFormat="0" applyFont="0" applyFill="0" applyAlignment="0" applyProtection="0"/>
    <xf numFmtId="0" fontId="16" fillId="0" borderId="0"/>
    <xf numFmtId="0" fontId="94" fillId="0" borderId="9" applyNumberFormat="0" applyFill="0" applyProtection="0"/>
    <xf numFmtId="4" fontId="95" fillId="29" borderId="27"/>
    <xf numFmtId="181" fontId="73" fillId="0" borderId="0" applyFont="0" applyFill="0" applyBorder="0" applyAlignment="0" applyProtection="0"/>
    <xf numFmtId="37" fontId="73" fillId="0" borderId="0" applyFont="0" applyFill="0" applyBorder="0" applyAlignment="0" applyProtection="0"/>
    <xf numFmtId="0" fontId="106" fillId="0" borderId="0" applyNumberFormat="0" applyFill="0" applyBorder="0" applyAlignment="0" applyProtection="0"/>
    <xf numFmtId="1" fontId="46" fillId="0" borderId="2" applyFill="0" applyProtection="0">
      <alignment horizontal="right"/>
    </xf>
    <xf numFmtId="0" fontId="96" fillId="0" borderId="0">
      <protection hidden="1"/>
    </xf>
    <xf numFmtId="0" fontId="9" fillId="0" borderId="0"/>
    <xf numFmtId="0" fontId="111" fillId="35" borderId="0" applyNumberFormat="0" applyBorder="0" applyAlignment="0" applyProtection="0"/>
    <xf numFmtId="0" fontId="112" fillId="36" borderId="0" applyNumberFormat="0" applyBorder="0" applyAlignment="0" applyProtection="0"/>
    <xf numFmtId="0" fontId="113" fillId="37" borderId="0" applyNumberFormat="0" applyBorder="0" applyAlignment="0" applyProtection="0"/>
    <xf numFmtId="0" fontId="114" fillId="38" borderId="36" applyNumberFormat="0" applyAlignment="0" applyProtection="0"/>
    <xf numFmtId="212" fontId="115" fillId="0" borderId="0" applyFont="0" applyFill="0" applyBorder="0" applyAlignment="0" applyProtection="0"/>
    <xf numFmtId="213" fontId="115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15" fillId="0" borderId="0" applyFont="0" applyFill="0" applyBorder="0" applyAlignment="0" applyProtection="0"/>
    <xf numFmtId="214" fontId="115" fillId="0" borderId="0" applyFont="0" applyFill="0" applyBorder="0" applyAlignment="0" applyProtection="0"/>
    <xf numFmtId="214" fontId="115" fillId="0" borderId="0" applyFont="0" applyFill="0" applyBorder="0" applyAlignment="0" applyProtection="0"/>
    <xf numFmtId="214" fontId="116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17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15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214" fontId="115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15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214" fontId="115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4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16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17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15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15" fillId="0" borderId="0" applyFont="0" applyFill="0" applyBorder="0" applyAlignment="0" applyProtection="0"/>
    <xf numFmtId="215" fontId="115" fillId="0" borderId="0" applyFont="0" applyFill="0" applyBorder="0" applyAlignment="0" applyProtection="0"/>
    <xf numFmtId="215" fontId="115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15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15" fillId="0" borderId="0" applyFont="0" applyFill="0" applyBorder="0" applyAlignment="0" applyProtection="0"/>
    <xf numFmtId="216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5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16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17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15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15" fillId="0" borderId="0" applyFont="0" applyFill="0" applyBorder="0" applyAlignment="0" applyProtection="0"/>
    <xf numFmtId="217" fontId="115" fillId="0" borderId="0" applyFont="0" applyFill="0" applyBorder="0" applyAlignment="0" applyProtection="0"/>
    <xf numFmtId="217" fontId="115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15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15" fillId="0" borderId="0" applyFont="0" applyFill="0" applyBorder="0" applyAlignment="0" applyProtection="0"/>
    <xf numFmtId="39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7" fontId="12" fillId="0" borderId="0" applyFont="0" applyFill="0" applyBorder="0" applyAlignment="0" applyProtection="0"/>
    <xf numFmtId="216" fontId="12" fillId="0" borderId="0" applyFont="0" applyFill="0" applyBorder="0" applyAlignment="0" applyProtection="0"/>
    <xf numFmtId="218" fontId="115" fillId="0" borderId="0" applyFont="0" applyFill="0" applyBorder="0" applyAlignment="0" applyProtection="0"/>
    <xf numFmtId="0" fontId="118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5" fillId="4" borderId="0" applyNumberFormat="0" applyFont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16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17" fillId="0" borderId="0" applyFont="0" applyFill="0" applyBorder="0" applyAlignment="0" applyProtection="0"/>
    <xf numFmtId="221" fontId="12" fillId="0" borderId="0" applyFont="0" applyFill="0" applyBorder="0" applyAlignment="0" applyProtection="0"/>
    <xf numFmtId="221" fontId="12" fillId="0" borderId="0" applyFont="0" applyFill="0" applyBorder="0" applyAlignment="0" applyProtection="0"/>
    <xf numFmtId="221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15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15" fillId="0" borderId="0" applyFont="0" applyFill="0" applyBorder="0" applyAlignment="0" applyProtection="0"/>
    <xf numFmtId="219" fontId="115" fillId="0" borderId="0" applyFont="0" applyFill="0" applyBorder="0" applyAlignment="0" applyProtection="0"/>
    <xf numFmtId="219" fontId="115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15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15" fillId="0" borderId="0" applyFont="0" applyFill="0" applyBorder="0" applyAlignment="0" applyProtection="0"/>
    <xf numFmtId="220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19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2" fontId="12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2" fontId="116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2" fontId="117" fillId="0" borderId="0" applyFont="0" applyFill="0" applyBorder="0" applyProtection="0">
      <alignment horizontal="right"/>
    </xf>
    <xf numFmtId="224" fontId="12" fillId="0" borderId="0" applyFont="0" applyFill="0" applyBorder="0" applyAlignment="0" applyProtection="0"/>
    <xf numFmtId="224" fontId="12" fillId="0" borderId="0" applyFont="0" applyFill="0" applyBorder="0" applyAlignment="0" applyProtection="0"/>
    <xf numFmtId="224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3" fontId="12" fillId="0" borderId="0" applyFont="0" applyFill="0" applyBorder="0" applyAlignment="0" applyProtection="0"/>
    <xf numFmtId="222" fontId="115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2" fontId="12" fillId="0" borderId="0" applyFont="0" applyFill="0" applyBorder="0" applyProtection="0">
      <alignment horizontal="right"/>
    </xf>
    <xf numFmtId="222" fontId="115" fillId="0" borderId="0" applyFont="0" applyFill="0" applyBorder="0" applyProtection="0">
      <alignment horizontal="right"/>
    </xf>
    <xf numFmtId="222" fontId="115" fillId="0" borderId="0" applyFont="0" applyFill="0" applyBorder="0" applyProtection="0">
      <alignment horizontal="right"/>
    </xf>
    <xf numFmtId="222" fontId="115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15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15" fillId="0" borderId="0" applyFont="0" applyFill="0" applyBorder="0" applyProtection="0">
      <alignment horizontal="right"/>
    </xf>
    <xf numFmtId="223" fontId="12" fillId="0" borderId="0" applyFont="0" applyFill="0" applyBorder="0" applyAlignment="0" applyProtection="0"/>
    <xf numFmtId="222" fontId="12" fillId="0" borderId="0" applyFont="0" applyFill="0" applyBorder="0" applyProtection="0">
      <alignment horizontal="right"/>
    </xf>
    <xf numFmtId="222" fontId="12" fillId="0" borderId="0" applyFont="0" applyFill="0" applyBorder="0" applyProtection="0">
      <alignment horizontal="right"/>
    </xf>
    <xf numFmtId="222" fontId="12" fillId="0" borderId="0" applyFont="0" applyFill="0" applyBorder="0" applyProtection="0">
      <alignment horizontal="right"/>
    </xf>
    <xf numFmtId="212" fontId="12" fillId="0" borderId="0" applyFont="0" applyFill="0" applyBorder="0" applyProtection="0">
      <alignment horizontal="right"/>
    </xf>
    <xf numFmtId="212" fontId="12" fillId="0" borderId="0" applyFont="0" applyFill="0" applyBorder="0" applyAlignment="0" applyProtection="0"/>
    <xf numFmtId="212" fontId="12" fillId="0" borderId="0" applyFont="0" applyFill="0" applyBorder="0" applyAlignment="0" applyProtection="0"/>
    <xf numFmtId="212" fontId="12" fillId="0" borderId="0" applyFont="0" applyFill="0" applyBorder="0" applyAlignment="0" applyProtection="0"/>
    <xf numFmtId="213" fontId="12" fillId="0" borderId="0" applyFont="0" applyFill="0" applyBorder="0" applyProtection="0">
      <alignment horizontal="right"/>
    </xf>
    <xf numFmtId="213" fontId="12" fillId="0" borderId="0" applyFont="0" applyFill="0" applyBorder="0" applyProtection="0">
      <alignment horizontal="right"/>
    </xf>
    <xf numFmtId="213" fontId="12" fillId="0" borderId="0" applyFont="0" applyFill="0" applyBorder="0" applyAlignment="0" applyProtection="0"/>
    <xf numFmtId="213" fontId="12" fillId="0" borderId="0" applyFont="0" applyFill="0" applyBorder="0" applyAlignment="0" applyProtection="0"/>
    <xf numFmtId="213" fontId="12" fillId="0" borderId="0" applyFont="0" applyFill="0" applyBorder="0" applyAlignment="0" applyProtection="0"/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Alignment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19" fillId="0" borderId="0" applyNumberFormat="0" applyFill="0" applyBorder="0" applyProtection="0">
      <alignment vertical="top"/>
    </xf>
    <xf numFmtId="0" fontId="120" fillId="0" borderId="37" applyNumberFormat="0" applyFill="0" applyAlignment="0" applyProtection="0"/>
    <xf numFmtId="0" fontId="120" fillId="0" borderId="37" applyNumberFormat="0" applyFill="0" applyAlignment="0" applyProtection="0"/>
    <xf numFmtId="0" fontId="120" fillId="0" borderId="38" applyNumberFormat="0" applyFill="0" applyAlignment="0" applyProtection="0"/>
    <xf numFmtId="0" fontId="120" fillId="0" borderId="37" applyNumberFormat="0" applyFill="0" applyAlignment="0" applyProtection="0"/>
    <xf numFmtId="0" fontId="120" fillId="0" borderId="37" applyNumberFormat="0" applyFill="0" applyAlignment="0" applyProtection="0"/>
    <xf numFmtId="0" fontId="121" fillId="0" borderId="39" applyNumberFormat="0" applyFill="0" applyProtection="0">
      <alignment horizontal="center"/>
    </xf>
    <xf numFmtId="0" fontId="121" fillId="0" borderId="0" applyNumberFormat="0" applyFill="0" applyBorder="0" applyProtection="0">
      <alignment horizontal="left"/>
    </xf>
    <xf numFmtId="0" fontId="122" fillId="0" borderId="0" applyNumberFormat="0" applyFill="0" applyBorder="0" applyProtection="0">
      <alignment horizontal="centerContinuous"/>
    </xf>
    <xf numFmtId="0" fontId="122" fillId="0" borderId="0" applyNumberFormat="0" applyFill="0" applyBorder="0" applyProtection="0">
      <alignment horizontal="centerContinuous"/>
    </xf>
    <xf numFmtId="0" fontId="122" fillId="0" borderId="0" applyNumberFormat="0" applyFill="0" applyProtection="0">
      <alignment horizontal="centerContinuous"/>
    </xf>
    <xf numFmtId="0" fontId="122" fillId="0" borderId="0" applyNumberFormat="0" applyFill="0" applyBorder="0" applyProtection="0">
      <alignment horizontal="centerContinuous"/>
    </xf>
    <xf numFmtId="0" fontId="122" fillId="0" borderId="0" applyNumberFormat="0" applyFill="0" applyBorder="0" applyProtection="0">
      <alignment horizontal="centerContinuous"/>
    </xf>
    <xf numFmtId="0" fontId="123" fillId="0" borderId="0"/>
    <xf numFmtId="2" fontId="124" fillId="0" borderId="0" applyNumberFormat="0" applyBorder="0" applyAlignment="0"/>
    <xf numFmtId="170" fontId="125" fillId="0" borderId="0"/>
    <xf numFmtId="0" fontId="99" fillId="33" borderId="40">
      <alignment horizontal="center"/>
    </xf>
    <xf numFmtId="186" fontId="13" fillId="39" borderId="0" applyNumberFormat="0" applyFont="0" applyBorder="0" applyAlignment="0">
      <protection locked="0"/>
    </xf>
    <xf numFmtId="0" fontId="13" fillId="0" borderId="0" applyNumberFormat="0" applyFill="0" applyBorder="0" applyAlignment="0" applyProtection="0"/>
    <xf numFmtId="0" fontId="126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186" fontId="127" fillId="0" borderId="0" applyNumberFormat="0" applyFill="0" applyBorder="0" applyProtection="0">
      <alignment horizontal="right"/>
    </xf>
    <xf numFmtId="225" fontId="12" fillId="0" borderId="0">
      <protection locked="0"/>
    </xf>
    <xf numFmtId="38" fontId="128" fillId="0" borderId="0" applyNumberFormat="0" applyFill="0" applyBorder="0">
      <alignment vertical="center"/>
    </xf>
    <xf numFmtId="8" fontId="129" fillId="0" borderId="41">
      <protection locked="0"/>
    </xf>
    <xf numFmtId="225" fontId="12" fillId="0" borderId="0">
      <protection locked="0"/>
    </xf>
    <xf numFmtId="14" fontId="130" fillId="0" borderId="0">
      <alignment horizontal="right"/>
    </xf>
    <xf numFmtId="0" fontId="14" fillId="0" borderId="0"/>
    <xf numFmtId="0" fontId="124" fillId="0" borderId="0" applyNumberFormat="0" applyAlignment="0"/>
    <xf numFmtId="175" fontId="131" fillId="0" borderId="0" applyNumberFormat="0" applyFont="0" applyAlignment="0">
      <alignment vertical="center"/>
    </xf>
    <xf numFmtId="225" fontId="12" fillId="0" borderId="0">
      <protection locked="0"/>
    </xf>
    <xf numFmtId="0" fontId="49" fillId="0" borderId="0" applyNumberFormat="0" applyFill="0" applyBorder="0" applyAlignment="0" applyProtection="0"/>
    <xf numFmtId="226" fontId="12" fillId="0" borderId="0" applyNumberFormat="0" applyFill="0" applyBorder="0" applyAlignment="0" applyProtection="0"/>
    <xf numFmtId="0" fontId="132" fillId="0" borderId="0"/>
    <xf numFmtId="38" fontId="133" fillId="0" borderId="0" applyNumberFormat="0" applyFill="0" applyBorder="0">
      <alignment horizontal="left" vertical="center"/>
    </xf>
    <xf numFmtId="175" fontId="134" fillId="0" borderId="0" applyFill="0" applyBorder="0">
      <alignment vertical="center"/>
    </xf>
    <xf numFmtId="0" fontId="135" fillId="40" borderId="0"/>
    <xf numFmtId="227" fontId="12" fillId="0" borderId="0" applyFon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226" fontId="12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3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6" fillId="0" borderId="0">
      <alignment horizontal="left" vertical="top"/>
      <protection locked="0"/>
    </xf>
    <xf numFmtId="187" fontId="12" fillId="0" borderId="0" applyFill="0">
      <alignment horizontal="center" vertical="center"/>
    </xf>
    <xf numFmtId="228" fontId="12" fillId="0" borderId="0"/>
    <xf numFmtId="0" fontId="88" fillId="0" borderId="0" applyNumberFormat="0" applyAlignment="0"/>
    <xf numFmtId="170" fontId="12" fillId="0" borderId="0" applyFill="0" applyBorder="0" applyAlignment="0" applyProtection="0"/>
    <xf numFmtId="182" fontId="73" fillId="0" borderId="0">
      <alignment vertical="top"/>
    </xf>
    <xf numFmtId="37" fontId="27" fillId="1" borderId="0">
      <alignment horizontal="right"/>
    </xf>
    <xf numFmtId="2" fontId="137" fillId="0" borderId="0"/>
    <xf numFmtId="1" fontId="12" fillId="0" borderId="0"/>
    <xf numFmtId="0" fontId="12" fillId="0" borderId="0">
      <alignment vertical="top"/>
    </xf>
    <xf numFmtId="0" fontId="12" fillId="0" borderId="0">
      <alignment vertical="top"/>
    </xf>
    <xf numFmtId="6" fontId="133" fillId="0" borderId="42" applyFill="0">
      <alignment vertical="center"/>
    </xf>
    <xf numFmtId="229" fontId="13" fillId="0" borderId="0"/>
    <xf numFmtId="39" fontId="17" fillId="0" borderId="2" applyNumberFormat="0" applyBorder="0">
      <alignment horizontal="right"/>
    </xf>
    <xf numFmtId="0" fontId="138" fillId="0" borderId="0" applyNumberFormat="0">
      <alignment horizontal="left"/>
    </xf>
    <xf numFmtId="0" fontId="139" fillId="0" borderId="0" applyFill="0" applyBorder="0" applyProtection="0">
      <alignment horizontal="left" vertical="top"/>
    </xf>
    <xf numFmtId="14" fontId="12" fillId="0" borderId="0" applyFill="0" applyBorder="0">
      <alignment vertical="center"/>
    </xf>
    <xf numFmtId="0" fontId="57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38" fontId="140" fillId="0" borderId="0" applyNumberFormat="0" applyFill="0" applyBorder="0">
      <alignment horizontal="left" vertical="center"/>
    </xf>
    <xf numFmtId="38" fontId="141" fillId="0" borderId="0" applyNumberFormat="0" applyFill="0" applyBorder="0">
      <alignment horizontal="centerContinuous" vertical="center"/>
    </xf>
    <xf numFmtId="0" fontId="142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171" fontId="124" fillId="0" borderId="0" applyNumberFormat="0" applyBorder="0" applyAlignment="0"/>
    <xf numFmtId="169" fontId="12" fillId="0" borderId="0" applyFill="0" applyBorder="0">
      <alignment vertical="center"/>
    </xf>
    <xf numFmtId="0" fontId="18" fillId="0" borderId="0"/>
    <xf numFmtId="0" fontId="11" fillId="0" borderId="0" applyFont="0"/>
    <xf numFmtId="9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12" fillId="0" borderId="0"/>
    <xf numFmtId="0" fontId="12" fillId="0" borderId="0"/>
    <xf numFmtId="0" fontId="7" fillId="0" borderId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12" fillId="0" borderId="0" applyFont="0" applyFill="0" applyBorder="0" applyAlignment="0" applyProtection="0"/>
    <xf numFmtId="232" fontId="106" fillId="0" borderId="0"/>
    <xf numFmtId="0" fontId="145" fillId="0" borderId="0"/>
    <xf numFmtId="233" fontId="145" fillId="0" borderId="0">
      <alignment horizontal="right"/>
    </xf>
    <xf numFmtId="234" fontId="145" fillId="19" borderId="0"/>
    <xf numFmtId="235" fontId="145" fillId="19" borderId="0"/>
    <xf numFmtId="236" fontId="145" fillId="19" borderId="0"/>
    <xf numFmtId="237" fontId="145" fillId="19" borderId="0">
      <alignment horizontal="right"/>
    </xf>
    <xf numFmtId="0" fontId="12" fillId="0" borderId="0"/>
    <xf numFmtId="238" fontId="10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/>
    <xf numFmtId="239" fontId="146" fillId="0" borderId="0" applyFont="0" applyFill="0" applyBorder="0" applyAlignment="0" applyProtection="0"/>
    <xf numFmtId="0" fontId="12" fillId="0" borderId="0"/>
    <xf numFmtId="0" fontId="147" fillId="0" borderId="0"/>
    <xf numFmtId="0" fontId="148" fillId="0" borderId="0" applyNumberFormat="0" applyFont="0" applyFill="0" applyBorder="0" applyAlignment="0" applyProtection="0"/>
    <xf numFmtId="211" fontId="12" fillId="0" borderId="0" applyFont="0" applyFill="0" applyBorder="0" applyAlignment="0"/>
    <xf numFmtId="14" fontId="10" fillId="0" borderId="0"/>
    <xf numFmtId="0" fontId="12" fillId="0" borderId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39" applyNumberFormat="0" applyFill="0" applyProtection="0">
      <alignment horizontal="center"/>
    </xf>
    <xf numFmtId="0" fontId="12" fillId="0" borderId="39" applyNumberFormat="0" applyFill="0" applyProtection="0">
      <alignment horizontal="center"/>
    </xf>
    <xf numFmtId="0" fontId="12" fillId="0" borderId="44" applyNumberFormat="0" applyFont="0" applyFill="0" applyAlignment="0" applyProtection="0"/>
    <xf numFmtId="0" fontId="12" fillId="0" borderId="0" applyNumberFormat="0" applyFill="0" applyBorder="0" applyProtection="0">
      <alignment horizontal="left"/>
    </xf>
    <xf numFmtId="0" fontId="12" fillId="0" borderId="0" applyNumberFormat="0" applyFill="0" applyBorder="0" applyProtection="0">
      <alignment horizontal="left"/>
    </xf>
    <xf numFmtId="0" fontId="12" fillId="0" borderId="0" applyNumberFormat="0" applyFill="0" applyBorder="0" applyProtection="0">
      <alignment horizontal="centerContinuous"/>
    </xf>
    <xf numFmtId="0" fontId="12" fillId="0" borderId="0" applyNumberFormat="0" applyFill="0" applyBorder="0" applyProtection="0">
      <alignment horizontal="centerContinuous"/>
    </xf>
    <xf numFmtId="240" fontId="149" fillId="0" borderId="0" applyFont="0" applyFill="0" applyBorder="0" applyAlignment="0" applyProtection="0"/>
    <xf numFmtId="241" fontId="149" fillId="0" borderId="0" applyFont="0" applyFill="0" applyBorder="0" applyAlignment="0" applyProtection="0"/>
    <xf numFmtId="0" fontId="73" fillId="0" borderId="0"/>
    <xf numFmtId="0" fontId="13" fillId="0" borderId="45" applyNumberFormat="0" applyFill="0" applyAlignment="0" applyProtection="0"/>
    <xf numFmtId="242" fontId="150" fillId="0" borderId="0" applyFont="0" applyFill="0" applyBorder="0" applyAlignment="0" applyProtection="0"/>
    <xf numFmtId="0" fontId="151" fillId="0" borderId="46">
      <alignment horizontal="left"/>
    </xf>
    <xf numFmtId="0" fontId="152" fillId="0" borderId="46">
      <alignment horizontal="left" wrapText="1"/>
    </xf>
    <xf numFmtId="0" fontId="99" fillId="33" borderId="40">
      <alignment horizontal="center"/>
    </xf>
    <xf numFmtId="0" fontId="99" fillId="33" borderId="40">
      <alignment horizontal="center"/>
    </xf>
    <xf numFmtId="182" fontId="22" fillId="0" borderId="0"/>
    <xf numFmtId="0" fontId="53" fillId="0" borderId="9" applyNumberFormat="0" applyFill="0" applyAlignment="0" applyProtection="0"/>
    <xf numFmtId="0" fontId="53" fillId="0" borderId="9" applyNumberFormat="0" applyFill="0" applyAlignment="0" applyProtection="0"/>
    <xf numFmtId="37" fontId="153" fillId="0" borderId="0"/>
    <xf numFmtId="37" fontId="154" fillId="0" borderId="0"/>
    <xf numFmtId="243" fontId="155" fillId="0" borderId="28" applyNumberFormat="0" applyFill="0" applyAlignment="0" applyProtection="0">
      <alignment horizontal="center"/>
    </xf>
    <xf numFmtId="243" fontId="155" fillId="0" borderId="28" applyNumberFormat="0" applyFill="0" applyAlignment="0" applyProtection="0">
      <alignment horizontal="center"/>
    </xf>
    <xf numFmtId="7" fontId="30" fillId="0" borderId="44"/>
    <xf numFmtId="244" fontId="155" fillId="0" borderId="9" applyFill="0" applyAlignment="0" applyProtection="0">
      <alignment horizontal="center"/>
    </xf>
    <xf numFmtId="244" fontId="155" fillId="0" borderId="9" applyFill="0" applyAlignment="0" applyProtection="0">
      <alignment horizontal="center"/>
    </xf>
    <xf numFmtId="7" fontId="12" fillId="0" borderId="0"/>
    <xf numFmtId="245" fontId="149" fillId="0" borderId="0" applyFont="0" applyFill="0" applyBorder="0" applyAlignment="0" applyProtection="0"/>
    <xf numFmtId="242" fontId="156" fillId="0" borderId="0" applyFont="0" applyFill="0" applyBorder="0" applyAlignment="0" applyProtection="0"/>
    <xf numFmtId="0" fontId="152" fillId="0" borderId="0">
      <alignment horizontal="right" vertical="center"/>
    </xf>
    <xf numFmtId="0" fontId="151" fillId="0" borderId="0">
      <alignment horizontal="center" vertical="center" wrapText="1"/>
    </xf>
    <xf numFmtId="1" fontId="157" fillId="0" borderId="0"/>
    <xf numFmtId="0" fontId="12" fillId="0" borderId="9" applyNumberFormat="0" applyFill="0" applyBorder="0" applyAlignment="0" applyProtection="0">
      <alignment horizontal="center"/>
    </xf>
    <xf numFmtId="0" fontId="12" fillId="0" borderId="9" applyNumberFormat="0" applyFill="0" applyBorder="0" applyAlignment="0" applyProtection="0">
      <alignment horizontal="center"/>
    </xf>
    <xf numFmtId="246" fontId="12" fillId="0" borderId="9">
      <alignment horizontal="right"/>
    </xf>
    <xf numFmtId="246" fontId="12" fillId="0" borderId="9">
      <alignment horizontal="right"/>
    </xf>
    <xf numFmtId="0" fontId="10" fillId="0" borderId="0">
      <alignment horizontal="center" wrapText="1"/>
      <protection hidden="1"/>
    </xf>
    <xf numFmtId="0" fontId="158" fillId="0" borderId="25" applyNumberFormat="0" applyFill="0" applyProtection="0">
      <alignment horizontal="center" vertical="center"/>
    </xf>
    <xf numFmtId="0" fontId="159" fillId="0" borderId="9" applyNumberFormat="0" applyFill="0" applyBorder="0" applyProtection="0">
      <alignment horizontal="right" vertical="center"/>
    </xf>
    <xf numFmtId="0" fontId="159" fillId="0" borderId="9" applyNumberFormat="0" applyFill="0" applyBorder="0" applyProtection="0">
      <alignment horizontal="right" vertical="center"/>
    </xf>
    <xf numFmtId="0" fontId="144" fillId="0" borderId="0"/>
    <xf numFmtId="247" fontId="160" fillId="0" borderId="0"/>
    <xf numFmtId="247" fontId="160" fillId="0" borderId="0"/>
    <xf numFmtId="247" fontId="160" fillId="0" borderId="0"/>
    <xf numFmtId="247" fontId="160" fillId="0" borderId="0"/>
    <xf numFmtId="247" fontId="160" fillId="0" borderId="0"/>
    <xf numFmtId="247" fontId="160" fillId="0" borderId="0"/>
    <xf numFmtId="247" fontId="160" fillId="0" borderId="0"/>
    <xf numFmtId="247" fontId="160" fillId="0" borderId="0"/>
    <xf numFmtId="248" fontId="144" fillId="0" borderId="9"/>
    <xf numFmtId="248" fontId="144" fillId="0" borderId="9"/>
    <xf numFmtId="242" fontId="10" fillId="0" borderId="0" applyFont="0" applyFill="0" applyBorder="0" applyAlignment="0" applyProtection="0"/>
    <xf numFmtId="182" fontId="10" fillId="0" borderId="0" applyFont="0" applyFill="0" applyBorder="0" applyAlignment="0" applyProtection="0"/>
    <xf numFmtId="39" fontId="10" fillId="0" borderId="0" applyFont="0" applyFill="0" applyBorder="0" applyAlignment="0" applyProtection="0"/>
    <xf numFmtId="0" fontId="12" fillId="43" borderId="0">
      <alignment horizontal="center" vertical="center" wrapText="1"/>
    </xf>
    <xf numFmtId="249" fontId="162" fillId="0" borderId="28">
      <protection hidden="1"/>
    </xf>
    <xf numFmtId="249" fontId="162" fillId="0" borderId="28">
      <protection hidden="1"/>
    </xf>
    <xf numFmtId="187" fontId="10" fillId="0" borderId="0" applyFill="0" applyBorder="0">
      <alignment horizontal="right"/>
      <protection locked="0"/>
    </xf>
    <xf numFmtId="250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251" fontId="145" fillId="19" borderId="33">
      <alignment horizontal="right"/>
    </xf>
    <xf numFmtId="251" fontId="145" fillId="19" borderId="33">
      <alignment horizontal="right"/>
    </xf>
    <xf numFmtId="251" fontId="145" fillId="19" borderId="33">
      <alignment horizontal="right"/>
    </xf>
    <xf numFmtId="0" fontId="163" fillId="0" borderId="46">
      <alignment horizontal="left"/>
    </xf>
    <xf numFmtId="0" fontId="164" fillId="0" borderId="46">
      <alignment horizontal="left" wrapText="1"/>
    </xf>
    <xf numFmtId="252" fontId="149" fillId="0" borderId="0" applyFont="0" applyFill="0" applyBorder="0" applyAlignment="0" applyProtection="0"/>
    <xf numFmtId="14" fontId="156" fillId="0" borderId="0" applyFont="0" applyFill="0" applyBorder="0" applyAlignment="0" applyProtection="0">
      <alignment horizontal="center"/>
    </xf>
    <xf numFmtId="253" fontId="156" fillId="0" borderId="0" applyFont="0" applyFill="0" applyBorder="0" applyAlignment="0" applyProtection="0">
      <alignment horizontal="center"/>
    </xf>
    <xf numFmtId="188" fontId="29" fillId="0" borderId="0" applyFont="0" applyFill="0" applyBorder="0" applyAlignment="0" applyProtection="0">
      <alignment horizontal="center"/>
    </xf>
    <xf numFmtId="170" fontId="12" fillId="0" borderId="0" applyFont="0" applyFill="0" applyBorder="0" applyAlignment="0" applyProtection="0"/>
    <xf numFmtId="37" fontId="30" fillId="0" borderId="38"/>
    <xf numFmtId="0" fontId="12" fillId="0" borderId="0"/>
    <xf numFmtId="169" fontId="12" fillId="0" borderId="0" applyFont="0" applyFill="0" applyBorder="0" applyAlignment="0" applyProtection="0"/>
    <xf numFmtId="6" fontId="150" fillId="0" borderId="0" applyFont="0" applyFill="0" applyBorder="0" applyAlignment="0" applyProtection="0"/>
    <xf numFmtId="175" fontId="165" fillId="44" borderId="47" applyNumberFormat="0" applyAlignment="0" applyProtection="0">
      <alignment vertical="top"/>
    </xf>
    <xf numFmtId="0" fontId="13" fillId="32" borderId="0" applyNumberFormat="0" applyFont="0" applyBorder="0" applyAlignment="0" applyProtection="0"/>
    <xf numFmtId="175" fontId="166" fillId="45" borderId="48" applyNumberFormat="0" applyAlignment="0" applyProtection="0">
      <alignment vertical="top"/>
    </xf>
    <xf numFmtId="254" fontId="145" fillId="0" borderId="0"/>
    <xf numFmtId="255" fontId="145" fillId="0" borderId="0"/>
    <xf numFmtId="256" fontId="145" fillId="0" borderId="0"/>
    <xf numFmtId="257" fontId="145" fillId="0" borderId="0"/>
    <xf numFmtId="8" fontId="150" fillId="0" borderId="0" applyFont="0" applyFill="0" applyBorder="0" applyAlignment="0" applyProtection="0">
      <alignment horizontal="right"/>
    </xf>
    <xf numFmtId="258" fontId="145" fillId="0" borderId="0"/>
    <xf numFmtId="0" fontId="73" fillId="0" borderId="0" applyFont="0" applyFill="0" applyBorder="0" applyProtection="0">
      <alignment horizontal="left"/>
      <protection locked="0"/>
    </xf>
    <xf numFmtId="259" fontId="145" fillId="0" borderId="0"/>
    <xf numFmtId="0" fontId="73" fillId="0" borderId="0" applyFont="0" applyFill="0" applyBorder="0" applyProtection="0">
      <alignment horizontal="left"/>
      <protection locked="0"/>
    </xf>
    <xf numFmtId="260" fontId="14" fillId="0" borderId="0"/>
    <xf numFmtId="0" fontId="12" fillId="0" borderId="0"/>
    <xf numFmtId="43" fontId="12" fillId="0" borderId="0" applyBorder="0"/>
    <xf numFmtId="41" fontId="12" fillId="0" borderId="0" applyBorder="0"/>
    <xf numFmtId="44" fontId="12" fillId="0" borderId="0" applyBorder="0"/>
    <xf numFmtId="42" fontId="12" fillId="0" borderId="0" applyBorder="0"/>
    <xf numFmtId="0" fontId="167" fillId="0" borderId="0" applyNumberFormat="0" applyBorder="0"/>
    <xf numFmtId="0" fontId="168" fillId="0" borderId="0" applyNumberFormat="0" applyBorder="0"/>
    <xf numFmtId="9" fontId="12" fillId="0" borderId="0" applyBorder="0"/>
    <xf numFmtId="0" fontId="167" fillId="0" borderId="0" applyNumberFormat="0" applyBorder="0"/>
    <xf numFmtId="0" fontId="168" fillId="0" borderId="0" applyNumberFormat="0" applyBorder="0"/>
    <xf numFmtId="9" fontId="12" fillId="0" borderId="0" applyBorder="0"/>
    <xf numFmtId="261" fontId="12" fillId="0" borderId="0" applyFill="0" applyBorder="0" applyAlignment="0" applyProtection="0"/>
    <xf numFmtId="0" fontId="169" fillId="0" borderId="0" applyNumberFormat="0" applyFill="0" applyBorder="0" applyProtection="0">
      <alignment horizontal="left" vertical="center"/>
    </xf>
    <xf numFmtId="255" fontId="145" fillId="0" borderId="49"/>
    <xf numFmtId="262" fontId="145" fillId="19" borderId="33">
      <alignment horizontal="right"/>
    </xf>
    <xf numFmtId="262" fontId="145" fillId="19" borderId="33">
      <alignment horizontal="right"/>
    </xf>
    <xf numFmtId="262" fontId="145" fillId="19" borderId="33">
      <alignment horizontal="right"/>
    </xf>
    <xf numFmtId="2" fontId="82" fillId="0" borderId="0">
      <alignment horizontal="left"/>
    </xf>
    <xf numFmtId="263" fontId="170" fillId="0" borderId="0" applyFill="0" applyBorder="0" applyAlignment="0" applyProtection="0"/>
    <xf numFmtId="0" fontId="12" fillId="0" borderId="0" applyAlignment="0">
      <alignment horizontal="left"/>
      <protection locked="0"/>
    </xf>
    <xf numFmtId="0" fontId="171" fillId="28" borderId="0" applyNumberFormat="0" applyBorder="0" applyProtection="0">
      <alignment horizontal="left" vertical="center"/>
    </xf>
    <xf numFmtId="0" fontId="172" fillId="1" borderId="0" applyNumberFormat="0" applyBorder="0" applyProtection="0">
      <alignment horizontal="left" vertical="center"/>
    </xf>
    <xf numFmtId="0" fontId="12" fillId="0" borderId="0" applyNumberFormat="0" applyFill="0" applyBorder="0" applyProtection="0">
      <alignment wrapText="1"/>
    </xf>
    <xf numFmtId="0" fontId="12" fillId="0" borderId="0" applyNumberFormat="0" applyFill="0" applyBorder="0" applyProtection="0">
      <alignment horizontal="justify" vertical="top" wrapText="1"/>
    </xf>
    <xf numFmtId="0" fontId="30" fillId="0" borderId="50" applyNumberFormat="0" applyFont="0" applyFill="0" applyAlignment="0" applyProtection="0"/>
    <xf numFmtId="242" fontId="150" fillId="0" borderId="0" applyFont="0" applyFill="0" applyBorder="0" applyAlignment="0" applyProtection="0"/>
    <xf numFmtId="0" fontId="10" fillId="0" borderId="0" applyFill="0" applyBorder="0">
      <alignment horizontal="right"/>
      <protection locked="0"/>
    </xf>
    <xf numFmtId="264" fontId="10" fillId="0" borderId="0" applyFill="0" applyBorder="0">
      <alignment horizontal="right"/>
      <protection locked="0"/>
    </xf>
    <xf numFmtId="0" fontId="12" fillId="46" borderId="0" applyBorder="0"/>
    <xf numFmtId="0" fontId="117" fillId="47" borderId="51">
      <alignment horizontal="left" vertical="center" wrapText="1"/>
    </xf>
    <xf numFmtId="0" fontId="173" fillId="0" borderId="0" applyNumberFormat="0" applyFill="0" applyBorder="0" applyProtection="0">
      <alignment horizontal="left" vertical="center"/>
    </xf>
    <xf numFmtId="265" fontId="145" fillId="0" borderId="0">
      <alignment horizontal="right"/>
    </xf>
    <xf numFmtId="266" fontId="145" fillId="0" borderId="0">
      <alignment horizontal="right"/>
    </xf>
    <xf numFmtId="0" fontId="70" fillId="0" borderId="0">
      <alignment horizontal="left"/>
    </xf>
    <xf numFmtId="0" fontId="12" fillId="46" borderId="0" applyBorder="0" applyAlignment="0">
      <alignment horizontal="right"/>
    </xf>
    <xf numFmtId="263" fontId="174" fillId="0" borderId="0" applyFill="0" applyBorder="0" applyAlignment="0" applyProtection="0"/>
    <xf numFmtId="267" fontId="12" fillId="0" borderId="0" applyFont="0" applyFill="0" applyBorder="0" applyAlignment="0" applyProtection="0"/>
    <xf numFmtId="268" fontId="12" fillId="0" borderId="0" applyFont="0" applyFill="0" applyBorder="0" applyAlignment="0" applyProtection="0"/>
    <xf numFmtId="269" fontId="145" fillId="0" borderId="0">
      <alignment horizontal="right"/>
    </xf>
    <xf numFmtId="270" fontId="12" fillId="0" borderId="0" applyFont="0" applyFill="0" applyBorder="0" applyAlignment="0" applyProtection="0"/>
    <xf numFmtId="271" fontId="12" fillId="0" borderId="0" applyFont="0" applyFill="0" applyBorder="0" applyAlignment="0" applyProtection="0"/>
    <xf numFmtId="171" fontId="29" fillId="0" borderId="0" applyFont="0" applyFill="0" applyBorder="0" applyAlignment="0" applyProtection="0"/>
    <xf numFmtId="272" fontId="29" fillId="0" borderId="0" applyFont="0" applyFill="0" applyBorder="0" applyAlignment="0" applyProtection="0"/>
    <xf numFmtId="231" fontId="12" fillId="0" borderId="0" applyFill="0" applyBorder="0"/>
    <xf numFmtId="182" fontId="27" fillId="0" borderId="9"/>
    <xf numFmtId="182" fontId="27" fillId="0" borderId="9"/>
    <xf numFmtId="37" fontId="12" fillId="0" borderId="0"/>
    <xf numFmtId="37" fontId="106" fillId="0" borderId="0"/>
    <xf numFmtId="0" fontId="155" fillId="0" borderId="0" applyNumberFormat="0" applyFill="0" applyAlignment="0" applyProtection="0"/>
    <xf numFmtId="273" fontId="144" fillId="0" borderId="0"/>
    <xf numFmtId="1" fontId="29" fillId="0" borderId="0" applyFont="0" applyFill="0" applyBorder="0" applyAlignment="0" applyProtection="0">
      <alignment horizontal="center"/>
    </xf>
    <xf numFmtId="38" fontId="25" fillId="0" borderId="0"/>
    <xf numFmtId="274" fontId="175" fillId="0" borderId="0">
      <alignment horizontal="right"/>
    </xf>
    <xf numFmtId="43" fontId="73" fillId="0" borderId="0" applyFont="0" applyFill="0" applyBorder="0" applyAlignment="0" applyProtection="0"/>
    <xf numFmtId="41" fontId="73" fillId="0" borderId="0" applyFont="0" applyFill="0" applyBorder="0" applyAlignment="0" applyProtection="0"/>
    <xf numFmtId="0" fontId="152" fillId="0" borderId="52">
      <alignment horizontal="left" vertical="center" wrapText="1"/>
    </xf>
    <xf numFmtId="275" fontId="10" fillId="0" borderId="0"/>
    <xf numFmtId="276" fontId="150" fillId="0" borderId="0"/>
    <xf numFmtId="0" fontId="46" fillId="0" borderId="53" applyNumberFormat="0" applyAlignment="0" applyProtection="0"/>
    <xf numFmtId="0" fontId="73" fillId="29" borderId="0" applyNumberFormat="0" applyFont="0" applyBorder="0" applyAlignment="0" applyProtection="0"/>
    <xf numFmtId="0" fontId="13" fillId="48" borderId="6" applyNumberFormat="0" applyFont="0" applyBorder="0" applyAlignment="0" applyProtection="0">
      <alignment horizontal="center"/>
    </xf>
    <xf numFmtId="0" fontId="13" fillId="44" borderId="6" applyNumberFormat="0" applyFont="0" applyBorder="0" applyAlignment="0" applyProtection="0">
      <alignment horizontal="center"/>
    </xf>
    <xf numFmtId="0" fontId="73" fillId="0" borderId="54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73" fillId="0" borderId="55" applyNumberFormat="0" applyAlignment="0" applyProtection="0"/>
    <xf numFmtId="0" fontId="46" fillId="0" borderId="56" applyNumberFormat="0" applyAlignment="0" applyProtection="0"/>
    <xf numFmtId="277" fontId="145" fillId="0" borderId="0"/>
    <xf numFmtId="278" fontId="145" fillId="0" borderId="0"/>
    <xf numFmtId="279" fontId="162" fillId="0" borderId="0">
      <protection hidden="1"/>
    </xf>
    <xf numFmtId="175" fontId="176" fillId="0" borderId="0" applyBorder="0"/>
    <xf numFmtId="280" fontId="10" fillId="0" borderId="0" applyFill="0" applyBorder="0">
      <alignment horizontal="right"/>
      <protection locked="0"/>
    </xf>
    <xf numFmtId="281" fontId="150" fillId="0" borderId="0" applyFont="0" applyFill="0" applyBorder="0" applyAlignment="0" applyProtection="0"/>
    <xf numFmtId="8" fontId="150" fillId="0" borderId="0" applyFont="0" applyFill="0" applyBorder="0" applyAlignment="0" applyProtection="0"/>
    <xf numFmtId="242" fontId="150" fillId="0" borderId="0" applyFont="0" applyFill="0" applyBorder="0" applyAlignment="0" applyProtection="0">
      <protection locked="0"/>
    </xf>
    <xf numFmtId="182" fontId="27" fillId="0" borderId="0"/>
    <xf numFmtId="242" fontId="150" fillId="0" borderId="0" applyFill="0" applyBorder="0" applyAlignment="0" applyProtection="0"/>
    <xf numFmtId="38" fontId="150" fillId="0" borderId="0" applyFont="0" applyFill="0" applyBorder="0" applyAlignment="0" applyProtection="0"/>
    <xf numFmtId="0" fontId="10" fillId="0" borderId="0" applyNumberFormat="0" applyFont="0" applyFill="0" applyBorder="0" applyAlignment="0" applyProtection="0">
      <alignment horizontal="left"/>
    </xf>
    <xf numFmtId="15" fontId="10" fillId="0" borderId="0" applyFont="0" applyFill="0" applyBorder="0" applyAlignment="0" applyProtection="0"/>
    <xf numFmtId="4" fontId="10" fillId="0" borderId="0" applyFont="0" applyFill="0" applyBorder="0" applyAlignment="0" applyProtection="0"/>
    <xf numFmtId="0" fontId="117" fillId="0" borderId="28">
      <alignment horizontal="center"/>
    </xf>
    <xf numFmtId="0" fontId="117" fillId="0" borderId="28">
      <alignment horizontal="center"/>
    </xf>
    <xf numFmtId="3" fontId="10" fillId="0" borderId="0" applyFont="0" applyFill="0" applyBorder="0" applyAlignment="0" applyProtection="0"/>
    <xf numFmtId="0" fontId="10" fillId="49" borderId="0" applyNumberFormat="0" applyFont="0" applyBorder="0" applyAlignment="0" applyProtection="0"/>
    <xf numFmtId="282" fontId="145" fillId="19" borderId="0"/>
    <xf numFmtId="283" fontId="145" fillId="19" borderId="33">
      <alignment horizontal="right"/>
    </xf>
    <xf numFmtId="0" fontId="45" fillId="0" borderId="57"/>
    <xf numFmtId="284" fontId="10" fillId="0" borderId="0">
      <alignment horizontal="right"/>
      <protection locked="0"/>
    </xf>
    <xf numFmtId="242" fontId="156" fillId="0" borderId="0" applyFont="0" applyFill="0" applyBorder="0" applyAlignment="0" applyProtection="0"/>
    <xf numFmtId="0" fontId="152" fillId="0" borderId="0">
      <alignment horizontal="left" vertical="center" wrapText="1"/>
    </xf>
    <xf numFmtId="0" fontId="173" fillId="0" borderId="0" applyNumberFormat="0" applyFill="0" applyBorder="0" applyProtection="0">
      <alignment horizontal="right" vertical="center"/>
    </xf>
    <xf numFmtId="0" fontId="12" fillId="0" borderId="0" applyFill="0" applyBorder="0">
      <alignment horizontal="right"/>
      <protection hidden="1"/>
    </xf>
    <xf numFmtId="0" fontId="12" fillId="43" borderId="13">
      <alignment horizontal="center" vertical="center" wrapText="1"/>
      <protection hidden="1"/>
    </xf>
    <xf numFmtId="242" fontId="150" fillId="0" borderId="0" applyFont="0" applyFill="0" applyBorder="0" applyAlignment="0" applyProtection="0"/>
    <xf numFmtId="0" fontId="155" fillId="0" borderId="9" applyNumberFormat="0" applyFill="0" applyAlignment="0" applyProtection="0"/>
    <xf numFmtId="0" fontId="155" fillId="0" borderId="9" applyNumberFormat="0" applyFill="0" applyAlignment="0" applyProtection="0"/>
    <xf numFmtId="37" fontId="177" fillId="0" borderId="26"/>
    <xf numFmtId="0" fontId="151" fillId="0" borderId="0">
      <alignment horizontal="left" vertical="center" wrapText="1"/>
    </xf>
    <xf numFmtId="182" fontId="30" fillId="0" borderId="0" applyFill="0" applyBorder="0" applyProtection="0">
      <alignment horizontal="right"/>
    </xf>
    <xf numFmtId="0" fontId="178" fillId="26" borderId="0"/>
    <xf numFmtId="0" fontId="57" fillId="26" borderId="0"/>
    <xf numFmtId="0" fontId="179" fillId="26" borderId="0"/>
    <xf numFmtId="0" fontId="180" fillId="26" borderId="0"/>
    <xf numFmtId="0" fontId="180" fillId="0" borderId="0"/>
    <xf numFmtId="0" fontId="12" fillId="30" borderId="58" applyNumberFormat="0" applyProtection="0">
      <alignment horizontal="center" vertical="center"/>
    </xf>
    <xf numFmtId="0" fontId="12" fillId="50" borderId="58" applyNumberFormat="0" applyProtection="0">
      <alignment horizontal="center" vertical="center"/>
    </xf>
    <xf numFmtId="0" fontId="12" fillId="30" borderId="59" applyNumberFormat="0"/>
    <xf numFmtId="0" fontId="12" fillId="30" borderId="60" applyNumberFormat="0"/>
    <xf numFmtId="0" fontId="12" fillId="30" borderId="61" applyNumberFormat="0"/>
    <xf numFmtId="0" fontId="12" fillId="30" borderId="62" applyNumberFormat="0"/>
    <xf numFmtId="0" fontId="12" fillId="30" borderId="63" applyNumberFormat="0"/>
    <xf numFmtId="0" fontId="12" fillId="30" borderId="64" applyNumberFormat="0"/>
    <xf numFmtId="0" fontId="12" fillId="30" borderId="65" applyNumberFormat="0"/>
    <xf numFmtId="0" fontId="181" fillId="50" borderId="0" applyNumberFormat="0" applyBorder="0" applyAlignment="0" applyProtection="0"/>
    <xf numFmtId="285" fontId="12" fillId="30" borderId="59" applyFont="0" applyAlignment="0" applyProtection="0"/>
    <xf numFmtId="286" fontId="12" fillId="22" borderId="59" applyFont="0" applyAlignment="0" applyProtection="0"/>
    <xf numFmtId="0" fontId="70" fillId="0" borderId="0" applyNumberFormat="0" applyFill="0" applyBorder="0" applyAlignment="0" applyProtection="0"/>
    <xf numFmtId="0" fontId="12" fillId="0" borderId="0" applyNumberFormat="0" applyBorder="0"/>
    <xf numFmtId="0" fontId="182" fillId="50" borderId="66" applyNumberFormat="0"/>
    <xf numFmtId="0" fontId="17" fillId="0" borderId="60" applyNumberFormat="0">
      <alignment horizontal="right"/>
    </xf>
    <xf numFmtId="0" fontId="107" fillId="50" borderId="0" applyNumberFormat="0" applyBorder="0" applyAlignment="0" applyProtection="0"/>
    <xf numFmtId="0" fontId="17" fillId="0" borderId="61" applyNumberFormat="0">
      <alignment horizontal="right"/>
    </xf>
    <xf numFmtId="0" fontId="17" fillId="0" borderId="67" applyNumberFormat="0">
      <alignment horizontal="right"/>
    </xf>
    <xf numFmtId="286" fontId="12" fillId="0" borderId="59"/>
    <xf numFmtId="286" fontId="12" fillId="0" borderId="0" applyBorder="0"/>
    <xf numFmtId="286" fontId="12" fillId="0" borderId="65"/>
    <xf numFmtId="286" fontId="12" fillId="22" borderId="59"/>
    <xf numFmtId="286" fontId="12" fillId="22" borderId="0" applyBorder="0"/>
    <xf numFmtId="286" fontId="12" fillId="22" borderId="65"/>
    <xf numFmtId="287" fontId="12" fillId="0" borderId="65"/>
    <xf numFmtId="287" fontId="12" fillId="0" borderId="0" applyBorder="0"/>
    <xf numFmtId="0" fontId="57" fillId="0" borderId="0" applyNumberFormat="0" applyFill="0" applyBorder="0" applyAlignment="0" applyProtection="0"/>
    <xf numFmtId="287" fontId="12" fillId="22" borderId="0" applyBorder="0"/>
    <xf numFmtId="287" fontId="12" fillId="22" borderId="65"/>
    <xf numFmtId="287" fontId="12" fillId="22" borderId="59"/>
    <xf numFmtId="287" fontId="12" fillId="0" borderId="59"/>
    <xf numFmtId="288" fontId="12" fillId="0" borderId="65"/>
    <xf numFmtId="288" fontId="12" fillId="0" borderId="0" applyBorder="0"/>
    <xf numFmtId="288" fontId="12" fillId="22" borderId="0" applyBorder="0"/>
    <xf numFmtId="288" fontId="12" fillId="22" borderId="65"/>
    <xf numFmtId="288" fontId="12" fillId="22" borderId="59"/>
    <xf numFmtId="288" fontId="12" fillId="0" borderId="59"/>
    <xf numFmtId="0" fontId="17" fillId="0" borderId="0" applyNumberFormat="0" applyFill="0" applyBorder="0" applyAlignment="0" applyProtection="0"/>
    <xf numFmtId="0" fontId="17" fillId="0" borderId="59" applyNumberFormat="0">
      <alignment horizontal="right"/>
    </xf>
    <xf numFmtId="0" fontId="17" fillId="22" borderId="59" applyNumberFormat="0">
      <alignment horizontal="right"/>
    </xf>
    <xf numFmtId="286" fontId="12" fillId="0" borderId="60"/>
    <xf numFmtId="286" fontId="12" fillId="0" borderId="61"/>
    <xf numFmtId="286" fontId="12" fillId="0" borderId="67"/>
    <xf numFmtId="287" fontId="12" fillId="0" borderId="60"/>
    <xf numFmtId="287" fontId="12" fillId="0" borderId="61"/>
    <xf numFmtId="287" fontId="12" fillId="0" borderId="67"/>
    <xf numFmtId="288" fontId="12" fillId="0" borderId="60"/>
    <xf numFmtId="288" fontId="12" fillId="0" borderId="61"/>
    <xf numFmtId="0" fontId="99" fillId="40" borderId="0" applyNumberFormat="0" applyBorder="0" applyAlignment="0" applyProtection="0"/>
    <xf numFmtId="288" fontId="12" fillId="0" borderId="67"/>
    <xf numFmtId="0" fontId="99" fillId="40" borderId="0" applyNumberFormat="0" applyBorder="0" applyProtection="0">
      <alignment horizontal="center"/>
    </xf>
    <xf numFmtId="0" fontId="183" fillId="40" borderId="0" applyNumberFormat="0" applyBorder="0" applyAlignment="0" applyProtection="0"/>
    <xf numFmtId="0" fontId="12" fillId="0" borderId="0" applyNumberFormat="0" applyFont="0" applyFill="0" applyBorder="0" applyProtection="0">
      <alignment horizontal="right"/>
    </xf>
    <xf numFmtId="0" fontId="12" fillId="0" borderId="0" applyNumberFormat="0" applyFont="0" applyFill="0" applyBorder="0" applyProtection="0">
      <alignment horizontal="left"/>
    </xf>
    <xf numFmtId="0" fontId="12" fillId="0" borderId="0" applyNumberFormat="0" applyBorder="0"/>
    <xf numFmtId="0" fontId="182" fillId="50" borderId="66" applyNumberFormat="0"/>
    <xf numFmtId="0" fontId="17" fillId="0" borderId="60" applyNumberFormat="0">
      <alignment horizontal="right"/>
    </xf>
    <xf numFmtId="0" fontId="13" fillId="0" borderId="0" applyNumberFormat="0" applyFill="0" applyBorder="0" applyAlignment="0" applyProtection="0"/>
    <xf numFmtId="0" fontId="17" fillId="0" borderId="61" applyNumberFormat="0">
      <alignment horizontal="right"/>
    </xf>
    <xf numFmtId="0" fontId="17" fillId="0" borderId="67" applyNumberFormat="0">
      <alignment horizontal="right"/>
    </xf>
    <xf numFmtId="288" fontId="12" fillId="0" borderId="65"/>
    <xf numFmtId="288" fontId="12" fillId="0" borderId="0" applyBorder="0"/>
    <xf numFmtId="288" fontId="12" fillId="22" borderId="0" applyBorder="0"/>
    <xf numFmtId="288" fontId="12" fillId="22" borderId="65"/>
    <xf numFmtId="288" fontId="12" fillId="22" borderId="59"/>
    <xf numFmtId="288" fontId="12" fillId="0" borderId="59"/>
    <xf numFmtId="0" fontId="17" fillId="0" borderId="59" applyNumberFormat="0">
      <alignment horizontal="right"/>
    </xf>
    <xf numFmtId="0" fontId="17" fillId="22" borderId="59" applyNumberFormat="0">
      <alignment horizontal="right"/>
    </xf>
    <xf numFmtId="0" fontId="22" fillId="0" borderId="0" applyNumberFormat="0" applyFill="0" applyBorder="0" applyAlignment="0" applyProtection="0"/>
    <xf numFmtId="288" fontId="12" fillId="0" borderId="60"/>
    <xf numFmtId="288" fontId="12" fillId="0" borderId="61"/>
    <xf numFmtId="288" fontId="12" fillId="0" borderId="67"/>
    <xf numFmtId="0" fontId="12" fillId="51" borderId="0" applyNumberFormat="0" applyFont="0" applyBorder="0" applyAlignment="0" applyProtection="0"/>
    <xf numFmtId="289" fontId="12" fillId="0" borderId="0" applyFont="0" applyFill="0" applyBorder="0" applyAlignment="0" applyProtection="0"/>
    <xf numFmtId="2" fontId="12" fillId="0" borderId="0" applyFont="0" applyFill="0" applyBorder="0" applyAlignment="0" applyProtection="0"/>
    <xf numFmtId="0" fontId="12" fillId="0" borderId="0" applyNumberFormat="0" applyBorder="0"/>
    <xf numFmtId="0" fontId="182" fillId="50" borderId="60" applyNumberFormat="0">
      <alignment horizontal="right"/>
    </xf>
    <xf numFmtId="0" fontId="182" fillId="50" borderId="61" applyNumberFormat="0">
      <alignment horizontal="right"/>
    </xf>
    <xf numFmtId="0" fontId="182" fillId="50" borderId="67" applyNumberFormat="0">
      <alignment horizontal="right"/>
    </xf>
    <xf numFmtId="0" fontId="182" fillId="50" borderId="66" applyNumberFormat="0"/>
    <xf numFmtId="288" fontId="12" fillId="0" borderId="65"/>
    <xf numFmtId="288" fontId="12" fillId="0" borderId="0" applyBorder="0"/>
    <xf numFmtId="0" fontId="12" fillId="0" borderId="0" applyNumberFormat="0" applyFont="0" applyFill="0" applyBorder="0" applyAlignment="0" applyProtection="0"/>
    <xf numFmtId="0" fontId="182" fillId="50" borderId="66" applyNumberFormat="0" applyAlignment="0" applyProtection="0"/>
    <xf numFmtId="171" fontId="12" fillId="0" borderId="0" applyFont="0" applyFill="0" applyBorder="0" applyAlignment="0" applyProtection="0"/>
    <xf numFmtId="0" fontId="17" fillId="0" borderId="60" applyNumberFormat="0" applyFill="0" applyProtection="0">
      <alignment horizontal="right"/>
    </xf>
    <xf numFmtId="0" fontId="17" fillId="0" borderId="61" applyNumberFormat="0" applyFill="0" applyProtection="0">
      <alignment horizontal="right"/>
    </xf>
    <xf numFmtId="0" fontId="17" fillId="0" borderId="67" applyNumberFormat="0" applyFill="0" applyProtection="0">
      <alignment horizontal="right"/>
    </xf>
    <xf numFmtId="286" fontId="12" fillId="0" borderId="59" applyFont="0" applyFill="0" applyAlignment="0" applyProtection="0"/>
    <xf numFmtId="286" fontId="12" fillId="0" borderId="0" applyFont="0" applyFill="0" applyBorder="0" applyAlignment="0" applyProtection="0"/>
    <xf numFmtId="286" fontId="12" fillId="0" borderId="65" applyFont="0" applyFill="0" applyAlignment="0" applyProtection="0"/>
    <xf numFmtId="286" fontId="12" fillId="22" borderId="59" applyFont="0" applyAlignment="0" applyProtection="0"/>
    <xf numFmtId="286" fontId="12" fillId="22" borderId="0" applyFont="0" applyBorder="0" applyAlignment="0" applyProtection="0"/>
    <xf numFmtId="286" fontId="12" fillId="22" borderId="65" applyFont="0" applyAlignment="0" applyProtection="0"/>
    <xf numFmtId="287" fontId="12" fillId="0" borderId="65" applyFont="0" applyFill="0" applyAlignment="0" applyProtection="0"/>
    <xf numFmtId="287" fontId="12" fillId="0" borderId="0" applyFont="0" applyFill="0" applyBorder="0" applyAlignment="0" applyProtection="0"/>
    <xf numFmtId="287" fontId="12" fillId="22" borderId="0" applyFont="0" applyBorder="0" applyAlignment="0" applyProtection="0"/>
    <xf numFmtId="287" fontId="12" fillId="22" borderId="65" applyFont="0" applyAlignment="0" applyProtection="0"/>
    <xf numFmtId="287" fontId="12" fillId="22" borderId="59" applyFont="0" applyAlignment="0" applyProtection="0"/>
    <xf numFmtId="287" fontId="12" fillId="0" borderId="59" applyFont="0" applyFill="0" applyAlignment="0" applyProtection="0"/>
    <xf numFmtId="288" fontId="12" fillId="0" borderId="65" applyFont="0" applyFill="0" applyAlignment="0" applyProtection="0"/>
    <xf numFmtId="288" fontId="12" fillId="0" borderId="0" applyFont="0" applyFill="0" applyBorder="0" applyAlignment="0" applyProtection="0"/>
    <xf numFmtId="288" fontId="12" fillId="22" borderId="0" applyFont="0" applyBorder="0" applyAlignment="0" applyProtection="0"/>
    <xf numFmtId="288" fontId="12" fillId="22" borderId="65" applyFont="0" applyAlignment="0" applyProtection="0"/>
    <xf numFmtId="288" fontId="12" fillId="22" borderId="59" applyFont="0" applyAlignment="0" applyProtection="0"/>
    <xf numFmtId="288" fontId="12" fillId="0" borderId="59" applyFont="0" applyFill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286" fontId="12" fillId="0" borderId="60" applyFill="0" applyAlignment="0" applyProtection="0"/>
    <xf numFmtId="286" fontId="12" fillId="0" borderId="61" applyFont="0" applyFill="0" applyAlignment="0" applyProtection="0"/>
    <xf numFmtId="286" fontId="12" fillId="0" borderId="67" applyFont="0" applyFill="0" applyAlignment="0" applyProtection="0"/>
    <xf numFmtId="287" fontId="12" fillId="0" borderId="60" applyFill="0" applyAlignment="0" applyProtection="0"/>
    <xf numFmtId="287" fontId="12" fillId="0" borderId="61" applyFont="0" applyFill="0" applyAlignment="0" applyProtection="0"/>
    <xf numFmtId="287" fontId="12" fillId="0" borderId="67" applyFont="0" applyFill="0" applyAlignment="0" applyProtection="0"/>
    <xf numFmtId="288" fontId="12" fillId="0" borderId="60" applyFill="0" applyAlignment="0" applyProtection="0"/>
    <xf numFmtId="0" fontId="12" fillId="0" borderId="28" applyNumberFormat="0" applyFont="0" applyFill="0" applyAlignment="0" applyProtection="0"/>
    <xf numFmtId="0" fontId="12" fillId="0" borderId="28" applyNumberFormat="0" applyFont="0" applyFill="0" applyAlignment="0" applyProtection="0"/>
    <xf numFmtId="288" fontId="12" fillId="0" borderId="61" applyFont="0" applyFill="0" applyAlignment="0" applyProtection="0"/>
    <xf numFmtId="288" fontId="12" fillId="0" borderId="67" applyFont="0" applyFill="0" applyAlignment="0" applyProtection="0"/>
    <xf numFmtId="0" fontId="182" fillId="50" borderId="66" applyNumberFormat="0"/>
    <xf numFmtId="0" fontId="17" fillId="0" borderId="60" applyNumberFormat="0">
      <alignment horizontal="right"/>
    </xf>
    <xf numFmtId="0" fontId="12" fillId="0" borderId="62" applyNumberFormat="0"/>
    <xf numFmtId="0" fontId="12" fillId="0" borderId="64" applyNumberFormat="0"/>
    <xf numFmtId="0" fontId="12" fillId="0" borderId="59" applyNumberFormat="0"/>
    <xf numFmtId="0" fontId="12" fillId="0" borderId="65" applyNumberFormat="0"/>
    <xf numFmtId="0" fontId="12" fillId="0" borderId="63" applyNumberFormat="0"/>
    <xf numFmtId="0" fontId="12" fillId="0" borderId="68" applyNumberFormat="0"/>
    <xf numFmtId="287" fontId="12" fillId="0" borderId="65"/>
    <xf numFmtId="287" fontId="12" fillId="0" borderId="0" applyBorder="0"/>
    <xf numFmtId="287" fontId="12" fillId="22" borderId="0" applyBorder="0"/>
    <xf numFmtId="287" fontId="12" fillId="22" borderId="65"/>
    <xf numFmtId="288" fontId="12" fillId="0" borderId="65"/>
    <xf numFmtId="288" fontId="12" fillId="0" borderId="0" applyBorder="0"/>
    <xf numFmtId="288" fontId="12" fillId="22" borderId="0" applyBorder="0"/>
    <xf numFmtId="288" fontId="12" fillId="22" borderId="65"/>
    <xf numFmtId="0" fontId="17" fillId="0" borderId="59" applyNumberFormat="0">
      <alignment horizontal="right"/>
    </xf>
    <xf numFmtId="0" fontId="17" fillId="22" borderId="59" applyNumberFormat="0">
      <alignment horizontal="right"/>
    </xf>
    <xf numFmtId="0" fontId="12" fillId="0" borderId="69" applyNumberFormat="0"/>
    <xf numFmtId="0" fontId="12" fillId="52" borderId="0" applyNumberFormat="0" applyBorder="0"/>
    <xf numFmtId="0" fontId="12" fillId="0" borderId="0" applyNumberFormat="0" applyFont="0" applyFill="0" applyBorder="0" applyAlignment="0" applyProtection="0"/>
    <xf numFmtId="0" fontId="182" fillId="50" borderId="66" applyNumberFormat="0" applyAlignment="0" applyProtection="0"/>
    <xf numFmtId="0" fontId="17" fillId="0" borderId="60" applyNumberFormat="0" applyFill="0" applyProtection="0">
      <alignment horizontal="right"/>
    </xf>
    <xf numFmtId="0" fontId="17" fillId="0" borderId="61" applyNumberFormat="0" applyFill="0" applyProtection="0">
      <alignment horizontal="right"/>
    </xf>
    <xf numFmtId="0" fontId="17" fillId="0" borderId="67" applyNumberFormat="0" applyFill="0" applyProtection="0">
      <alignment horizontal="right"/>
    </xf>
    <xf numFmtId="288" fontId="12" fillId="0" borderId="65" applyFont="0" applyFill="0" applyAlignment="0" applyProtection="0"/>
    <xf numFmtId="288" fontId="12" fillId="0" borderId="0" applyFont="0" applyFill="0" applyBorder="0" applyAlignment="0" applyProtection="0"/>
    <xf numFmtId="288" fontId="12" fillId="22" borderId="0" applyFont="0" applyBorder="0" applyAlignment="0" applyProtection="0"/>
    <xf numFmtId="288" fontId="12" fillId="22" borderId="65" applyFont="0" applyAlignment="0" applyProtection="0"/>
    <xf numFmtId="288" fontId="12" fillId="22" borderId="59" applyFont="0" applyAlignment="0" applyProtection="0"/>
    <xf numFmtId="288" fontId="12" fillId="0" borderId="59" applyFont="0" applyFill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288" fontId="12" fillId="0" borderId="60" applyFill="0" applyAlignment="0" applyProtection="0"/>
    <xf numFmtId="288" fontId="12" fillId="0" borderId="61" applyFont="0" applyFill="0" applyAlignment="0" applyProtection="0"/>
    <xf numFmtId="288" fontId="12" fillId="0" borderId="67" applyFont="0" applyFill="0" applyAlignment="0" applyProtection="0"/>
    <xf numFmtId="288" fontId="12" fillId="0" borderId="67" applyFont="0" applyFill="0" applyAlignment="0" applyProtection="0"/>
    <xf numFmtId="290" fontId="17" fillId="0" borderId="59">
      <alignment horizontal="right"/>
    </xf>
    <xf numFmtId="290" fontId="17" fillId="22" borderId="59">
      <alignment horizontal="right"/>
    </xf>
    <xf numFmtId="287" fontId="12" fillId="0" borderId="59"/>
    <xf numFmtId="287" fontId="12" fillId="22" borderId="59"/>
    <xf numFmtId="288" fontId="12" fillId="0" borderId="65"/>
    <xf numFmtId="288" fontId="12" fillId="22" borderId="65"/>
    <xf numFmtId="285" fontId="12" fillId="0" borderId="59"/>
    <xf numFmtId="286" fontId="12" fillId="22" borderId="59"/>
    <xf numFmtId="285" fontId="12" fillId="0" borderId="65"/>
    <xf numFmtId="285" fontId="12" fillId="22" borderId="65"/>
    <xf numFmtId="0" fontId="12" fillId="0" borderId="69" applyNumberFormat="0"/>
    <xf numFmtId="288" fontId="12" fillId="0" borderId="59"/>
    <xf numFmtId="288" fontId="12" fillId="22" borderId="59"/>
    <xf numFmtId="0" fontId="12" fillId="0" borderId="0" applyNumberFormat="0" applyFont="0" applyFill="0" applyBorder="0" applyAlignment="0" applyProtection="0"/>
    <xf numFmtId="0" fontId="182" fillId="50" borderId="60" applyNumberFormat="0" applyProtection="0">
      <alignment horizontal="right"/>
    </xf>
    <xf numFmtId="0" fontId="182" fillId="50" borderId="61" applyNumberFormat="0" applyProtection="0">
      <alignment horizontal="right"/>
    </xf>
    <xf numFmtId="0" fontId="182" fillId="50" borderId="67" applyNumberFormat="0" applyProtection="0">
      <alignment horizontal="right"/>
    </xf>
    <xf numFmtId="0" fontId="182" fillId="50" borderId="66" applyNumberFormat="0" applyAlignment="0" applyProtection="0"/>
    <xf numFmtId="288" fontId="12" fillId="0" borderId="65" applyFont="0" applyFill="0" applyAlignment="0" applyProtection="0"/>
    <xf numFmtId="288" fontId="12" fillId="0" borderId="0" applyFont="0" applyFill="0" applyBorder="0" applyAlignment="0" applyProtection="0"/>
    <xf numFmtId="288" fontId="12" fillId="22" borderId="0" applyFont="0" applyBorder="0" applyAlignment="0" applyProtection="0"/>
    <xf numFmtId="288" fontId="12" fillId="22" borderId="65" applyFont="0" applyAlignment="0" applyProtection="0"/>
    <xf numFmtId="288" fontId="12" fillId="22" borderId="59" applyFont="0" applyAlignment="0" applyProtection="0"/>
    <xf numFmtId="288" fontId="12" fillId="0" borderId="59" applyFont="0" applyFill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0" fontId="12" fillId="0" borderId="69" applyNumberFormat="0" applyFont="0" applyFill="0" applyAlignment="0" applyProtection="0"/>
    <xf numFmtId="0" fontId="12" fillId="0" borderId="69" applyNumberFormat="0"/>
    <xf numFmtId="288" fontId="12" fillId="0" borderId="59"/>
    <xf numFmtId="288" fontId="12" fillId="22" borderId="59"/>
    <xf numFmtId="288" fontId="68" fillId="52" borderId="59"/>
    <xf numFmtId="288" fontId="68" fillId="52" borderId="65"/>
    <xf numFmtId="287" fontId="68" fillId="52" borderId="59"/>
    <xf numFmtId="286" fontId="68" fillId="52" borderId="59"/>
    <xf numFmtId="286" fontId="68" fillId="52" borderId="65"/>
    <xf numFmtId="0" fontId="68" fillId="52" borderId="59" applyNumberFormat="0">
      <alignment horizontal="right"/>
    </xf>
    <xf numFmtId="0" fontId="12" fillId="0" borderId="0" applyNumberFormat="0" applyBorder="0"/>
    <xf numFmtId="0" fontId="12" fillId="0" borderId="13" applyNumberFormat="0">
      <alignment horizontal="center"/>
    </xf>
    <xf numFmtId="0" fontId="182" fillId="50" borderId="66" applyNumberFormat="0"/>
    <xf numFmtId="0" fontId="17" fillId="0" borderId="60" applyNumberFormat="0">
      <alignment horizontal="right"/>
    </xf>
    <xf numFmtId="0" fontId="17" fillId="0" borderId="61" applyNumberFormat="0">
      <alignment horizontal="right"/>
    </xf>
    <xf numFmtId="0" fontId="17" fillId="0" borderId="67" applyNumberFormat="0">
      <alignment horizontal="right"/>
    </xf>
    <xf numFmtId="286" fontId="12" fillId="0" borderId="0" applyBorder="0"/>
    <xf numFmtId="286" fontId="12" fillId="0" borderId="65"/>
    <xf numFmtId="286" fontId="12" fillId="50" borderId="0" applyBorder="0"/>
    <xf numFmtId="286" fontId="12" fillId="50" borderId="65"/>
    <xf numFmtId="287" fontId="12" fillId="0" borderId="65"/>
    <xf numFmtId="0" fontId="12" fillId="30" borderId="59" applyNumberFormat="0">
      <alignment horizontal="left"/>
    </xf>
    <xf numFmtId="0" fontId="12" fillId="22" borderId="59" applyNumberFormat="0">
      <alignment horizontal="left"/>
    </xf>
    <xf numFmtId="0" fontId="12" fillId="30" borderId="59" applyNumberFormat="0">
      <alignment horizontal="right"/>
    </xf>
    <xf numFmtId="0" fontId="12" fillId="22" borderId="59" applyNumberFormat="0">
      <alignment horizontal="right"/>
    </xf>
    <xf numFmtId="0" fontId="12" fillId="30" borderId="59" applyNumberFormat="0">
      <alignment horizontal="center"/>
    </xf>
    <xf numFmtId="0" fontId="12" fillId="22" borderId="59" applyNumberFormat="0">
      <alignment horizontal="center"/>
    </xf>
    <xf numFmtId="0" fontId="12" fillId="0" borderId="69" applyNumberFormat="0"/>
    <xf numFmtId="0" fontId="12" fillId="0" borderId="59" applyNumberFormat="0"/>
    <xf numFmtId="0" fontId="12" fillId="0" borderId="60" applyNumberFormat="0"/>
    <xf numFmtId="0" fontId="12" fillId="0" borderId="61" applyNumberFormat="0"/>
    <xf numFmtId="291" fontId="12" fillId="22" borderId="59">
      <alignment horizontal="left"/>
    </xf>
    <xf numFmtId="291" fontId="12" fillId="30" borderId="59">
      <alignment horizontal="left"/>
    </xf>
    <xf numFmtId="286" fontId="12" fillId="50" borderId="59" applyAlignment="0" applyProtection="0"/>
    <xf numFmtId="0" fontId="182" fillId="53" borderId="66" applyNumberFormat="0"/>
    <xf numFmtId="286" fontId="12" fillId="50" borderId="65" applyAlignment="0" applyProtection="0"/>
    <xf numFmtId="0" fontId="17" fillId="30" borderId="59" applyNumberFormat="0" applyProtection="0">
      <alignment horizontal="right"/>
    </xf>
    <xf numFmtId="288" fontId="12" fillId="30" borderId="59" applyAlignment="0" applyProtection="0"/>
    <xf numFmtId="288" fontId="12" fillId="30" borderId="65" applyAlignment="0" applyProtection="0"/>
    <xf numFmtId="0" fontId="12" fillId="0" borderId="0" applyNumberFormat="0" applyFont="0" applyFill="0" applyBorder="0" applyAlignment="0" applyProtection="0"/>
    <xf numFmtId="0" fontId="12" fillId="0" borderId="13" applyNumberFormat="0" applyFont="0" applyFill="0" applyProtection="0">
      <alignment horizontal="center"/>
    </xf>
    <xf numFmtId="0" fontId="182" fillId="50" borderId="66" applyNumberFormat="0" applyAlignment="0" applyProtection="0"/>
    <xf numFmtId="0" fontId="17" fillId="0" borderId="60" applyNumberFormat="0" applyFill="0" applyProtection="0">
      <alignment horizontal="right"/>
    </xf>
    <xf numFmtId="0" fontId="17" fillId="0" borderId="61" applyNumberFormat="0" applyFill="0" applyProtection="0">
      <alignment horizontal="right"/>
    </xf>
    <xf numFmtId="0" fontId="17" fillId="0" borderId="67" applyNumberFormat="0" applyFill="0" applyProtection="0">
      <alignment horizontal="right"/>
    </xf>
    <xf numFmtId="286" fontId="12" fillId="0" borderId="0" applyFont="0" applyFill="0" applyBorder="0" applyAlignment="0" applyProtection="0"/>
    <xf numFmtId="286" fontId="12" fillId="0" borderId="65" applyFont="0" applyFill="0" applyAlignment="0" applyProtection="0"/>
    <xf numFmtId="286" fontId="12" fillId="22" borderId="0" applyBorder="0" applyAlignment="0" applyProtection="0"/>
    <xf numFmtId="286" fontId="12" fillId="22" borderId="65" applyFont="0" applyAlignment="0" applyProtection="0"/>
    <xf numFmtId="287" fontId="12" fillId="0" borderId="65" applyFont="0" applyFill="0" applyAlignment="0" applyProtection="0"/>
    <xf numFmtId="287" fontId="12" fillId="0" borderId="0" applyFont="0" applyFill="0" applyBorder="0" applyAlignment="0" applyProtection="0"/>
    <xf numFmtId="287" fontId="12" fillId="22" borderId="0" applyBorder="0" applyAlignment="0" applyProtection="0"/>
    <xf numFmtId="287" fontId="12" fillId="22" borderId="65" applyFont="0" applyAlignment="0" applyProtection="0"/>
    <xf numFmtId="288" fontId="12" fillId="0" borderId="65" applyFont="0" applyFill="0" applyAlignment="0" applyProtection="0"/>
    <xf numFmtId="288" fontId="12" fillId="0" borderId="0" applyFill="0" applyBorder="0" applyAlignment="0" applyProtection="0"/>
    <xf numFmtId="288" fontId="12" fillId="22" borderId="0" applyBorder="0" applyAlignment="0" applyProtection="0"/>
    <xf numFmtId="288" fontId="12" fillId="22" borderId="65" applyFont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0" fontId="12" fillId="0" borderId="69" applyNumberFormat="0" applyFont="0" applyFill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0" fontId="12" fillId="0" borderId="69" applyNumberFormat="0" applyFont="0" applyFill="0" applyAlignment="0" applyProtection="0"/>
    <xf numFmtId="290" fontId="17" fillId="0" borderId="59">
      <alignment horizontal="right"/>
    </xf>
    <xf numFmtId="286" fontId="12" fillId="50" borderId="0"/>
    <xf numFmtId="286" fontId="12" fillId="50" borderId="65"/>
    <xf numFmtId="286" fontId="12" fillId="50" borderId="59"/>
    <xf numFmtId="286" fontId="12" fillId="30" borderId="0"/>
    <xf numFmtId="286" fontId="12" fillId="30" borderId="65"/>
    <xf numFmtId="286" fontId="12" fillId="30" borderId="59"/>
    <xf numFmtId="286" fontId="12" fillId="30" borderId="60"/>
    <xf numFmtId="286" fontId="12" fillId="30" borderId="61"/>
    <xf numFmtId="286" fontId="12" fillId="30" borderId="67"/>
    <xf numFmtId="0" fontId="12" fillId="0" borderId="69" applyNumberFormat="0"/>
    <xf numFmtId="0" fontId="12" fillId="0" borderId="0" applyNumberFormat="0"/>
    <xf numFmtId="0" fontId="12" fillId="0" borderId="62" applyNumberFormat="0"/>
    <xf numFmtId="0" fontId="12" fillId="0" borderId="64" applyNumberFormat="0"/>
    <xf numFmtId="0" fontId="12" fillId="0" borderId="59" applyNumberFormat="0"/>
    <xf numFmtId="0" fontId="12" fillId="0" borderId="65" applyNumberFormat="0"/>
    <xf numFmtId="0" fontId="12" fillId="0" borderId="63" applyNumberFormat="0"/>
    <xf numFmtId="0" fontId="12" fillId="0" borderId="68" applyNumberFormat="0"/>
    <xf numFmtId="0" fontId="17" fillId="0" borderId="59" applyNumberFormat="0">
      <alignment horizontal="right"/>
    </xf>
    <xf numFmtId="0" fontId="17" fillId="50" borderId="59" applyNumberFormat="0">
      <alignment horizontal="right"/>
    </xf>
    <xf numFmtId="287" fontId="12" fillId="0" borderId="59"/>
    <xf numFmtId="287" fontId="12" fillId="50" borderId="59"/>
    <xf numFmtId="288" fontId="12" fillId="0" borderId="65"/>
    <xf numFmtId="288" fontId="12" fillId="50" borderId="65"/>
    <xf numFmtId="285" fontId="12" fillId="0" borderId="59"/>
    <xf numFmtId="290" fontId="17" fillId="0" borderId="59" applyFill="0" applyProtection="0">
      <alignment horizontal="right"/>
    </xf>
    <xf numFmtId="290" fontId="17" fillId="22" borderId="59" applyProtection="0">
      <alignment horizontal="right"/>
    </xf>
    <xf numFmtId="287" fontId="12" fillId="0" borderId="59" applyFont="0" applyFill="0" applyAlignment="0" applyProtection="0"/>
    <xf numFmtId="287" fontId="12" fillId="22" borderId="59" applyFont="0" applyAlignment="0" applyProtection="0"/>
    <xf numFmtId="288" fontId="12" fillId="0" borderId="65" applyFont="0" applyFill="0" applyAlignment="0" applyProtection="0"/>
    <xf numFmtId="288" fontId="12" fillId="22" borderId="65" applyFont="0" applyAlignment="0" applyProtection="0"/>
    <xf numFmtId="285" fontId="12" fillId="0" borderId="59" applyFont="0" applyFill="0" applyAlignment="0" applyProtection="0"/>
    <xf numFmtId="286" fontId="12" fillId="22" borderId="59" applyFont="0" applyAlignment="0" applyProtection="0"/>
    <xf numFmtId="285" fontId="12" fillId="0" borderId="65" applyFont="0" applyFill="0" applyAlignment="0" applyProtection="0"/>
    <xf numFmtId="285" fontId="12" fillId="22" borderId="65" applyFont="0" applyAlignment="0" applyProtection="0"/>
    <xf numFmtId="0" fontId="12" fillId="0" borderId="69" applyNumberFormat="0" applyFont="0" applyFill="0" applyAlignment="0" applyProtection="0"/>
    <xf numFmtId="288" fontId="12" fillId="0" borderId="59" applyFont="0" applyFill="0" applyAlignment="0" applyProtection="0"/>
    <xf numFmtId="288" fontId="12" fillId="22" borderId="59" applyFont="0" applyAlignment="0" applyProtection="0"/>
    <xf numFmtId="0" fontId="12" fillId="0" borderId="69" applyNumberFormat="0" applyFont="0" applyFill="0" applyAlignment="0" applyProtection="0"/>
    <xf numFmtId="288" fontId="12" fillId="0" borderId="59" applyFont="0" applyFill="0" applyAlignment="0" applyProtection="0"/>
    <xf numFmtId="288" fontId="12" fillId="22" borderId="59" applyFont="0" applyAlignment="0" applyProtection="0"/>
    <xf numFmtId="0" fontId="17" fillId="0" borderId="59" applyNumberFormat="0" applyFill="0" applyProtection="0">
      <alignment horizontal="right"/>
    </xf>
    <xf numFmtId="0" fontId="17" fillId="22" borderId="59" applyNumberFormat="0" applyProtection="0">
      <alignment horizontal="right"/>
    </xf>
    <xf numFmtId="287" fontId="12" fillId="0" borderId="59" applyFont="0" applyFill="0" applyAlignment="0" applyProtection="0"/>
    <xf numFmtId="287" fontId="12" fillId="22" borderId="59" applyFont="0" applyAlignment="0" applyProtection="0"/>
    <xf numFmtId="288" fontId="12" fillId="0" borderId="65" applyFont="0" applyFill="0" applyAlignment="0" applyProtection="0"/>
    <xf numFmtId="288" fontId="12" fillId="22" borderId="65" applyFont="0" applyAlignment="0" applyProtection="0"/>
    <xf numFmtId="285" fontId="12" fillId="0" borderId="59" applyFont="0" applyFill="0" applyAlignment="0" applyProtection="0"/>
    <xf numFmtId="286" fontId="12" fillId="22" borderId="59" applyFont="0" applyAlignment="0" applyProtection="0"/>
    <xf numFmtId="285" fontId="12" fillId="0" borderId="65" applyFont="0" applyFill="0" applyAlignment="0" applyProtection="0"/>
    <xf numFmtId="285" fontId="12" fillId="22" borderId="65" applyFont="0" applyAlignment="0" applyProtection="0"/>
    <xf numFmtId="0" fontId="12" fillId="0" borderId="69" applyNumberFormat="0" applyFont="0" applyFill="0" applyAlignment="0" applyProtection="0"/>
    <xf numFmtId="288" fontId="12" fillId="0" borderId="59" applyFont="0" applyFill="0" applyAlignment="0" applyProtection="0"/>
    <xf numFmtId="288" fontId="12" fillId="22" borderId="59" applyFont="0" applyAlignment="0" applyProtection="0"/>
    <xf numFmtId="288" fontId="68" fillId="52" borderId="59" applyAlignment="0" applyProtection="0"/>
    <xf numFmtId="288" fontId="68" fillId="52" borderId="65" applyAlignment="0" applyProtection="0"/>
    <xf numFmtId="287" fontId="68" fillId="52" borderId="59" applyAlignment="0" applyProtection="0"/>
    <xf numFmtId="286" fontId="68" fillId="52" borderId="59" applyAlignment="0" applyProtection="0"/>
    <xf numFmtId="286" fontId="68" fillId="52" borderId="65" applyAlignment="0" applyProtection="0"/>
    <xf numFmtId="0" fontId="68" fillId="52" borderId="59" applyNumberFormat="0" applyProtection="0">
      <alignment horizontal="right"/>
    </xf>
    <xf numFmtId="286" fontId="68" fillId="52" borderId="59" applyAlignment="0" applyProtection="0"/>
    <xf numFmtId="286" fontId="68" fillId="52" borderId="65" applyAlignment="0" applyProtection="0"/>
    <xf numFmtId="0" fontId="68" fillId="52" borderId="59" applyNumberFormat="0" applyProtection="0">
      <alignment horizontal="right"/>
    </xf>
    <xf numFmtId="0" fontId="12" fillId="0" borderId="66" applyNumberFormat="0">
      <alignment horizontal="center"/>
    </xf>
    <xf numFmtId="0" fontId="68" fillId="52" borderId="59" applyNumberFormat="0">
      <alignment horizontal="right"/>
    </xf>
    <xf numFmtId="288" fontId="68" fillId="52" borderId="59">
      <alignment horizontal="right"/>
    </xf>
    <xf numFmtId="288" fontId="68" fillId="52" borderId="65">
      <alignment horizontal="right"/>
    </xf>
    <xf numFmtId="287" fontId="68" fillId="52" borderId="59">
      <alignment horizontal="right"/>
    </xf>
    <xf numFmtId="288" fontId="12" fillId="50" borderId="0" applyAlignment="0" applyProtection="0"/>
    <xf numFmtId="288" fontId="12" fillId="50" borderId="65" applyAlignment="0" applyProtection="0"/>
    <xf numFmtId="288" fontId="12" fillId="50" borderId="59" applyAlignment="0" applyProtection="0"/>
    <xf numFmtId="288" fontId="12" fillId="30" borderId="0" applyAlignment="0" applyProtection="0"/>
    <xf numFmtId="288" fontId="12" fillId="30" borderId="65" applyAlignment="0" applyProtection="0"/>
    <xf numFmtId="288" fontId="12" fillId="30" borderId="59" applyAlignment="0" applyProtection="0"/>
    <xf numFmtId="288" fontId="12" fillId="30" borderId="60" applyAlignment="0" applyProtection="0"/>
    <xf numFmtId="288" fontId="12" fillId="30" borderId="61" applyAlignment="0" applyProtection="0"/>
    <xf numFmtId="288" fontId="12" fillId="30" borderId="67" applyAlignment="0" applyProtection="0"/>
    <xf numFmtId="0" fontId="182" fillId="53" borderId="66" applyNumberFormat="0" applyAlignment="0" applyProtection="0"/>
    <xf numFmtId="0" fontId="12" fillId="0" borderId="59" applyNumberFormat="0"/>
    <xf numFmtId="0" fontId="12" fillId="50" borderId="59" applyNumberFormat="0">
      <alignment horizontal="right"/>
    </xf>
    <xf numFmtId="0" fontId="17" fillId="30" borderId="60" applyNumberFormat="0" applyProtection="0">
      <alignment horizontal="right"/>
    </xf>
    <xf numFmtId="0" fontId="12" fillId="0" borderId="68" applyNumberFormat="0"/>
    <xf numFmtId="0" fontId="17" fillId="30" borderId="61" applyNumberFormat="0" applyProtection="0">
      <alignment horizontal="right"/>
    </xf>
    <xf numFmtId="0" fontId="12" fillId="30" borderId="59" applyNumberFormat="0">
      <alignment horizontal="center"/>
    </xf>
    <xf numFmtId="0" fontId="17" fillId="30" borderId="67" applyNumberFormat="0" applyProtection="0">
      <alignment horizontal="right"/>
    </xf>
    <xf numFmtId="0" fontId="12" fillId="30" borderId="59" applyNumberFormat="0">
      <alignment horizontal="left"/>
    </xf>
    <xf numFmtId="0" fontId="17" fillId="50" borderId="59" applyNumberFormat="0" applyProtection="0">
      <alignment horizontal="right"/>
    </xf>
    <xf numFmtId="291" fontId="12" fillId="30" borderId="59">
      <alignment horizontal="left"/>
    </xf>
    <xf numFmtId="0" fontId="12" fillId="30" borderId="59" applyNumberFormat="0">
      <alignment horizontal="right"/>
    </xf>
    <xf numFmtId="0" fontId="17" fillId="30" borderId="59" applyNumberFormat="0" applyProtection="0">
      <alignment horizontal="right"/>
    </xf>
    <xf numFmtId="287" fontId="12" fillId="50" borderId="0" applyAlignment="0" applyProtection="0"/>
    <xf numFmtId="287" fontId="12" fillId="50" borderId="65" applyAlignment="0" applyProtection="0"/>
    <xf numFmtId="287" fontId="12" fillId="50" borderId="59" applyAlignment="0" applyProtection="0"/>
    <xf numFmtId="287" fontId="12" fillId="30" borderId="0" applyAlignment="0" applyProtection="0"/>
    <xf numFmtId="287" fontId="12" fillId="30" borderId="65" applyAlignment="0" applyProtection="0"/>
    <xf numFmtId="287" fontId="12" fillId="30" borderId="59" applyAlignment="0" applyProtection="0"/>
    <xf numFmtId="287" fontId="12" fillId="30" borderId="60" applyAlignment="0" applyProtection="0"/>
    <xf numFmtId="287" fontId="12" fillId="30" borderId="61" applyAlignment="0" applyProtection="0"/>
    <xf numFmtId="287" fontId="12" fillId="30" borderId="67" applyAlignment="0" applyProtection="0"/>
    <xf numFmtId="286" fontId="12" fillId="50" borderId="0" applyAlignment="0" applyProtection="0"/>
    <xf numFmtId="286" fontId="12" fillId="50" borderId="65" applyAlignment="0" applyProtection="0"/>
    <xf numFmtId="286" fontId="12" fillId="50" borderId="59" applyAlignment="0" applyProtection="0"/>
    <xf numFmtId="286" fontId="12" fillId="30" borderId="0" applyAlignment="0" applyProtection="0"/>
    <xf numFmtId="286" fontId="12" fillId="30" borderId="65" applyAlignment="0" applyProtection="0"/>
    <xf numFmtId="286" fontId="12" fillId="30" borderId="59" applyAlignment="0" applyProtection="0"/>
    <xf numFmtId="286" fontId="12" fillId="30" borderId="60" applyAlignment="0" applyProtection="0"/>
    <xf numFmtId="286" fontId="12" fillId="30" borderId="61" applyAlignment="0" applyProtection="0"/>
    <xf numFmtId="286" fontId="12" fillId="30" borderId="67" applyAlignment="0" applyProtection="0"/>
    <xf numFmtId="0" fontId="182" fillId="53" borderId="60" applyNumberFormat="0" applyProtection="0">
      <alignment horizontal="right"/>
    </xf>
    <xf numFmtId="0" fontId="182" fillId="53" borderId="61" applyNumberFormat="0" applyProtection="0">
      <alignment horizontal="right"/>
    </xf>
    <xf numFmtId="0" fontId="182" fillId="53" borderId="67" applyNumberFormat="0" applyProtection="0">
      <alignment horizontal="right"/>
    </xf>
    <xf numFmtId="0" fontId="12" fillId="0" borderId="69" applyNumberFormat="0" applyFill="0" applyAlignment="0" applyProtection="0"/>
    <xf numFmtId="285" fontId="12" fillId="30" borderId="59" applyFont="0" applyAlignment="0" applyProtection="0"/>
    <xf numFmtId="286" fontId="12" fillId="22" borderId="59" applyFont="0" applyAlignment="0" applyProtection="0"/>
    <xf numFmtId="0" fontId="12" fillId="0" borderId="66" applyNumberFormat="0" applyFill="0" applyProtection="0">
      <alignment horizontal="center"/>
    </xf>
    <xf numFmtId="292" fontId="12" fillId="50" borderId="65" applyProtection="0">
      <alignment horizontal="right"/>
    </xf>
    <xf numFmtId="292" fontId="12" fillId="30" borderId="65" applyProtection="0">
      <alignment horizontal="right"/>
    </xf>
    <xf numFmtId="0" fontId="68" fillId="52" borderId="59" applyNumberFormat="0" applyProtection="0">
      <alignment horizontal="right"/>
    </xf>
    <xf numFmtId="288" fontId="68" fillId="52" borderId="59" applyProtection="0">
      <alignment horizontal="right"/>
    </xf>
    <xf numFmtId="288" fontId="68" fillId="52" borderId="65" applyProtection="0">
      <alignment horizontal="right"/>
    </xf>
    <xf numFmtId="287" fontId="68" fillId="52" borderId="59" applyProtection="0">
      <alignment horizontal="right"/>
    </xf>
    <xf numFmtId="286" fontId="68" fillId="52" borderId="59" applyProtection="0">
      <alignment horizontal="right"/>
    </xf>
    <xf numFmtId="286" fontId="68" fillId="52" borderId="65" applyProtection="0">
      <alignment horizontal="right"/>
    </xf>
    <xf numFmtId="0" fontId="184" fillId="0" borderId="0" applyNumberFormat="0" applyFill="0" applyBorder="0" applyProtection="0">
      <alignment horizontal="left" vertical="center"/>
    </xf>
    <xf numFmtId="0" fontId="185" fillId="0" borderId="70"/>
    <xf numFmtId="0" fontId="184" fillId="0" borderId="2" applyNumberFormat="0" applyFill="0" applyProtection="0">
      <alignment horizontal="left" vertical="center"/>
    </xf>
    <xf numFmtId="0" fontId="89" fillId="0" borderId="43" applyNumberFormat="0" applyFill="0" applyProtection="0"/>
    <xf numFmtId="0" fontId="186" fillId="0" borderId="71"/>
    <xf numFmtId="49" fontId="187" fillId="0" borderId="0"/>
    <xf numFmtId="242" fontId="188" fillId="0" borderId="0" applyNumberFormat="0" applyFill="0" applyBorder="0" applyAlignment="0" applyProtection="0"/>
    <xf numFmtId="0" fontId="10" fillId="0" borderId="0" applyBorder="0"/>
    <xf numFmtId="0" fontId="189" fillId="0" borderId="0"/>
    <xf numFmtId="0" fontId="190" fillId="0" borderId="0" applyNumberFormat="0" applyFont="0" applyFill="0" applyBorder="0" applyAlignment="0">
      <alignment horizontal="left" vertical="center"/>
    </xf>
    <xf numFmtId="0" fontId="30" fillId="0" borderId="38"/>
    <xf numFmtId="0" fontId="30" fillId="0" borderId="8" applyNumberFormat="0" applyFont="0" applyFill="0" applyAlignment="0" applyProtection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40" fontId="25" fillId="0" borderId="0"/>
    <xf numFmtId="37" fontId="177" fillId="0" borderId="43"/>
    <xf numFmtId="38" fontId="191" fillId="0" borderId="0"/>
    <xf numFmtId="188" fontId="191" fillId="0" borderId="0"/>
    <xf numFmtId="37" fontId="177" fillId="0" borderId="30"/>
    <xf numFmtId="0" fontId="30" fillId="0" borderId="0"/>
    <xf numFmtId="196" fontId="10" fillId="0" borderId="0" applyFont="0" applyFill="0" applyBorder="0" applyAlignment="0" applyProtection="0"/>
    <xf numFmtId="202" fontId="10" fillId="0" borderId="0" applyFont="0" applyFill="0" applyBorder="0" applyAlignment="0" applyProtection="0"/>
    <xf numFmtId="293" fontId="12" fillId="0" borderId="0" applyFont="0" applyFill="0" applyBorder="0" applyAlignment="0" applyProtection="0"/>
    <xf numFmtId="294" fontId="12" fillId="0" borderId="0" applyFont="0" applyFill="0" applyBorder="0" applyAlignment="0" applyProtection="0"/>
    <xf numFmtId="1" fontId="150" fillId="0" borderId="0" applyFont="0" applyFill="0" applyBorder="0" applyAlignment="0" applyProtection="0"/>
    <xf numFmtId="295" fontId="17" fillId="30" borderId="0" applyNumberFormat="0" applyFont="0" applyFill="0" applyBorder="0" applyAlignment="0"/>
    <xf numFmtId="0" fontId="192" fillId="0" borderId="0"/>
    <xf numFmtId="40" fontId="155" fillId="0" borderId="0" applyAlignment="0"/>
    <xf numFmtId="0" fontId="161" fillId="0" borderId="0"/>
    <xf numFmtId="0" fontId="18" fillId="0" borderId="0"/>
    <xf numFmtId="9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12" fillId="0" borderId="0"/>
    <xf numFmtId="43" fontId="12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2" fillId="0" borderId="0"/>
    <xf numFmtId="0" fontId="12" fillId="0" borderId="0"/>
    <xf numFmtId="0" fontId="11" fillId="0" borderId="0"/>
    <xf numFmtId="296" fontId="193" fillId="0" borderId="0" applyFont="0" applyFill="0" applyBorder="0" applyAlignment="0" applyProtection="0"/>
    <xf numFmtId="37" fontId="11" fillId="0" borderId="0"/>
    <xf numFmtId="0" fontId="11" fillId="0" borderId="0"/>
    <xf numFmtId="0" fontId="12" fillId="0" borderId="0"/>
    <xf numFmtId="0" fontId="12" fillId="0" borderId="0" applyNumberFormat="0" applyFont="0" applyFill="0" applyBorder="0" applyAlignment="0" applyProtection="0"/>
    <xf numFmtId="0" fontId="148" fillId="0" borderId="0" applyNumberFormat="0" applyFont="0" applyFill="0" applyBorder="0" applyAlignment="0" applyProtection="0"/>
    <xf numFmtId="0" fontId="148" fillId="0" borderId="0" applyNumberFormat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1" fillId="0" borderId="0"/>
    <xf numFmtId="0" fontId="12" fillId="0" borderId="0"/>
    <xf numFmtId="0" fontId="12" fillId="0" borderId="0"/>
    <xf numFmtId="0" fontId="12" fillId="0" borderId="0"/>
    <xf numFmtId="0" fontId="12" fillId="0" borderId="0" applyFont="0" applyFill="0" applyBorder="0" applyAlignment="0" applyProtection="0"/>
    <xf numFmtId="0" fontId="12" fillId="0" borderId="0"/>
    <xf numFmtId="182" fontId="12" fillId="0" borderId="0" applyFont="0" applyFill="0" applyBorder="0" applyAlignment="0" applyProtection="0"/>
    <xf numFmtId="182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97" fontId="14" fillId="0" borderId="0" applyFont="0" applyFill="0" applyBorder="0" applyAlignment="0" applyProtection="0"/>
    <xf numFmtId="297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298" fontId="11" fillId="0" borderId="0"/>
    <xf numFmtId="298" fontId="11" fillId="0" borderId="0"/>
    <xf numFmtId="0" fontId="14" fillId="0" borderId="0"/>
    <xf numFmtId="0" fontId="11" fillId="0" borderId="0"/>
    <xf numFmtId="198" fontId="14" fillId="0" borderId="0"/>
    <xf numFmtId="0" fontId="11" fillId="0" borderId="0"/>
    <xf numFmtId="164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0" fontId="11" fillId="0" borderId="0"/>
    <xf numFmtId="198" fontId="14" fillId="0" borderId="0"/>
    <xf numFmtId="0" fontId="11" fillId="0" borderId="0"/>
    <xf numFmtId="164" fontId="1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2" fillId="0" borderId="0"/>
    <xf numFmtId="0" fontId="14" fillId="0" borderId="0"/>
    <xf numFmtId="41" fontId="12" fillId="0" borderId="0"/>
    <xf numFmtId="0" fontId="14" fillId="0" borderId="0"/>
    <xf numFmtId="0" fontId="12" fillId="0" borderId="0" applyFont="0" applyFill="0" applyBorder="0" applyAlignment="0" applyProtection="0"/>
    <xf numFmtId="0" fontId="12" fillId="0" borderId="0"/>
    <xf numFmtId="0" fontId="11" fillId="0" borderId="0"/>
    <xf numFmtId="199" fontId="12" fillId="0" borderId="0"/>
    <xf numFmtId="199" fontId="12" fillId="0" borderId="0"/>
    <xf numFmtId="0" fontId="11" fillId="0" borderId="0"/>
    <xf numFmtId="199" fontId="12" fillId="0" borderId="0"/>
    <xf numFmtId="199" fontId="12" fillId="0" borderId="0"/>
    <xf numFmtId="0" fontId="11" fillId="0" borderId="0"/>
    <xf numFmtId="199" fontId="12" fillId="0" borderId="0"/>
    <xf numFmtId="199" fontId="12" fillId="0" borderId="0"/>
    <xf numFmtId="0" fontId="11" fillId="0" borderId="0"/>
    <xf numFmtId="199" fontId="12" fillId="0" borderId="0"/>
    <xf numFmtId="199" fontId="12" fillId="0" borderId="0"/>
    <xf numFmtId="299" fontId="144" fillId="0" borderId="0"/>
    <xf numFmtId="0" fontId="11" fillId="0" borderId="0"/>
    <xf numFmtId="199" fontId="12" fillId="0" borderId="0"/>
    <xf numFmtId="199" fontId="12" fillId="0" borderId="0"/>
    <xf numFmtId="0" fontId="12" fillId="0" borderId="0" applyNumberFormat="0" applyFill="0" applyBorder="0" applyAlignment="0" applyProtection="0"/>
    <xf numFmtId="0" fontId="11" fillId="0" borderId="0"/>
    <xf numFmtId="199" fontId="12" fillId="0" borderId="0"/>
    <xf numFmtId="199" fontId="12" fillId="0" borderId="0"/>
    <xf numFmtId="0" fontId="12" fillId="0" borderId="0" applyFont="0" applyFill="0" applyBorder="0" applyAlignment="0" applyProtection="0"/>
    <xf numFmtId="0" fontId="12" fillId="0" borderId="0"/>
    <xf numFmtId="0" fontId="12" fillId="0" borderId="0" applyFont="0" applyFill="0" applyBorder="0" applyAlignment="0" applyProtection="0"/>
    <xf numFmtId="0" fontId="11" fillId="0" borderId="0"/>
    <xf numFmtId="0" fontId="12" fillId="0" borderId="0"/>
    <xf numFmtId="0" fontId="12" fillId="0" borderId="0"/>
    <xf numFmtId="41" fontId="12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30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300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1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298" fontId="11" fillId="0" borderId="0"/>
    <xf numFmtId="298" fontId="11" fillId="0" borderId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302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302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41" fontId="14" fillId="0" borderId="0" applyFont="0" applyFill="0" applyBorder="0" applyAlignment="0" applyProtection="0"/>
    <xf numFmtId="0" fontId="14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03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3" fontId="14" fillId="0" borderId="0"/>
    <xf numFmtId="3" fontId="14" fillId="0" borderId="0"/>
    <xf numFmtId="0" fontId="11" fillId="0" borderId="0"/>
    <xf numFmtId="0" fontId="11" fillId="0" borderId="0"/>
    <xf numFmtId="204" fontId="11" fillId="0" borderId="0"/>
    <xf numFmtId="204" fontId="11" fillId="0" borderId="0"/>
    <xf numFmtId="188" fontId="11" fillId="0" borderId="0"/>
    <xf numFmtId="188" fontId="11" fillId="0" borderId="0"/>
    <xf numFmtId="0" fontId="11" fillId="0" borderId="0"/>
    <xf numFmtId="204" fontId="11" fillId="0" borderId="0"/>
    <xf numFmtId="204" fontId="11" fillId="0" borderId="0"/>
    <xf numFmtId="0" fontId="11" fillId="0" borderId="0"/>
    <xf numFmtId="199" fontId="12" fillId="0" borderId="0"/>
    <xf numFmtId="199" fontId="12" fillId="0" borderId="0"/>
    <xf numFmtId="0" fontId="12" fillId="0" borderId="0"/>
    <xf numFmtId="0" fontId="12" fillId="0" borderId="0" applyNumberFormat="0" applyFill="0" applyBorder="0" applyAlignment="0" applyProtection="0"/>
    <xf numFmtId="3" fontId="14" fillId="0" borderId="0"/>
    <xf numFmtId="3" fontId="14" fillId="0" borderId="0"/>
    <xf numFmtId="304" fontId="193" fillId="0" borderId="0" applyFont="0" applyFill="0" applyBorder="0" applyAlignment="0" applyProtection="0"/>
    <xf numFmtId="0" fontId="12" fillId="0" borderId="0"/>
    <xf numFmtId="0" fontId="27" fillId="0" borderId="0" applyFont="0" applyFill="0" applyBorder="0" applyAlignment="0" applyProtection="0"/>
    <xf numFmtId="232" fontId="193" fillId="0" borderId="0" applyFont="0" applyFill="0" applyBorder="0" applyAlignment="0" applyProtection="0"/>
    <xf numFmtId="305" fontId="12" fillId="0" borderId="0" applyFont="0" applyFill="0" applyBorder="0" applyAlignment="0" applyProtection="0"/>
    <xf numFmtId="305" fontId="12" fillId="0" borderId="0" applyFont="0" applyFill="0" applyBorder="0" applyAlignment="0" applyProtection="0"/>
    <xf numFmtId="3" fontId="11" fillId="0" borderId="0"/>
    <xf numFmtId="0" fontId="11" fillId="0" borderId="0" applyBorder="0"/>
    <xf numFmtId="2" fontId="25" fillId="0" borderId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4" borderId="0" applyNumberFormat="0" applyBorder="0" applyAlignment="0" applyProtection="0"/>
    <xf numFmtId="0" fontId="15" fillId="5" borderId="0" applyNumberFormat="0" applyBorder="0" applyAlignment="0" applyProtection="0"/>
    <xf numFmtId="0" fontId="15" fillId="5" borderId="0" applyNumberFormat="0" applyBorder="0" applyAlignment="0" applyProtection="0"/>
    <xf numFmtId="0" fontId="15" fillId="2" borderId="0" applyNumberFormat="0" applyBorder="0" applyAlignment="0" applyProtection="0"/>
    <xf numFmtId="0" fontId="15" fillId="2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15" fillId="4" borderId="0" applyNumberFormat="0" applyBorder="0" applyAlignment="0" applyProtection="0"/>
    <xf numFmtId="0" fontId="15" fillId="4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15" fillId="6" borderId="0" applyNumberFormat="0" applyBorder="0" applyAlignment="0" applyProtection="0"/>
    <xf numFmtId="0" fontId="15" fillId="3" borderId="0" applyNumberFormat="0" applyBorder="0" applyAlignment="0" applyProtection="0"/>
    <xf numFmtId="0" fontId="15" fillId="3" borderId="0" applyNumberFormat="0" applyBorder="0" applyAlignment="0" applyProtection="0"/>
    <xf numFmtId="0" fontId="68" fillId="7" borderId="0" applyNumberFormat="0" applyBorder="0" applyAlignment="0" applyProtection="0"/>
    <xf numFmtId="0" fontId="68" fillId="3" borderId="0" applyNumberFormat="0" applyBorder="0" applyAlignment="0" applyProtection="0"/>
    <xf numFmtId="0" fontId="68" fillId="4" borderId="0" applyNumberFormat="0" applyBorder="0" applyAlignment="0" applyProtection="0"/>
    <xf numFmtId="0" fontId="68" fillId="8" borderId="0" applyNumberFormat="0" applyBorder="0" applyAlignment="0" applyProtection="0"/>
    <xf numFmtId="0" fontId="68" fillId="7" borderId="0" applyNumberFormat="0" applyBorder="0" applyAlignment="0" applyProtection="0"/>
    <xf numFmtId="0" fontId="68" fillId="3" borderId="0" applyNumberFormat="0" applyBorder="0" applyAlignment="0" applyProtection="0"/>
    <xf numFmtId="0" fontId="68" fillId="9" borderId="0" applyNumberFormat="0" applyBorder="0" applyAlignment="0" applyProtection="0"/>
    <xf numFmtId="0" fontId="68" fillId="10" borderId="0" applyNumberFormat="0" applyBorder="0" applyAlignment="0" applyProtection="0"/>
    <xf numFmtId="0" fontId="68" fillId="11" borderId="0" applyNumberFormat="0" applyBorder="0" applyAlignment="0" applyProtection="0"/>
    <xf numFmtId="0" fontId="68" fillId="12" borderId="0" applyNumberFormat="0" applyBorder="0" applyAlignment="0" applyProtection="0"/>
    <xf numFmtId="0" fontId="68" fillId="13" borderId="0" applyNumberFormat="0" applyBorder="0" applyAlignment="0" applyProtection="0"/>
    <xf numFmtId="0" fontId="68" fillId="14" borderId="0" applyNumberFormat="0" applyBorder="0" applyAlignment="0" applyProtection="0"/>
    <xf numFmtId="0" fontId="13" fillId="0" borderId="0" applyNumberFormat="0" applyFill="0" applyBorder="0" applyAlignment="0" applyProtection="0"/>
    <xf numFmtId="306" fontId="65" fillId="0" borderId="0" applyFont="0" applyAlignment="0"/>
    <xf numFmtId="10" fontId="194" fillId="0" borderId="0" applyNumberFormat="0" applyFill="0" applyBorder="0" applyAlignment="0" applyProtection="0">
      <alignment horizontal="right"/>
    </xf>
    <xf numFmtId="10" fontId="194" fillId="0" borderId="0" applyNumberFormat="0" applyFill="0" applyBorder="0" applyAlignment="0" applyProtection="0">
      <alignment horizontal="right"/>
    </xf>
    <xf numFmtId="0" fontId="97" fillId="16" borderId="0" applyNumberFormat="0" applyBorder="0" applyAlignment="0" applyProtection="0"/>
    <xf numFmtId="38" fontId="13" fillId="0" borderId="0"/>
    <xf numFmtId="0" fontId="68" fillId="33" borderId="73"/>
    <xf numFmtId="38" fontId="37" fillId="0" borderId="0" applyNumberFormat="0" applyBorder="0" applyAlignment="0" applyProtection="0"/>
    <xf numFmtId="37" fontId="193" fillId="0" borderId="43" applyNumberFormat="0" applyFont="0" applyFill="0" applyAlignment="0" applyProtection="0"/>
    <xf numFmtId="307" fontId="12" fillId="0" borderId="0" applyFont="0" applyFill="0" applyBorder="0" applyAlignment="0" applyProtection="0"/>
    <xf numFmtId="192" fontId="12" fillId="0" borderId="0" applyFont="0" applyFill="0" applyBorder="0" applyAlignment="0" applyProtection="0"/>
    <xf numFmtId="2" fontId="13" fillId="17" borderId="0" applyNumberFormat="0" applyFont="0" applyBorder="0" applyAlignment="0" applyProtection="0"/>
    <xf numFmtId="0" fontId="98" fillId="18" borderId="3" applyNumberFormat="0" applyAlignment="0" applyProtection="0"/>
    <xf numFmtId="0" fontId="195" fillId="0" borderId="74"/>
    <xf numFmtId="296" fontId="196" fillId="0" borderId="0" applyFill="0" applyBorder="0" applyAlignment="0" applyProtection="0"/>
    <xf numFmtId="0" fontId="99" fillId="8" borderId="4" applyNumberFormat="0" applyAlignment="0" applyProtection="0"/>
    <xf numFmtId="0" fontId="12" fillId="0" borderId="0" applyNumberFormat="0" applyFont="0" applyFill="0" applyBorder="0" applyAlignment="0" applyProtection="0"/>
    <xf numFmtId="0" fontId="12" fillId="0" borderId="2" applyNumberFormat="0" applyFill="0" applyProtection="0">
      <alignment horizontal="right"/>
    </xf>
    <xf numFmtId="308" fontId="197" fillId="0" borderId="0" applyFont="0" applyFill="0" applyBorder="0" applyAlignment="0" applyProtection="0">
      <alignment horizontal="right"/>
    </xf>
    <xf numFmtId="43" fontId="6" fillId="0" borderId="0" applyFont="0" applyFill="0" applyBorder="0" applyAlignment="0" applyProtection="0"/>
    <xf numFmtId="40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0" fontId="12" fillId="0" borderId="0"/>
    <xf numFmtId="3" fontId="198" fillId="0" borderId="0" applyFont="0" applyFill="0" applyBorder="0" applyAlignment="0" applyProtection="0"/>
    <xf numFmtId="3" fontId="27" fillId="0" borderId="0"/>
    <xf numFmtId="6" fontId="10" fillId="0" borderId="0" applyFont="0" applyFill="0" applyBorder="0" applyAlignment="0" applyProtection="0"/>
    <xf numFmtId="309" fontId="197" fillId="0" borderId="0" applyFont="0" applyFill="0" applyBorder="0" applyAlignment="0" applyProtection="0">
      <alignment horizontal="right"/>
    </xf>
    <xf numFmtId="38" fontId="13" fillId="0" borderId="6" applyBorder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15" fillId="0" borderId="0"/>
    <xf numFmtId="14" fontId="10" fillId="0" borderId="0"/>
    <xf numFmtId="310" fontId="197" fillId="0" borderId="0" applyFont="0" applyFill="0" applyBorder="0" applyAlignment="0" applyProtection="0"/>
    <xf numFmtId="14" fontId="15" fillId="0" borderId="0" applyFill="0" applyBorder="0" applyAlignment="0"/>
    <xf numFmtId="14" fontId="10" fillId="0" borderId="0"/>
    <xf numFmtId="39" fontId="194" fillId="0" borderId="0" applyFont="0" applyFill="0" applyBorder="0" applyProtection="0">
      <alignment horizontal="right"/>
    </xf>
    <xf numFmtId="311" fontId="12" fillId="0" borderId="0"/>
    <xf numFmtId="311" fontId="12" fillId="0" borderId="0"/>
    <xf numFmtId="312" fontId="197" fillId="0" borderId="75" applyNumberFormat="0" applyFont="0" applyFill="0" applyAlignment="0" applyProtection="0"/>
    <xf numFmtId="38" fontId="12" fillId="0" borderId="2" applyBorder="0" applyAlignment="0" applyProtection="0"/>
    <xf numFmtId="0" fontId="57" fillId="0" borderId="29" applyNumberFormat="0" applyFont="0" applyBorder="0" applyAlignment="0">
      <alignment horizontal="centerContinuous"/>
    </xf>
    <xf numFmtId="0" fontId="100" fillId="0" borderId="0" applyNumberFormat="0" applyFill="0" applyBorder="0" applyAlignment="0" applyProtection="0"/>
    <xf numFmtId="9" fontId="199" fillId="0" borderId="0"/>
    <xf numFmtId="0" fontId="200" fillId="0" borderId="0"/>
    <xf numFmtId="313" fontId="10" fillId="0" borderId="0"/>
    <xf numFmtId="0" fontId="12" fillId="0" borderId="0">
      <alignment vertical="center"/>
    </xf>
    <xf numFmtId="0" fontId="201" fillId="0" borderId="0"/>
    <xf numFmtId="1" fontId="13" fillId="0" borderId="0" applyNumberFormat="0" applyBorder="0" applyAlignment="0" applyProtection="0"/>
    <xf numFmtId="0" fontId="13" fillId="0" borderId="0" applyProtection="0"/>
    <xf numFmtId="37" fontId="115" fillId="0" borderId="0"/>
    <xf numFmtId="37" fontId="12" fillId="0" borderId="0" applyNumberFormat="0" applyFill="0" applyBorder="0" applyAlignment="0" applyProtection="0">
      <alignment horizontal="right"/>
    </xf>
    <xf numFmtId="37" fontId="12" fillId="0" borderId="0" applyNumberFormat="0" applyFill="0" applyBorder="0" applyAlignment="0" applyProtection="0">
      <alignment horizontal="right"/>
    </xf>
    <xf numFmtId="0" fontId="12" fillId="0" borderId="0"/>
    <xf numFmtId="0" fontId="66" fillId="21" borderId="0" applyNumberFormat="0" applyBorder="0" applyAlignment="0" applyProtection="0"/>
    <xf numFmtId="0" fontId="12" fillId="0" borderId="0"/>
    <xf numFmtId="0" fontId="12" fillId="0" borderId="0"/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49" fontId="49" fillId="0" borderId="0">
      <alignment horizontal="right"/>
    </xf>
    <xf numFmtId="314" fontId="22" fillId="23" borderId="13" applyNumberFormat="0" applyFont="0" applyAlignment="0"/>
    <xf numFmtId="315" fontId="197" fillId="0" borderId="0" applyFont="0" applyFill="0" applyBorder="0" applyAlignment="0" applyProtection="0">
      <alignment horizontal="right"/>
    </xf>
    <xf numFmtId="0" fontId="17" fillId="0" borderId="0"/>
    <xf numFmtId="0" fontId="59" fillId="0" borderId="0"/>
    <xf numFmtId="0" fontId="202" fillId="0" borderId="0" applyProtection="0">
      <alignment horizontal="left"/>
    </xf>
    <xf numFmtId="0" fontId="203" fillId="0" borderId="0" applyProtection="0">
      <alignment horizontal="left"/>
    </xf>
    <xf numFmtId="0" fontId="101" fillId="0" borderId="0" applyNumberFormat="0" applyFill="0" applyBorder="0" applyAlignment="0" applyProtection="0"/>
    <xf numFmtId="184" fontId="58" fillId="0" borderId="0">
      <alignment horizontal="left" vertical="center"/>
    </xf>
    <xf numFmtId="211" fontId="12" fillId="0" borderId="0" applyFont="0" applyFill="0" applyBorder="0" applyAlignment="0" applyProtection="0"/>
    <xf numFmtId="38" fontId="12" fillId="0" borderId="0"/>
    <xf numFmtId="175" fontId="12" fillId="0" borderId="0"/>
    <xf numFmtId="0" fontId="199" fillId="55" borderId="0"/>
    <xf numFmtId="1" fontId="204" fillId="0" borderId="0" applyNumberFormat="0">
      <alignment horizontal="right"/>
    </xf>
    <xf numFmtId="1" fontId="204" fillId="0" borderId="0" applyNumberFormat="0">
      <alignment horizontal="right"/>
    </xf>
    <xf numFmtId="1" fontId="204" fillId="0" borderId="0" applyNumberFormat="0">
      <alignment horizontal="right"/>
    </xf>
    <xf numFmtId="10" fontId="205" fillId="0" borderId="0"/>
    <xf numFmtId="0" fontId="28" fillId="0" borderId="0" applyNumberFormat="0" applyFill="0" applyBorder="0" applyAlignment="0"/>
    <xf numFmtId="0" fontId="12" fillId="0" borderId="75" applyNumberFormat="0" applyFont="0" applyFill="0"/>
    <xf numFmtId="0" fontId="102" fillId="0" borderId="17" applyNumberFormat="0" applyFill="0" applyAlignment="0" applyProtection="0"/>
    <xf numFmtId="316" fontId="12" fillId="0" borderId="0" applyFont="0" applyFill="0" applyBorder="0" applyAlignment="0" applyProtection="0"/>
    <xf numFmtId="0" fontId="206" fillId="0" borderId="76" applyNumberFormat="0" applyFill="0" applyAlignment="0" applyProtection="0"/>
    <xf numFmtId="0" fontId="124" fillId="0" borderId="0" applyNumberFormat="0" applyAlignment="0" applyProtection="0"/>
    <xf numFmtId="0" fontId="124" fillId="0" borderId="0" applyNumberFormat="0" applyAlignment="0" applyProtection="0"/>
    <xf numFmtId="0" fontId="207" fillId="0" borderId="0">
      <alignment horizontal="center" vertical="center"/>
    </xf>
    <xf numFmtId="3" fontId="29" fillId="0" borderId="0" applyFont="0" applyFill="0" applyBorder="0" applyAlignment="0" applyProtection="0"/>
    <xf numFmtId="38" fontId="88" fillId="0" borderId="0" applyFill="0" applyBorder="0" applyAlignment="0" applyProtection="0"/>
    <xf numFmtId="17" fontId="193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2" fillId="0" borderId="0" applyFont="0" applyFill="0" applyBorder="0" applyAlignment="0" applyProtection="0"/>
    <xf numFmtId="317" fontId="12" fillId="0" borderId="0" applyFont="0" applyFill="0" applyBorder="0" applyAlignment="0" applyProtection="0">
      <alignment horizontal="right"/>
    </xf>
    <xf numFmtId="0" fontId="103" fillId="4" borderId="0" applyNumberFormat="0" applyBorder="0" applyAlignment="0" applyProtection="0"/>
    <xf numFmtId="0" fontId="14" fillId="0" borderId="0" applyFont="0" applyFill="0" applyBorder="0" applyAlignment="0" applyProtection="0"/>
    <xf numFmtId="37" fontId="115" fillId="0" borderId="0" applyFont="0" applyFill="0" applyBorder="0" applyProtection="0">
      <alignment horizontal="right"/>
    </xf>
    <xf numFmtId="318" fontId="12" fillId="0" borderId="0"/>
    <xf numFmtId="318" fontId="1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1" fillId="0" borderId="0" applyFont="0"/>
    <xf numFmtId="0" fontId="11" fillId="0" borderId="0" applyFont="0"/>
    <xf numFmtId="0" fontId="11" fillId="0" borderId="0" applyFont="0"/>
    <xf numFmtId="0" fontId="208" fillId="0" borderId="0"/>
    <xf numFmtId="0" fontId="15" fillId="4" borderId="19" applyNumberFormat="0" applyFont="0" applyAlignment="0" applyProtection="0"/>
    <xf numFmtId="0" fontId="15" fillId="4" borderId="19" applyNumberFormat="0" applyFont="0" applyAlignment="0" applyProtection="0"/>
    <xf numFmtId="37" fontId="205" fillId="0" borderId="0"/>
    <xf numFmtId="37" fontId="25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171" fontId="209" fillId="0" borderId="0"/>
    <xf numFmtId="0" fontId="104" fillId="18" borderId="20" applyNumberFormat="0" applyAlignment="0" applyProtection="0"/>
    <xf numFmtId="1" fontId="210" fillId="0" borderId="0" applyProtection="0">
      <alignment horizontal="right" vertical="center"/>
    </xf>
    <xf numFmtId="8" fontId="193" fillId="56" borderId="0" applyNumberFormat="0" applyFont="0" applyBorder="0" applyAlignment="0" applyProtection="0"/>
    <xf numFmtId="10" fontId="115" fillId="0" borderId="0" applyFont="0" applyFill="0" applyBorder="0" applyProtection="0">
      <alignment horizontal="right"/>
    </xf>
    <xf numFmtId="9" fontId="10" fillId="0" borderId="0" applyFont="0" applyFill="0" applyBorder="0" applyAlignment="0" applyProtection="0"/>
    <xf numFmtId="175" fontId="14" fillId="0" borderId="5" applyFill="0" applyBorder="0" applyProtection="0"/>
    <xf numFmtId="9" fontId="8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4" fontId="211" fillId="4" borderId="77" applyNumberFormat="0" applyProtection="0">
      <alignment vertical="center"/>
    </xf>
    <xf numFmtId="4" fontId="212" fillId="32" borderId="77" applyNumberFormat="0" applyProtection="0">
      <alignment vertical="center"/>
    </xf>
    <xf numFmtId="4" fontId="211" fillId="32" borderId="77" applyNumberFormat="0" applyProtection="0">
      <alignment horizontal="left" vertical="center" indent="1"/>
    </xf>
    <xf numFmtId="0" fontId="211" fillId="32" borderId="77" applyNumberFormat="0" applyProtection="0">
      <alignment horizontal="left" vertical="top" indent="1"/>
    </xf>
    <xf numFmtId="4" fontId="211" fillId="31" borderId="0" applyNumberFormat="0" applyProtection="0">
      <alignment horizontal="left" vertical="center" indent="1"/>
    </xf>
    <xf numFmtId="4" fontId="15" fillId="16" borderId="77" applyNumberFormat="0" applyProtection="0">
      <alignment horizontal="right" vertical="center"/>
    </xf>
    <xf numFmtId="4" fontId="15" fillId="57" borderId="77" applyNumberFormat="0" applyProtection="0">
      <alignment horizontal="right" vertical="center"/>
    </xf>
    <xf numFmtId="4" fontId="15" fillId="10" borderId="77" applyNumberFormat="0" applyProtection="0">
      <alignment horizontal="right" vertical="center"/>
    </xf>
    <xf numFmtId="4" fontId="15" fillId="58" borderId="77" applyNumberFormat="0" applyProtection="0">
      <alignment horizontal="right" vertical="center"/>
    </xf>
    <xf numFmtId="4" fontId="15" fillId="59" borderId="77" applyNumberFormat="0" applyProtection="0">
      <alignment horizontal="right" vertical="center"/>
    </xf>
    <xf numFmtId="4" fontId="15" fillId="14" borderId="77" applyNumberFormat="0" applyProtection="0">
      <alignment horizontal="right" vertical="center"/>
    </xf>
    <xf numFmtId="4" fontId="15" fillId="11" borderId="77" applyNumberFormat="0" applyProtection="0">
      <alignment horizontal="right" vertical="center"/>
    </xf>
    <xf numFmtId="4" fontId="15" fillId="60" borderId="77" applyNumberFormat="0" applyProtection="0">
      <alignment horizontal="right" vertical="center"/>
    </xf>
    <xf numFmtId="4" fontId="15" fillId="61" borderId="77" applyNumberFormat="0" applyProtection="0">
      <alignment horizontal="right" vertical="center"/>
    </xf>
    <xf numFmtId="4" fontId="211" fillId="62" borderId="78" applyNumberFormat="0" applyProtection="0">
      <alignment horizontal="left" vertical="center" indent="1"/>
    </xf>
    <xf numFmtId="4" fontId="15" fillId="63" borderId="0" applyNumberFormat="0" applyProtection="0">
      <alignment horizontal="left" vertical="center" indent="1"/>
    </xf>
    <xf numFmtId="4" fontId="213" fillId="64" borderId="0" applyNumberFormat="0" applyProtection="0">
      <alignment horizontal="left" vertical="center" indent="1"/>
    </xf>
    <xf numFmtId="4" fontId="15" fillId="65" borderId="77" applyNumberFormat="0" applyProtection="0">
      <alignment horizontal="right" vertical="center"/>
    </xf>
    <xf numFmtId="4" fontId="15" fillId="63" borderId="0" applyNumberFormat="0" applyProtection="0">
      <alignment horizontal="left" vertical="center" indent="1"/>
    </xf>
    <xf numFmtId="4" fontId="15" fillId="63" borderId="0" applyNumberFormat="0" applyProtection="0">
      <alignment horizontal="left" vertical="center" indent="1"/>
    </xf>
    <xf numFmtId="4" fontId="15" fillId="31" borderId="0" applyNumberFormat="0" applyProtection="0">
      <alignment horizontal="left" vertical="center" indent="1"/>
    </xf>
    <xf numFmtId="4" fontId="15" fillId="31" borderId="0" applyNumberFormat="0" applyProtection="0">
      <alignment horizontal="left" vertical="center" indent="1"/>
    </xf>
    <xf numFmtId="0" fontId="12" fillId="64" borderId="77" applyNumberFormat="0" applyProtection="0">
      <alignment horizontal="left" vertical="center" indent="1"/>
    </xf>
    <xf numFmtId="0" fontId="12" fillId="64" borderId="77" applyNumberFormat="0" applyProtection="0">
      <alignment horizontal="left" vertical="top" indent="1"/>
    </xf>
    <xf numFmtId="0" fontId="12" fillId="31" borderId="77" applyNumberFormat="0" applyProtection="0">
      <alignment horizontal="left" vertical="center" indent="1"/>
    </xf>
    <xf numFmtId="0" fontId="12" fillId="31" borderId="77" applyNumberFormat="0" applyProtection="0">
      <alignment horizontal="left" vertical="top" indent="1"/>
    </xf>
    <xf numFmtId="0" fontId="12" fillId="44" borderId="77" applyNumberFormat="0" applyProtection="0">
      <alignment horizontal="left" vertical="center" indent="1"/>
    </xf>
    <xf numFmtId="0" fontId="12" fillId="44" borderId="77" applyNumberFormat="0" applyProtection="0">
      <alignment horizontal="left" vertical="top" indent="1"/>
    </xf>
    <xf numFmtId="0" fontId="12" fillId="48" borderId="77" applyNumberFormat="0" applyProtection="0">
      <alignment horizontal="left" vertical="center" indent="1"/>
    </xf>
    <xf numFmtId="0" fontId="12" fillId="48" borderId="77" applyNumberFormat="0" applyProtection="0">
      <alignment horizontal="left" vertical="top" indent="1"/>
    </xf>
    <xf numFmtId="4" fontId="15" fillId="23" borderId="77" applyNumberFormat="0" applyProtection="0">
      <alignment vertical="center"/>
    </xf>
    <xf numFmtId="4" fontId="214" fillId="23" borderId="77" applyNumberFormat="0" applyProtection="0">
      <alignment vertical="center"/>
    </xf>
    <xf numFmtId="4" fontId="15" fillId="23" borderId="77" applyNumberFormat="0" applyProtection="0">
      <alignment horizontal="left" vertical="center" indent="1"/>
    </xf>
    <xf numFmtId="0" fontId="15" fillId="23" borderId="77" applyNumberFormat="0" applyProtection="0">
      <alignment horizontal="left" vertical="top" indent="1"/>
    </xf>
    <xf numFmtId="4" fontId="15" fillId="63" borderId="77" applyNumberFormat="0" applyProtection="0">
      <alignment horizontal="right" vertical="center"/>
    </xf>
    <xf numFmtId="4" fontId="214" fillId="63" borderId="77" applyNumberFormat="0" applyProtection="0">
      <alignment horizontal="right" vertical="center"/>
    </xf>
    <xf numFmtId="4" fontId="15" fillId="65" borderId="77" applyNumberFormat="0" applyProtection="0">
      <alignment horizontal="left" vertical="center" indent="1"/>
    </xf>
    <xf numFmtId="0" fontId="15" fillId="31" borderId="77" applyNumberFormat="0" applyProtection="0">
      <alignment horizontal="left" vertical="top" indent="1"/>
    </xf>
    <xf numFmtId="4" fontId="215" fillId="26" borderId="0" applyNumberFormat="0" applyProtection="0">
      <alignment horizontal="left" vertical="center" indent="1"/>
    </xf>
    <xf numFmtId="4" fontId="106" fillId="63" borderId="77" applyNumberFormat="0" applyProtection="0">
      <alignment horizontal="right" vertical="center"/>
    </xf>
    <xf numFmtId="0" fontId="12" fillId="7" borderId="0" applyNumberFormat="0" applyFont="0" applyBorder="0" applyAlignment="0" applyProtection="0"/>
    <xf numFmtId="0" fontId="12" fillId="66" borderId="0" applyNumberFormat="0" applyFont="0" applyBorder="0" applyAlignment="0" applyProtection="0"/>
    <xf numFmtId="0" fontId="12" fillId="67" borderId="0" applyNumberFormat="0" applyFont="0" applyBorder="0" applyAlignment="0" applyProtection="0"/>
    <xf numFmtId="0" fontId="12" fillId="0" borderId="0" applyNumberFormat="0" applyFont="0" applyFill="0" applyBorder="0" applyAlignment="0" applyProtection="0"/>
    <xf numFmtId="0" fontId="12" fillId="67" borderId="0" applyNumberFormat="0" applyFont="0" applyBorder="0" applyAlignment="0" applyProtection="0"/>
    <xf numFmtId="0" fontId="12" fillId="0" borderId="0" applyNumberFormat="0" applyFont="0" applyFill="0" applyBorder="0" applyAlignment="0" applyProtection="0"/>
    <xf numFmtId="0" fontId="12" fillId="0" borderId="0" applyNumberFormat="0" applyFont="0" applyBorder="0" applyAlignment="0" applyProtection="0"/>
    <xf numFmtId="38" fontId="12" fillId="1" borderId="0">
      <alignment horizontal="right"/>
    </xf>
    <xf numFmtId="0" fontId="216" fillId="0" borderId="0" applyFont="0" applyFill="0" applyBorder="0">
      <alignment horizontal="right"/>
    </xf>
    <xf numFmtId="3" fontId="12" fillId="19" borderId="22" applyFont="0" applyFill="0" applyBorder="0" applyAlignment="0" applyProtection="0"/>
    <xf numFmtId="4" fontId="12" fillId="19" borderId="22" applyFont="0" applyFill="0" applyBorder="0" applyAlignment="0" applyProtection="0"/>
    <xf numFmtId="0" fontId="12" fillId="19" borderId="23" applyFont="0" applyFill="0" applyBorder="0" applyAlignment="0" applyProtection="0"/>
    <xf numFmtId="10" fontId="12" fillId="19" borderId="22" applyFont="0" applyFill="0" applyBorder="0" applyAlignment="0" applyProtection="0"/>
    <xf numFmtId="9" fontId="12" fillId="19" borderId="22" applyFont="0" applyFill="0" applyBorder="0" applyAlignment="0" applyProtection="0"/>
    <xf numFmtId="2" fontId="12" fillId="19" borderId="22" applyFont="0" applyFill="0" applyBorder="0" applyAlignment="0" applyProtection="0"/>
    <xf numFmtId="0" fontId="150" fillId="0" borderId="0"/>
    <xf numFmtId="3" fontId="14" fillId="0" borderId="0"/>
    <xf numFmtId="42" fontId="217" fillId="0" borderId="0"/>
    <xf numFmtId="319" fontId="12" fillId="0" borderId="0"/>
    <xf numFmtId="312" fontId="218" fillId="0" borderId="43" applyBorder="0" applyProtection="0">
      <alignment horizontal="right" vertical="center"/>
    </xf>
    <xf numFmtId="0" fontId="219" fillId="68" borderId="0" applyBorder="0" applyProtection="0">
      <alignment horizontal="centerContinuous" vertical="center"/>
    </xf>
    <xf numFmtId="0" fontId="219" fillId="40" borderId="43" applyBorder="0" applyProtection="0">
      <alignment horizontal="centerContinuous" vertical="center"/>
    </xf>
    <xf numFmtId="0" fontId="218" fillId="0" borderId="0" applyBorder="0" applyProtection="0">
      <alignment vertical="center"/>
    </xf>
    <xf numFmtId="0" fontId="90" fillId="0" borderId="0">
      <alignment vertical="center"/>
    </xf>
    <xf numFmtId="0" fontId="209" fillId="0" borderId="0"/>
    <xf numFmtId="49" fontId="15" fillId="0" borderId="0" applyFill="0" applyBorder="0" applyAlignment="0"/>
    <xf numFmtId="0" fontId="14" fillId="0" borderId="0" applyNumberFormat="0" applyProtection="0"/>
    <xf numFmtId="0" fontId="12" fillId="0" borderId="0"/>
    <xf numFmtId="0" fontId="12" fillId="0" borderId="0"/>
    <xf numFmtId="0" fontId="12" fillId="0" borderId="0" applyBorder="0" applyProtection="0">
      <alignment horizontal="right"/>
    </xf>
    <xf numFmtId="320" fontId="12" fillId="0" borderId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0" fontId="105" fillId="0" borderId="0" applyNumberFormat="0" applyFill="0" applyBorder="0" applyAlignment="0" applyProtection="0"/>
    <xf numFmtId="38" fontId="140" fillId="0" borderId="0" applyNumberFormat="0" applyFill="0" applyBorder="0">
      <alignment horizontal="left" vertical="center"/>
    </xf>
    <xf numFmtId="37" fontId="220" fillId="67" borderId="22" applyNumberFormat="0" applyBorder="0">
      <alignment horizontal="center"/>
    </xf>
    <xf numFmtId="38" fontId="216" fillId="56" borderId="43" applyAlignment="0"/>
    <xf numFmtId="182" fontId="12" fillId="0" borderId="8" applyNumberFormat="0" applyFont="0" applyFill="0" applyAlignment="0"/>
    <xf numFmtId="182" fontId="12" fillId="0" borderId="8" applyNumberFormat="0" applyFont="0" applyFill="0" applyAlignment="0"/>
    <xf numFmtId="0" fontId="27" fillId="0" borderId="26" applyNumberFormat="0" applyFont="0" applyFill="0" applyAlignment="0" applyProtection="0"/>
    <xf numFmtId="0" fontId="14" fillId="0" borderId="0"/>
    <xf numFmtId="37" fontId="12" fillId="0" borderId="0" applyNumberFormat="0" applyFill="0" applyBorder="0" applyAlignment="0" applyProtection="0"/>
    <xf numFmtId="37" fontId="12" fillId="0" borderId="0" applyNumberFormat="0" applyFill="0" applyBorder="0" applyAlignment="0" applyProtection="0"/>
    <xf numFmtId="37" fontId="193" fillId="0" borderId="0" applyNumberFormat="0" applyFont="0" applyBorder="0" applyAlignment="0" applyProtection="0"/>
    <xf numFmtId="37" fontId="193" fillId="0" borderId="0" applyNumberFormat="0" applyFont="0" applyFill="0" applyBorder="0" applyProtection="0"/>
    <xf numFmtId="0" fontId="106" fillId="0" borderId="0" applyNumberFormat="0" applyFill="0" applyBorder="0" applyAlignment="0" applyProtection="0"/>
    <xf numFmtId="37" fontId="221" fillId="0" borderId="0" applyNumberFormat="0" applyFill="0" applyBorder="0" applyAlignment="0" applyProtection="0"/>
    <xf numFmtId="37" fontId="193" fillId="0" borderId="0" applyNumberFormat="0" applyFont="0" applyFill="0" applyBorder="0" applyProtection="0">
      <alignment horizontal="right" vertical="top" wrapText="1"/>
    </xf>
    <xf numFmtId="321" fontId="222" fillId="0" borderId="0" applyFont="0" applyFill="0" applyBorder="0" applyAlignment="0" applyProtection="0"/>
    <xf numFmtId="322" fontId="193" fillId="0" borderId="0" applyFont="0" applyFill="0" applyBorder="0" applyAlignment="0" applyProtection="0"/>
    <xf numFmtId="323" fontId="222" fillId="0" borderId="0" applyFont="0" applyFill="0" applyBorder="0" applyAlignment="0" applyProtection="0"/>
    <xf numFmtId="324" fontId="193" fillId="0" borderId="0" applyFont="0" applyFill="0" applyBorder="0" applyAlignment="0" applyProtection="0"/>
    <xf numFmtId="325" fontId="12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2" fillId="0" borderId="0"/>
    <xf numFmtId="0" fontId="27" fillId="0" borderId="0"/>
    <xf numFmtId="0" fontId="244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24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244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2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43" fontId="12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186">
    <xf numFmtId="0" fontId="0" fillId="0" borderId="0" xfId="0"/>
    <xf numFmtId="0" fontId="18" fillId="0" borderId="0" xfId="0" applyFont="1"/>
    <xf numFmtId="0" fontId="108" fillId="0" borderId="0" xfId="0" applyFont="1"/>
    <xf numFmtId="0" fontId="108" fillId="0" borderId="0" xfId="0" applyFont="1" applyAlignment="1">
      <alignment horizontal="center" vertical="center"/>
    </xf>
    <xf numFmtId="0" fontId="223" fillId="0" borderId="0" xfId="0" applyFont="1" applyAlignment="1">
      <alignment horizontal="center" vertical="center"/>
    </xf>
    <xf numFmtId="0" fontId="223" fillId="0" borderId="0" xfId="0" applyFont="1" applyAlignment="1">
      <alignment horizontal="left" vertical="center"/>
    </xf>
    <xf numFmtId="0" fontId="109" fillId="0" borderId="0" xfId="0" applyFont="1"/>
    <xf numFmtId="171" fontId="108" fillId="0" borderId="0" xfId="0" applyNumberFormat="1" applyFont="1" applyAlignment="1">
      <alignment horizontal="center" vertical="center"/>
    </xf>
    <xf numFmtId="0" fontId="224" fillId="0" borderId="0" xfId="0" applyFont="1"/>
    <xf numFmtId="171" fontId="225" fillId="0" borderId="0" xfId="0" applyNumberFormat="1" applyFont="1" applyAlignment="1">
      <alignment horizontal="center" vertical="center"/>
    </xf>
    <xf numFmtId="9" fontId="224" fillId="0" borderId="0" xfId="292" applyFont="1"/>
    <xf numFmtId="10" fontId="108" fillId="0" borderId="0" xfId="0" applyNumberFormat="1" applyFont="1" applyAlignment="1">
      <alignment horizontal="center" vertical="center"/>
    </xf>
    <xf numFmtId="0" fontId="12" fillId="0" borderId="0" xfId="1267"/>
    <xf numFmtId="0" fontId="12" fillId="0" borderId="0" xfId="1267" applyAlignment="1">
      <alignment wrapText="1"/>
    </xf>
    <xf numFmtId="9" fontId="17" fillId="69" borderId="72" xfId="640" applyFont="1" applyFill="1" applyBorder="1"/>
    <xf numFmtId="0" fontId="17" fillId="69" borderId="43" xfId="1267" applyFont="1" applyFill="1" applyBorder="1"/>
    <xf numFmtId="9" fontId="17" fillId="69" borderId="79" xfId="640" applyFont="1" applyFill="1" applyBorder="1"/>
    <xf numFmtId="326" fontId="17" fillId="69" borderId="33" xfId="1267" applyNumberFormat="1" applyFont="1" applyFill="1" applyBorder="1"/>
    <xf numFmtId="0" fontId="17" fillId="69" borderId="0" xfId="1267" applyFont="1" applyFill="1"/>
    <xf numFmtId="0" fontId="17" fillId="69" borderId="15" xfId="1267" applyFont="1" applyFill="1" applyBorder="1"/>
    <xf numFmtId="326" fontId="226" fillId="69" borderId="33" xfId="1267" applyNumberFormat="1" applyFont="1" applyFill="1" applyBorder="1"/>
    <xf numFmtId="0" fontId="12" fillId="69" borderId="15" xfId="1267" applyFill="1" applyBorder="1"/>
    <xf numFmtId="5" fontId="12" fillId="0" borderId="0" xfId="1267" applyNumberFormat="1"/>
    <xf numFmtId="9" fontId="12" fillId="0" borderId="0" xfId="640" applyFont="1" applyBorder="1"/>
    <xf numFmtId="9" fontId="12" fillId="0" borderId="0" xfId="1983" applyFont="1"/>
    <xf numFmtId="326" fontId="12" fillId="69" borderId="33" xfId="1267" applyNumberFormat="1" applyFill="1" applyBorder="1"/>
    <xf numFmtId="326" fontId="15" fillId="69" borderId="33" xfId="1267" applyNumberFormat="1" applyFont="1" applyFill="1" applyBorder="1"/>
    <xf numFmtId="43" fontId="17" fillId="69" borderId="80" xfId="1267" applyNumberFormat="1" applyFont="1" applyFill="1" applyBorder="1"/>
    <xf numFmtId="0" fontId="17" fillId="69" borderId="79" xfId="1267" applyFont="1" applyFill="1" applyBorder="1"/>
    <xf numFmtId="0" fontId="17" fillId="69" borderId="33" xfId="1267" applyFont="1" applyFill="1" applyBorder="1"/>
    <xf numFmtId="43" fontId="12" fillId="69" borderId="33" xfId="1267" applyNumberFormat="1" applyFill="1" applyBorder="1"/>
    <xf numFmtId="0" fontId="12" fillId="69" borderId="0" xfId="1267" applyFill="1"/>
    <xf numFmtId="0" fontId="17" fillId="69" borderId="34" xfId="1267" applyFont="1" applyFill="1" applyBorder="1"/>
    <xf numFmtId="0" fontId="17" fillId="69" borderId="8" xfId="1267" applyFont="1" applyFill="1" applyBorder="1"/>
    <xf numFmtId="0" fontId="17" fillId="69" borderId="32" xfId="1267" applyFont="1" applyFill="1" applyBorder="1"/>
    <xf numFmtId="326" fontId="17" fillId="69" borderId="72" xfId="1267" applyNumberFormat="1" applyFont="1" applyFill="1" applyBorder="1"/>
    <xf numFmtId="43" fontId="17" fillId="69" borderId="33" xfId="1267" applyNumberFormat="1" applyFont="1" applyFill="1" applyBorder="1"/>
    <xf numFmtId="295" fontId="227" fillId="69" borderId="33" xfId="1267" applyNumberFormat="1" applyFont="1" applyFill="1" applyBorder="1"/>
    <xf numFmtId="295" fontId="17" fillId="69" borderId="33" xfId="1267" applyNumberFormat="1" applyFont="1" applyFill="1" applyBorder="1"/>
    <xf numFmtId="327" fontId="226" fillId="69" borderId="33" xfId="1267" applyNumberFormat="1" applyFont="1" applyFill="1" applyBorder="1"/>
    <xf numFmtId="295" fontId="15" fillId="69" borderId="33" xfId="1267" applyNumberFormat="1" applyFont="1" applyFill="1" applyBorder="1"/>
    <xf numFmtId="295" fontId="12" fillId="69" borderId="34" xfId="1267" applyNumberFormat="1" applyFill="1" applyBorder="1"/>
    <xf numFmtId="0" fontId="12" fillId="69" borderId="8" xfId="1267" applyFill="1" applyBorder="1"/>
    <xf numFmtId="0" fontId="12" fillId="69" borderId="32" xfId="1267" applyFill="1" applyBorder="1"/>
    <xf numFmtId="295" fontId="12" fillId="0" borderId="0" xfId="1267" applyNumberFormat="1"/>
    <xf numFmtId="43" fontId="17" fillId="69" borderId="72" xfId="1267" applyNumberFormat="1" applyFont="1" applyFill="1" applyBorder="1"/>
    <xf numFmtId="169" fontId="12" fillId="0" borderId="0" xfId="1268" applyNumberFormat="1" applyFont="1" applyBorder="1"/>
    <xf numFmtId="169" fontId="12" fillId="70" borderId="0" xfId="1268" applyNumberFormat="1" applyFont="1" applyFill="1" applyBorder="1"/>
    <xf numFmtId="175" fontId="12" fillId="71" borderId="0" xfId="640" applyNumberFormat="1" applyFont="1" applyFill="1" applyBorder="1"/>
    <xf numFmtId="0" fontId="228" fillId="54" borderId="0" xfId="1267" applyFont="1" applyFill="1"/>
    <xf numFmtId="9" fontId="15" fillId="69" borderId="33" xfId="640" applyFont="1" applyFill="1" applyBorder="1"/>
    <xf numFmtId="0" fontId="12" fillId="69" borderId="15" xfId="1267" applyFill="1" applyBorder="1" applyAlignment="1">
      <alignment horizontal="left" indent="2"/>
    </xf>
    <xf numFmtId="328" fontId="12" fillId="69" borderId="33" xfId="1267" applyNumberFormat="1" applyFill="1" applyBorder="1"/>
    <xf numFmtId="9" fontId="17" fillId="0" borderId="0" xfId="640" applyFont="1" applyBorder="1"/>
    <xf numFmtId="328" fontId="12" fillId="69" borderId="33" xfId="1268" applyNumberFormat="1" applyFont="1" applyFill="1" applyBorder="1"/>
    <xf numFmtId="0" fontId="17" fillId="0" borderId="0" xfId="1267" applyFont="1"/>
    <xf numFmtId="0" fontId="229" fillId="54" borderId="0" xfId="1267" applyFont="1" applyFill="1"/>
    <xf numFmtId="295" fontId="12" fillId="69" borderId="33" xfId="1267" applyNumberFormat="1" applyFill="1" applyBorder="1"/>
    <xf numFmtId="295" fontId="230" fillId="71" borderId="0" xfId="1267" applyNumberFormat="1" applyFont="1" applyFill="1" applyAlignment="1">
      <alignment horizontal="right"/>
    </xf>
    <xf numFmtId="0" fontId="228" fillId="54" borderId="0" xfId="1267" applyFont="1" applyFill="1" applyAlignment="1">
      <alignment horizontal="centerContinuous"/>
    </xf>
    <xf numFmtId="175" fontId="231" fillId="69" borderId="33" xfId="640" applyNumberFormat="1" applyFont="1" applyFill="1" applyBorder="1"/>
    <xf numFmtId="295" fontId="17" fillId="69" borderId="34" xfId="1267" applyNumberFormat="1" applyFont="1" applyFill="1" applyBorder="1"/>
    <xf numFmtId="295" fontId="20" fillId="0" borderId="0" xfId="1268" applyNumberFormat="1" applyFont="1" applyBorder="1"/>
    <xf numFmtId="0" fontId="12" fillId="30" borderId="0" xfId="1267" applyFill="1"/>
    <xf numFmtId="9" fontId="17" fillId="0" borderId="0" xfId="640" applyFont="1" applyBorder="1" applyAlignment="1">
      <alignment horizontal="center"/>
    </xf>
    <xf numFmtId="8" fontId="12" fillId="0" borderId="0" xfId="1267" applyNumberFormat="1"/>
    <xf numFmtId="0" fontId="12" fillId="0" borderId="0" xfId="1267" applyAlignment="1">
      <alignment horizontal="center"/>
    </xf>
    <xf numFmtId="5" fontId="17" fillId="0" borderId="0" xfId="1268" applyNumberFormat="1" applyFont="1" applyBorder="1" applyAlignment="1">
      <alignment horizontal="center"/>
    </xf>
    <xf numFmtId="5" fontId="17" fillId="0" borderId="0" xfId="1268" applyNumberFormat="1" applyFont="1" applyBorder="1"/>
    <xf numFmtId="5" fontId="17" fillId="0" borderId="0" xfId="1267" applyNumberFormat="1" applyFont="1"/>
    <xf numFmtId="9" fontId="12" fillId="0" borderId="0" xfId="640" applyFont="1" applyBorder="1" applyAlignment="1">
      <alignment horizontal="center"/>
    </xf>
    <xf numFmtId="0" fontId="12" fillId="0" borderId="0" xfId="1267" applyAlignment="1">
      <alignment horizontal="left" indent="2"/>
    </xf>
    <xf numFmtId="0" fontId="106" fillId="0" borderId="0" xfId="1267" applyFont="1" applyAlignment="1">
      <alignment horizontal="center"/>
    </xf>
    <xf numFmtId="0" fontId="106" fillId="0" borderId="0" xfId="1267" applyFont="1"/>
    <xf numFmtId="5" fontId="17" fillId="69" borderId="0" xfId="1268" applyNumberFormat="1" applyFont="1" applyFill="1" applyBorder="1" applyAlignment="1">
      <alignment horizontal="center"/>
    </xf>
    <xf numFmtId="5" fontId="17" fillId="69" borderId="0" xfId="1268" applyNumberFormat="1" applyFont="1" applyFill="1" applyBorder="1"/>
    <xf numFmtId="5" fontId="17" fillId="69" borderId="0" xfId="1267" applyNumberFormat="1" applyFont="1" applyFill="1"/>
    <xf numFmtId="5" fontId="12" fillId="0" borderId="0" xfId="1268" applyNumberFormat="1" applyFont="1" applyBorder="1" applyAlignment="1">
      <alignment horizontal="center"/>
    </xf>
    <xf numFmtId="5" fontId="12" fillId="0" borderId="0" xfId="1268" applyNumberFormat="1" applyFont="1" applyBorder="1"/>
    <xf numFmtId="5" fontId="227" fillId="0" borderId="0" xfId="1268" applyNumberFormat="1" applyFont="1" applyBorder="1" applyAlignment="1">
      <alignment horizontal="center"/>
    </xf>
    <xf numFmtId="5" fontId="66" fillId="0" borderId="0" xfId="1268" quotePrefix="1" applyNumberFormat="1" applyFont="1" applyBorder="1"/>
    <xf numFmtId="5" fontId="12" fillId="0" borderId="0" xfId="1267" applyNumberFormat="1" applyAlignment="1">
      <alignment horizontal="left" indent="1"/>
    </xf>
    <xf numFmtId="5" fontId="66" fillId="0" borderId="0" xfId="1268" applyNumberFormat="1" applyFont="1" applyBorder="1"/>
    <xf numFmtId="5" fontId="17" fillId="0" borderId="0" xfId="1267" applyNumberFormat="1" applyFont="1" applyAlignment="1">
      <alignment horizontal="left"/>
    </xf>
    <xf numFmtId="175" fontId="66" fillId="0" borderId="0" xfId="640" applyNumberFormat="1" applyFont="1" applyBorder="1"/>
    <xf numFmtId="5" fontId="66" fillId="0" borderId="0" xfId="1268" applyNumberFormat="1" applyFont="1" applyBorder="1" applyAlignment="1">
      <alignment horizontal="center"/>
    </xf>
    <xf numFmtId="5" fontId="71" fillId="0" borderId="0" xfId="1268" applyNumberFormat="1" applyFont="1" applyBorder="1"/>
    <xf numFmtId="0" fontId="233" fillId="0" borderId="0" xfId="1267" applyFont="1"/>
    <xf numFmtId="0" fontId="234" fillId="54" borderId="0" xfId="1267" applyFont="1" applyFill="1" applyAlignment="1">
      <alignment horizontal="center" vertical="center"/>
    </xf>
    <xf numFmtId="0" fontId="234" fillId="54" borderId="0" xfId="1267" applyFont="1" applyFill="1" applyAlignment="1">
      <alignment horizontal="center"/>
    </xf>
    <xf numFmtId="0" fontId="234" fillId="54" borderId="0" xfId="1267" applyFont="1" applyFill="1" applyAlignment="1">
      <alignment vertical="center"/>
    </xf>
    <xf numFmtId="0" fontId="235" fillId="54" borderId="0" xfId="1267" applyFont="1" applyFill="1" applyAlignment="1">
      <alignment vertical="center"/>
    </xf>
    <xf numFmtId="0" fontId="17" fillId="0" borderId="0" xfId="1267" applyFont="1" applyAlignment="1">
      <alignment horizontal="center" vertical="center"/>
    </xf>
    <xf numFmtId="0" fontId="237" fillId="0" borderId="0" xfId="1267" applyFont="1"/>
    <xf numFmtId="0" fontId="238" fillId="0" borderId="0" xfId="1984" applyFont="1"/>
    <xf numFmtId="0" fontId="17" fillId="0" borderId="0" xfId="1267" applyFont="1" applyAlignment="1">
      <alignment horizontal="center"/>
    </xf>
    <xf numFmtId="0" fontId="236" fillId="0" borderId="0" xfId="1267" applyFont="1" applyAlignment="1">
      <alignment horizontal="center"/>
    </xf>
    <xf numFmtId="5" fontId="232" fillId="0" borderId="0" xfId="1268" applyNumberFormat="1" applyFont="1" applyBorder="1" applyAlignment="1">
      <alignment horizontal="center"/>
    </xf>
    <xf numFmtId="175" fontId="231" fillId="0" borderId="0" xfId="640" applyNumberFormat="1" applyFont="1" applyBorder="1" applyAlignment="1">
      <alignment horizontal="center"/>
    </xf>
    <xf numFmtId="329" fontId="12" fillId="0" borderId="0" xfId="1267" applyNumberFormat="1" applyAlignment="1">
      <alignment horizontal="center"/>
    </xf>
    <xf numFmtId="1" fontId="227" fillId="0" borderId="0" xfId="1267" applyNumberFormat="1" applyFont="1" applyAlignment="1">
      <alignment horizontal="center"/>
    </xf>
    <xf numFmtId="5" fontId="17" fillId="0" borderId="0" xfId="1267" applyNumberFormat="1" applyFont="1" applyAlignment="1">
      <alignment horizontal="center"/>
    </xf>
    <xf numFmtId="5" fontId="227" fillId="0" borderId="0" xfId="1267" applyNumberFormat="1" applyFont="1" applyAlignment="1">
      <alignment horizontal="center"/>
    </xf>
    <xf numFmtId="39" fontId="227" fillId="0" borderId="0" xfId="1267" applyNumberFormat="1" applyFont="1" applyAlignment="1">
      <alignment horizontal="center"/>
    </xf>
    <xf numFmtId="9" fontId="231" fillId="0" borderId="0" xfId="1983" applyFont="1" applyBorder="1" applyAlignment="1">
      <alignment horizontal="center"/>
    </xf>
    <xf numFmtId="39" fontId="12" fillId="0" borderId="0" xfId="1267" applyNumberFormat="1" applyAlignment="1">
      <alignment horizontal="center"/>
    </xf>
    <xf numFmtId="39" fontId="17" fillId="0" borderId="0" xfId="1267" applyNumberFormat="1" applyFont="1" applyAlignment="1">
      <alignment horizontal="center"/>
    </xf>
    <xf numFmtId="9" fontId="12" fillId="0" borderId="0" xfId="1983" applyFont="1" applyBorder="1" applyAlignment="1">
      <alignment horizontal="center"/>
    </xf>
    <xf numFmtId="9" fontId="12" fillId="0" borderId="0" xfId="1983" applyFont="1" applyBorder="1"/>
    <xf numFmtId="0" fontId="229" fillId="54" borderId="0" xfId="1267" applyFont="1" applyFill="1" applyAlignment="1">
      <alignment horizontal="center"/>
    </xf>
    <xf numFmtId="0" fontId="12" fillId="0" borderId="0" xfId="1264" applyFont="1"/>
    <xf numFmtId="0" fontId="12" fillId="0" borderId="0" xfId="1264" applyFont="1" applyAlignment="1">
      <alignment horizontal="right"/>
    </xf>
    <xf numFmtId="0" fontId="17" fillId="0" borderId="0" xfId="1264" applyFont="1"/>
    <xf numFmtId="168" fontId="17" fillId="0" borderId="0" xfId="1264" applyNumberFormat="1" applyFont="1" applyAlignment="1">
      <alignment horizontal="right"/>
    </xf>
    <xf numFmtId="171" fontId="17" fillId="0" borderId="0" xfId="1264" applyNumberFormat="1" applyFont="1" applyAlignment="1">
      <alignment horizontal="right"/>
    </xf>
    <xf numFmtId="176" fontId="12" fillId="0" borderId="0" xfId="1264" applyNumberFormat="1" applyFont="1" applyAlignment="1">
      <alignment horizontal="right"/>
    </xf>
    <xf numFmtId="176" fontId="12" fillId="0" borderId="0" xfId="1264" applyNumberFormat="1" applyFont="1"/>
    <xf numFmtId="171" fontId="12" fillId="0" borderId="0" xfId="1264" applyNumberFormat="1" applyFont="1" applyAlignment="1">
      <alignment horizontal="right"/>
    </xf>
    <xf numFmtId="0" fontId="12" fillId="0" borderId="0" xfId="1264" applyFont="1" applyAlignment="1">
      <alignment vertical="center"/>
    </xf>
    <xf numFmtId="176" fontId="12" fillId="0" borderId="0" xfId="1264" applyNumberFormat="1" applyFont="1" applyAlignment="1">
      <alignment vertical="center"/>
    </xf>
    <xf numFmtId="0" fontId="17" fillId="0" borderId="0" xfId="1264" applyFont="1" applyAlignment="1">
      <alignment vertical="center"/>
    </xf>
    <xf numFmtId="168" fontId="65" fillId="0" borderId="0" xfId="1264" applyNumberFormat="1" applyFont="1" applyAlignment="1">
      <alignment horizontal="right"/>
    </xf>
    <xf numFmtId="2" fontId="12" fillId="0" borderId="0" xfId="1264" applyNumberFormat="1" applyFont="1" applyAlignment="1">
      <alignment horizontal="right"/>
    </xf>
    <xf numFmtId="0" fontId="239" fillId="74" borderId="0" xfId="1264" applyFont="1" applyFill="1" applyAlignment="1">
      <alignment vertical="center"/>
    </xf>
    <xf numFmtId="0" fontId="68" fillId="74" borderId="0" xfId="1264" applyFont="1" applyFill="1" applyAlignment="1">
      <alignment horizontal="right" vertical="center"/>
    </xf>
    <xf numFmtId="0" fontId="68" fillId="74" borderId="0" xfId="1264" applyFont="1" applyFill="1" applyAlignment="1">
      <alignment horizontal="center" vertical="center"/>
    </xf>
    <xf numFmtId="3" fontId="12" fillId="0" borderId="0" xfId="0" applyNumberFormat="1" applyFont="1" applyAlignment="1">
      <alignment horizontal="right"/>
    </xf>
    <xf numFmtId="168" fontId="231" fillId="0" borderId="0" xfId="1264" applyNumberFormat="1" applyFont="1" applyAlignment="1">
      <alignment horizontal="right"/>
    </xf>
    <xf numFmtId="3" fontId="12" fillId="0" borderId="0" xfId="0" applyNumberFormat="1" applyFont="1" applyAlignment="1">
      <alignment vertical="center"/>
    </xf>
    <xf numFmtId="0" fontId="12" fillId="0" borderId="0" xfId="0" applyFont="1"/>
    <xf numFmtId="175" fontId="17" fillId="0" borderId="0" xfId="1265" applyNumberFormat="1" applyFont="1" applyFill="1" applyBorder="1"/>
    <xf numFmtId="168" fontId="12" fillId="0" borderId="0" xfId="1264" applyNumberFormat="1" applyFont="1" applyAlignment="1">
      <alignment horizontal="right"/>
    </xf>
    <xf numFmtId="9" fontId="12" fillId="0" borderId="0" xfId="292" applyFont="1" applyFill="1" applyBorder="1" applyAlignment="1">
      <alignment horizontal="right"/>
    </xf>
    <xf numFmtId="0" fontId="240" fillId="75" borderId="32" xfId="0" applyFont="1" applyFill="1" applyBorder="1"/>
    <xf numFmtId="0" fontId="240" fillId="75" borderId="79" xfId="0" applyFont="1" applyFill="1" applyBorder="1"/>
    <xf numFmtId="0" fontId="228" fillId="75" borderId="79" xfId="0" applyFont="1" applyFill="1" applyBorder="1" applyAlignment="1">
      <alignment horizontal="center" vertical="center"/>
    </xf>
    <xf numFmtId="0" fontId="228" fillId="75" borderId="43" xfId="0" applyFont="1" applyFill="1" applyBorder="1" applyAlignment="1">
      <alignment horizontal="center" vertical="center"/>
    </xf>
    <xf numFmtId="0" fontId="228" fillId="75" borderId="72" xfId="0" applyFont="1" applyFill="1" applyBorder="1" applyAlignment="1">
      <alignment horizontal="center" vertical="center"/>
    </xf>
    <xf numFmtId="0" fontId="180" fillId="0" borderId="15" xfId="0" applyFont="1" applyBorder="1"/>
    <xf numFmtId="0" fontId="180" fillId="0" borderId="15" xfId="0" applyFont="1" applyBorder="1" applyAlignment="1">
      <alignment horizontal="center" vertical="center"/>
    </xf>
    <xf numFmtId="0" fontId="180" fillId="0" borderId="0" xfId="0" applyFont="1" applyAlignment="1">
      <alignment horizontal="center" vertical="center"/>
    </xf>
    <xf numFmtId="0" fontId="180" fillId="0" borderId="33" xfId="0" applyFont="1" applyBorder="1" applyAlignment="1">
      <alignment horizontal="center" vertical="center"/>
    </xf>
    <xf numFmtId="0" fontId="241" fillId="0" borderId="15" xfId="0" applyFont="1" applyBorder="1"/>
    <xf numFmtId="0" fontId="241" fillId="0" borderId="33" xfId="0" applyFont="1" applyBorder="1"/>
    <xf numFmtId="0" fontId="180" fillId="34" borderId="15" xfId="0" applyFont="1" applyFill="1" applyBorder="1" applyAlignment="1">
      <alignment vertical="center"/>
    </xf>
    <xf numFmtId="1" fontId="180" fillId="34" borderId="15" xfId="0" applyNumberFormat="1" applyFont="1" applyFill="1" applyBorder="1" applyAlignment="1">
      <alignment horizontal="center" vertical="center"/>
    </xf>
    <xf numFmtId="1" fontId="180" fillId="34" borderId="0" xfId="0" applyNumberFormat="1" applyFont="1" applyFill="1" applyAlignment="1">
      <alignment horizontal="center" vertical="center"/>
    </xf>
    <xf numFmtId="9" fontId="180" fillId="34" borderId="33" xfId="292" applyFont="1" applyFill="1" applyBorder="1" applyAlignment="1">
      <alignment horizontal="center" vertical="center"/>
    </xf>
    <xf numFmtId="175" fontId="241" fillId="0" borderId="15" xfId="292" applyNumberFormat="1" applyFont="1" applyBorder="1" applyAlignment="1">
      <alignment horizontal="center" vertical="center"/>
    </xf>
    <xf numFmtId="175" fontId="241" fillId="0" borderId="33" xfId="292" applyNumberFormat="1" applyFont="1" applyBorder="1" applyAlignment="1">
      <alignment horizontal="center" vertical="center"/>
    </xf>
    <xf numFmtId="0" fontId="180" fillId="0" borderId="15" xfId="0" applyFont="1" applyBorder="1" applyAlignment="1">
      <alignment vertical="center"/>
    </xf>
    <xf numFmtId="1" fontId="180" fillId="0" borderId="15" xfId="0" applyNumberFormat="1" applyFont="1" applyBorder="1" applyAlignment="1">
      <alignment horizontal="center" vertical="center"/>
    </xf>
    <xf numFmtId="1" fontId="180" fillId="0" borderId="0" xfId="0" applyNumberFormat="1" applyFont="1" applyAlignment="1">
      <alignment horizontal="center" vertical="center"/>
    </xf>
    <xf numFmtId="9" fontId="180" fillId="0" borderId="33" xfId="292" applyFont="1" applyBorder="1" applyAlignment="1">
      <alignment horizontal="center" vertical="center"/>
    </xf>
    <xf numFmtId="0" fontId="180" fillId="34" borderId="79" xfId="0" applyFont="1" applyFill="1" applyBorder="1" applyAlignment="1">
      <alignment vertical="center"/>
    </xf>
    <xf numFmtId="1" fontId="180" fillId="34" borderId="79" xfId="0" applyNumberFormat="1" applyFont="1" applyFill="1" applyBorder="1" applyAlignment="1">
      <alignment horizontal="center" vertical="center"/>
    </xf>
    <xf numFmtId="1" fontId="180" fillId="34" borderId="43" xfId="0" applyNumberFormat="1" applyFont="1" applyFill="1" applyBorder="1" applyAlignment="1">
      <alignment horizontal="center" vertical="center"/>
    </xf>
    <xf numFmtId="9" fontId="180" fillId="34" borderId="72" xfId="292" applyFont="1" applyFill="1" applyBorder="1" applyAlignment="1">
      <alignment horizontal="center" vertical="center"/>
    </xf>
    <xf numFmtId="175" fontId="241" fillId="0" borderId="79" xfId="292" applyNumberFormat="1" applyFont="1" applyBorder="1" applyAlignment="1">
      <alignment horizontal="center" vertical="center"/>
    </xf>
    <xf numFmtId="175" fontId="241" fillId="0" borderId="72" xfId="292" applyNumberFormat="1" applyFont="1" applyBorder="1" applyAlignment="1">
      <alignment horizontal="center" vertical="center"/>
    </xf>
    <xf numFmtId="0" fontId="180" fillId="0" borderId="0" xfId="0" applyFont="1"/>
    <xf numFmtId="0" fontId="241" fillId="0" borderId="0" xfId="0" applyFont="1"/>
    <xf numFmtId="0" fontId="180" fillId="0" borderId="32" xfId="0" applyFont="1" applyBorder="1" applyAlignment="1">
      <alignment vertical="center"/>
    </xf>
    <xf numFmtId="0" fontId="12" fillId="0" borderId="8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80" fillId="0" borderId="79" xfId="0" applyFont="1" applyBorder="1"/>
    <xf numFmtId="0" fontId="17" fillId="76" borderId="0" xfId="0" applyFont="1" applyFill="1" applyAlignment="1">
      <alignment horizontal="right" vertical="center"/>
    </xf>
    <xf numFmtId="0" fontId="17" fillId="0" borderId="0" xfId="0" applyFont="1"/>
    <xf numFmtId="0" fontId="17" fillId="0" borderId="0" xfId="0" applyFont="1" applyAlignment="1">
      <alignment horizontal="right"/>
    </xf>
    <xf numFmtId="180" fontId="108" fillId="0" borderId="0" xfId="292" applyNumberFormat="1" applyFont="1" applyAlignment="1">
      <alignment horizontal="center" vertical="center"/>
    </xf>
    <xf numFmtId="331" fontId="108" fillId="0" borderId="0" xfId="292" applyNumberFormat="1" applyFont="1" applyAlignment="1">
      <alignment horizontal="center" vertical="center"/>
    </xf>
    <xf numFmtId="181" fontId="12" fillId="0" borderId="0" xfId="0" applyNumberFormat="1" applyFont="1" applyAlignment="1">
      <alignment horizontal="center" vertical="center"/>
    </xf>
    <xf numFmtId="2" fontId="180" fillId="0" borderId="43" xfId="0" applyNumberFormat="1" applyFont="1" applyBorder="1" applyAlignment="1">
      <alignment horizontal="center" vertical="center"/>
    </xf>
    <xf numFmtId="173" fontId="12" fillId="0" borderId="0" xfId="1264" applyNumberFormat="1" applyFont="1" applyAlignment="1">
      <alignment horizontal="right"/>
    </xf>
    <xf numFmtId="1" fontId="108" fillId="0" borderId="0" xfId="0" applyNumberFormat="1" applyFont="1" applyAlignment="1">
      <alignment horizontal="center" vertical="center"/>
    </xf>
    <xf numFmtId="175" fontId="108" fillId="0" borderId="0" xfId="292" applyNumberFormat="1" applyFont="1" applyAlignment="1">
      <alignment horizontal="center" vertical="center"/>
    </xf>
    <xf numFmtId="171" fontId="242" fillId="0" borderId="0" xfId="0" applyNumberFormat="1" applyFont="1" applyAlignment="1">
      <alignment horizontal="center" vertical="center"/>
    </xf>
    <xf numFmtId="3" fontId="17" fillId="0" borderId="0" xfId="0" applyNumberFormat="1" applyFont="1" applyAlignment="1">
      <alignment horizontal="right"/>
    </xf>
    <xf numFmtId="3" fontId="12" fillId="0" borderId="0" xfId="1264" applyNumberFormat="1" applyFont="1" applyAlignment="1">
      <alignment horizontal="right"/>
    </xf>
    <xf numFmtId="9" fontId="12" fillId="0" borderId="0" xfId="1264" applyNumberFormat="1" applyFont="1" applyAlignment="1">
      <alignment horizontal="right"/>
    </xf>
    <xf numFmtId="332" fontId="21" fillId="0" borderId="0" xfId="0" applyNumberFormat="1" applyFont="1" applyAlignment="1">
      <alignment horizontal="left"/>
    </xf>
    <xf numFmtId="333" fontId="20" fillId="0" borderId="0" xfId="0" applyNumberFormat="1" applyFont="1" applyAlignment="1">
      <alignment horizontal="left"/>
    </xf>
    <xf numFmtId="0" fontId="14" fillId="0" borderId="0" xfId="0" applyFont="1"/>
    <xf numFmtId="0" fontId="20" fillId="42" borderId="0" xfId="0" applyFont="1" applyFill="1"/>
    <xf numFmtId="0" fontId="243" fillId="42" borderId="0" xfId="0" applyFont="1" applyFill="1"/>
    <xf numFmtId="0" fontId="70" fillId="42" borderId="0" xfId="0" applyFont="1" applyFill="1"/>
    <xf numFmtId="0" fontId="20" fillId="74" borderId="0" xfId="0" applyFont="1" applyFill="1"/>
    <xf numFmtId="0" fontId="21" fillId="0" borderId="0" xfId="1985" applyFont="1"/>
    <xf numFmtId="0" fontId="20" fillId="0" borderId="0" xfId="1985" applyFont="1"/>
    <xf numFmtId="0" fontId="14" fillId="0" borderId="0" xfId="1985" applyFont="1"/>
    <xf numFmtId="0" fontId="246" fillId="0" borderId="0" xfId="1985" applyFont="1"/>
    <xf numFmtId="0" fontId="14" fillId="0" borderId="0" xfId="1986" applyFont="1" applyAlignment="1" applyProtection="1"/>
    <xf numFmtId="9" fontId="108" fillId="0" borderId="0" xfId="292" applyFont="1" applyAlignment="1">
      <alignment horizontal="center" vertical="center"/>
    </xf>
    <xf numFmtId="9" fontId="12" fillId="0" borderId="0" xfId="292" applyFont="1" applyAlignment="1">
      <alignment horizontal="right"/>
    </xf>
    <xf numFmtId="175" fontId="180" fillId="34" borderId="33" xfId="292" applyNumberFormat="1" applyFont="1" applyFill="1" applyBorder="1" applyAlignment="1">
      <alignment horizontal="center" vertical="center"/>
    </xf>
    <xf numFmtId="175" fontId="180" fillId="0" borderId="33" xfId="292" applyNumberFormat="1" applyFont="1" applyBorder="1" applyAlignment="1">
      <alignment horizontal="center" vertical="center"/>
    </xf>
    <xf numFmtId="175" fontId="180" fillId="34" borderId="72" xfId="292" applyNumberFormat="1" applyFont="1" applyFill="1" applyBorder="1" applyAlignment="1">
      <alignment horizontal="center" vertical="center"/>
    </xf>
    <xf numFmtId="175" fontId="108" fillId="0" borderId="0" xfId="0" applyNumberFormat="1" applyFont="1" applyAlignment="1">
      <alignment horizontal="center" vertical="center"/>
    </xf>
    <xf numFmtId="0" fontId="12" fillId="0" borderId="0" xfId="629" applyFont="1"/>
    <xf numFmtId="0" fontId="247" fillId="0" borderId="0" xfId="0" applyFont="1"/>
    <xf numFmtId="0" fontId="248" fillId="0" borderId="0" xfId="0" applyFont="1"/>
    <xf numFmtId="0" fontId="0" fillId="0" borderId="0" xfId="0" quotePrefix="1"/>
    <xf numFmtId="3" fontId="249" fillId="41" borderId="0" xfId="0" applyNumberFormat="1" applyFont="1" applyFill="1" applyAlignment="1">
      <alignment horizontal="left" vertical="top" wrapText="1"/>
    </xf>
    <xf numFmtId="3" fontId="249" fillId="78" borderId="81" xfId="0" applyNumberFormat="1" applyFont="1" applyFill="1" applyBorder="1" applyAlignment="1">
      <alignment horizontal="left" vertical="top" wrapText="1"/>
    </xf>
    <xf numFmtId="3" fontId="249" fillId="41" borderId="81" xfId="0" applyNumberFormat="1" applyFont="1" applyFill="1" applyBorder="1" applyAlignment="1">
      <alignment horizontal="left" vertical="top" wrapText="1"/>
    </xf>
    <xf numFmtId="3" fontId="249" fillId="79" borderId="81" xfId="0" applyNumberFormat="1" applyFont="1" applyFill="1" applyBorder="1" applyAlignment="1">
      <alignment horizontal="left" vertical="top" wrapText="1"/>
    </xf>
    <xf numFmtId="3" fontId="0" fillId="0" borderId="0" xfId="0" applyNumberFormat="1"/>
    <xf numFmtId="1" fontId="0" fillId="0" borderId="0" xfId="0" applyNumberFormat="1"/>
    <xf numFmtId="9" fontId="0" fillId="0" borderId="0" xfId="292" applyFont="1"/>
    <xf numFmtId="9" fontId="250" fillId="0" borderId="0" xfId="0" applyNumberFormat="1" applyFont="1"/>
    <xf numFmtId="0" fontId="0" fillId="0" borderId="0" xfId="0" applyAlignment="1">
      <alignment vertical="center"/>
    </xf>
    <xf numFmtId="0" fontId="248" fillId="0" borderId="0" xfId="0" applyFont="1" applyAlignment="1">
      <alignment horizontal="center"/>
    </xf>
    <xf numFmtId="0" fontId="251" fillId="0" borderId="0" xfId="0" applyFont="1" applyAlignment="1">
      <alignment horizontal="center" vertical="center"/>
    </xf>
    <xf numFmtId="0" fontId="252" fillId="0" borderId="0" xfId="0" applyFont="1"/>
    <xf numFmtId="15" fontId="0" fillId="0" borderId="0" xfId="0" applyNumberFormat="1" applyAlignment="1">
      <alignment horizontal="center"/>
    </xf>
    <xf numFmtId="15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0" fontId="253" fillId="74" borderId="0" xfId="0" applyFont="1" applyFill="1" applyAlignment="1">
      <alignment vertical="center"/>
    </xf>
    <xf numFmtId="0" fontId="248" fillId="80" borderId="0" xfId="0" applyFont="1" applyFill="1"/>
    <xf numFmtId="0" fontId="0" fillId="80" borderId="0" xfId="0" applyFill="1"/>
    <xf numFmtId="0" fontId="248" fillId="0" borderId="0" xfId="0" applyFont="1" applyAlignment="1">
      <alignment horizontal="center" vertical="center"/>
    </xf>
    <xf numFmtId="171" fontId="248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54" fillId="74" borderId="0" xfId="0" applyFont="1" applyFill="1" applyAlignment="1">
      <alignment vertical="center" wrapText="1"/>
    </xf>
    <xf numFmtId="0" fontId="0" fillId="76" borderId="0" xfId="0" applyFill="1"/>
    <xf numFmtId="0" fontId="248" fillId="76" borderId="0" xfId="0" applyFont="1" applyFill="1"/>
    <xf numFmtId="0" fontId="248" fillId="76" borderId="0" xfId="0" applyFont="1" applyFill="1" applyAlignment="1">
      <alignment horizontal="center"/>
    </xf>
    <xf numFmtId="171" fontId="248" fillId="76" borderId="0" xfId="0" applyNumberFormat="1" applyFont="1" applyFill="1" applyAlignment="1">
      <alignment horizontal="center"/>
    </xf>
    <xf numFmtId="0" fontId="255" fillId="0" borderId="0" xfId="0" applyFont="1" applyAlignment="1">
      <alignment horizontal="center" vertical="center"/>
    </xf>
    <xf numFmtId="0" fontId="0" fillId="73" borderId="0" xfId="0" applyFill="1"/>
    <xf numFmtId="0" fontId="0" fillId="80" borderId="0" xfId="0" applyFill="1" applyAlignment="1">
      <alignment horizontal="center" vertical="center"/>
    </xf>
    <xf numFmtId="337" fontId="0" fillId="0" borderId="0" xfId="0" applyNumberFormat="1" applyAlignment="1">
      <alignment horizontal="center" vertical="center"/>
    </xf>
    <xf numFmtId="1" fontId="248" fillId="76" borderId="0" xfId="0" applyNumberFormat="1" applyFont="1" applyFill="1" applyAlignment="1">
      <alignment horizontal="center"/>
    </xf>
    <xf numFmtId="0" fontId="0" fillId="34" borderId="0" xfId="0" applyFont="1" applyFill="1" applyAlignment="1">
      <alignment vertical="center" wrapText="1"/>
    </xf>
    <xf numFmtId="0" fontId="0" fillId="34" borderId="0" xfId="0" applyFont="1" applyFill="1" applyAlignment="1">
      <alignment horizontal="center" vertical="center" wrapText="1"/>
    </xf>
    <xf numFmtId="0" fontId="253" fillId="0" borderId="0" xfId="0" applyFont="1" applyAlignment="1">
      <alignment vertical="center"/>
    </xf>
    <xf numFmtId="15" fontId="0" fillId="0" borderId="0" xfId="0" applyNumberFormat="1" applyAlignment="1">
      <alignment horizontal="center" wrapText="1"/>
    </xf>
    <xf numFmtId="0" fontId="258" fillId="74" borderId="0" xfId="0" applyFont="1" applyFill="1" applyAlignment="1">
      <alignment vertical="center" wrapText="1"/>
    </xf>
    <xf numFmtId="15" fontId="0" fillId="0" borderId="0" xfId="0" applyNumberFormat="1" applyAlignment="1">
      <alignment horizontal="left"/>
    </xf>
    <xf numFmtId="0" fontId="250" fillId="0" borderId="0" xfId="0" applyFont="1"/>
    <xf numFmtId="9" fontId="110" fillId="0" borderId="0" xfId="292" applyFont="1" applyBorder="1"/>
    <xf numFmtId="188" fontId="0" fillId="0" borderId="0" xfId="0" applyNumberFormat="1"/>
    <xf numFmtId="188" fontId="252" fillId="0" borderId="0" xfId="0" applyNumberFormat="1" applyFont="1"/>
    <xf numFmtId="0" fontId="0" fillId="88" borderId="0" xfId="0" applyFill="1"/>
    <xf numFmtId="0" fontId="248" fillId="88" borderId="0" xfId="0" applyFont="1" applyFill="1"/>
    <xf numFmtId="0" fontId="0" fillId="74" borderId="0" xfId="0" applyFill="1"/>
    <xf numFmtId="0" fontId="248" fillId="74" borderId="0" xfId="0" applyFont="1" applyFill="1"/>
    <xf numFmtId="0" fontId="253" fillId="74" borderId="0" xfId="0" applyFont="1" applyFill="1"/>
    <xf numFmtId="0" fontId="259" fillId="74" borderId="0" xfId="0" applyFont="1" applyFill="1"/>
    <xf numFmtId="175" fontId="0" fillId="0" borderId="0" xfId="292" applyNumberFormat="1" applyFont="1"/>
    <xf numFmtId="171" fontId="0" fillId="0" borderId="0" xfId="292" applyNumberFormat="1" applyFont="1"/>
    <xf numFmtId="0" fontId="260" fillId="0" borderId="0" xfId="0" applyFont="1" applyAlignment="1">
      <alignment horizontal="left" indent="1"/>
    </xf>
    <xf numFmtId="9" fontId="260" fillId="0" borderId="0" xfId="292" applyFont="1" applyAlignment="1">
      <alignment horizontal="left" indent="1"/>
    </xf>
    <xf numFmtId="336" fontId="0" fillId="0" borderId="0" xfId="292" applyNumberFormat="1" applyFont="1"/>
    <xf numFmtId="1" fontId="248" fillId="0" borderId="0" xfId="0" applyNumberFormat="1" applyFont="1"/>
    <xf numFmtId="188" fontId="248" fillId="0" borderId="0" xfId="0" applyNumberFormat="1" applyFont="1"/>
    <xf numFmtId="9" fontId="248" fillId="0" borderId="0" xfId="292" applyFont="1"/>
    <xf numFmtId="0" fontId="253" fillId="74" borderId="0" xfId="0" applyFont="1" applyFill="1" applyAlignment="1">
      <alignment horizontal="center" vertical="center" wrapText="1"/>
    </xf>
    <xf numFmtId="0" fontId="261" fillId="74" borderId="0" xfId="0" applyFont="1" applyFill="1" applyAlignment="1">
      <alignment horizontal="center"/>
    </xf>
    <xf numFmtId="171" fontId="17" fillId="0" borderId="0" xfId="0" applyNumberFormat="1" applyFont="1" applyAlignment="1">
      <alignment horizontal="right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171" fontId="231" fillId="0" borderId="0" xfId="1264" applyNumberFormat="1" applyFont="1"/>
    <xf numFmtId="1" fontId="12" fillId="0" borderId="0" xfId="0" applyNumberFormat="1" applyFont="1" applyAlignment="1">
      <alignment horizontal="right" vertical="center"/>
    </xf>
    <xf numFmtId="1" fontId="12" fillId="0" borderId="0" xfId="1264" applyNumberFormat="1" applyFont="1" applyAlignment="1">
      <alignment horizontal="right"/>
    </xf>
    <xf numFmtId="0" fontId="252" fillId="0" borderId="0" xfId="0" applyFont="1" applyAlignment="1">
      <alignment horizontal="center" vertical="center"/>
    </xf>
    <xf numFmtId="171" fontId="252" fillId="0" borderId="0" xfId="0" applyNumberFormat="1" applyFont="1" applyAlignment="1">
      <alignment horizontal="center" vertical="center"/>
    </xf>
    <xf numFmtId="0" fontId="0" fillId="0" borderId="0" xfId="0" applyAlignment="1">
      <alignment vertical="center" wrapText="1"/>
    </xf>
    <xf numFmtId="0" fontId="17" fillId="76" borderId="0" xfId="0" applyFont="1" applyFill="1" applyAlignment="1">
      <alignment horizontal="left" vertical="center"/>
    </xf>
    <xf numFmtId="338" fontId="12" fillId="0" borderId="0" xfId="630" applyNumberFormat="1" applyFont="1"/>
    <xf numFmtId="9" fontId="12" fillId="0" borderId="0" xfId="292" applyFont="1" applyFill="1" applyAlignment="1">
      <alignment horizontal="right" vertical="center"/>
    </xf>
    <xf numFmtId="0" fontId="17" fillId="0" borderId="2" xfId="1264" applyFont="1" applyBorder="1"/>
    <xf numFmtId="0" fontId="17" fillId="0" borderId="2" xfId="1264" applyFont="1" applyBorder="1" applyAlignment="1">
      <alignment horizontal="right"/>
    </xf>
    <xf numFmtId="339" fontId="17" fillId="0" borderId="2" xfId="630" applyNumberFormat="1" applyFont="1" applyBorder="1"/>
    <xf numFmtId="38" fontId="248" fillId="0" borderId="0" xfId="0" applyNumberFormat="1" applyFont="1"/>
    <xf numFmtId="9" fontId="12" fillId="0" borderId="0" xfId="292" applyFont="1" applyBorder="1"/>
    <xf numFmtId="9" fontId="12" fillId="0" borderId="0" xfId="292" applyFont="1" applyFill="1" applyBorder="1"/>
    <xf numFmtId="175" fontId="12" fillId="0" borderId="0" xfId="292" applyNumberFormat="1" applyFont="1" applyBorder="1"/>
    <xf numFmtId="0" fontId="108" fillId="0" borderId="0" xfId="0" applyFont="1" applyAlignment="1">
      <alignment horizontal="center"/>
    </xf>
    <xf numFmtId="0" fontId="20" fillId="34" borderId="0" xfId="1985" applyFont="1" applyFill="1"/>
    <xf numFmtId="0" fontId="245" fillId="34" borderId="0" xfId="1990" applyFont="1" applyFill="1" applyAlignment="1" applyProtection="1"/>
    <xf numFmtId="0" fontId="14" fillId="34" borderId="0" xfId="1985" quotePrefix="1" applyFont="1" applyFill="1"/>
    <xf numFmtId="0" fontId="14" fillId="34" borderId="0" xfId="1985" applyFont="1" applyFill="1"/>
    <xf numFmtId="0" fontId="14" fillId="34" borderId="0" xfId="1987" applyFont="1" applyFill="1"/>
    <xf numFmtId="329" fontId="12" fillId="0" borderId="0" xfId="292" applyNumberFormat="1" applyFont="1" applyBorder="1"/>
    <xf numFmtId="329" fontId="12" fillId="0" borderId="0" xfId="1264" applyNumberFormat="1" applyFont="1" applyAlignment="1">
      <alignment horizontal="right"/>
    </xf>
    <xf numFmtId="176" fontId="226" fillId="0" borderId="0" xfId="1264" applyNumberFormat="1" applyFont="1" applyAlignment="1">
      <alignment horizontal="right"/>
    </xf>
    <xf numFmtId="171" fontId="231" fillId="0" borderId="0" xfId="1264" applyNumberFormat="1" applyFont="1" applyAlignment="1">
      <alignment horizontal="right"/>
    </xf>
    <xf numFmtId="10" fontId="12" fillId="0" borderId="0" xfId="1264" applyNumberFormat="1" applyFont="1"/>
    <xf numFmtId="0" fontId="266" fillId="0" borderId="0" xfId="629" applyFont="1"/>
    <xf numFmtId="0" fontId="12" fillId="0" borderId="0" xfId="278" applyFont="1" applyAlignment="1">
      <alignment vertical="center"/>
    </xf>
    <xf numFmtId="168" fontId="12" fillId="0" borderId="0" xfId="278" applyNumberFormat="1" applyFont="1" applyAlignment="1">
      <alignment vertical="center"/>
    </xf>
    <xf numFmtId="0" fontId="12" fillId="0" borderId="0" xfId="629" applyFont="1" applyAlignment="1">
      <alignment vertical="center"/>
    </xf>
    <xf numFmtId="175" fontId="12" fillId="0" borderId="0" xfId="292" applyNumberFormat="1" applyFont="1" applyAlignment="1">
      <alignment vertical="center"/>
    </xf>
    <xf numFmtId="168" fontId="12" fillId="0" borderId="0" xfId="629" applyNumberFormat="1" applyFont="1"/>
    <xf numFmtId="0" fontId="17" fillId="0" borderId="35" xfId="278" applyFont="1" applyBorder="1"/>
    <xf numFmtId="0" fontId="17" fillId="0" borderId="8" xfId="278" applyFont="1" applyBorder="1" applyAlignment="1">
      <alignment horizontal="center"/>
    </xf>
    <xf numFmtId="0" fontId="12" fillId="0" borderId="8" xfId="278" applyFont="1" applyBorder="1" applyAlignment="1">
      <alignment horizontal="center"/>
    </xf>
    <xf numFmtId="0" fontId="12" fillId="0" borderId="8" xfId="629" applyFont="1" applyBorder="1" applyAlignment="1">
      <alignment horizontal="center"/>
    </xf>
    <xf numFmtId="0" fontId="17" fillId="0" borderId="8" xfId="629" applyFont="1" applyBorder="1" applyAlignment="1">
      <alignment horizontal="center"/>
    </xf>
    <xf numFmtId="0" fontId="229" fillId="74" borderId="2" xfId="278" applyFont="1" applyFill="1" applyBorder="1"/>
    <xf numFmtId="168" fontId="228" fillId="74" borderId="2" xfId="278" applyNumberFormat="1" applyFont="1" applyFill="1" applyBorder="1"/>
    <xf numFmtId="168" fontId="228" fillId="74" borderId="2" xfId="629" applyNumberFormat="1" applyFont="1" applyFill="1" applyBorder="1"/>
    <xf numFmtId="168" fontId="228" fillId="74" borderId="0" xfId="278" applyNumberFormat="1" applyFont="1" applyFill="1"/>
    <xf numFmtId="0" fontId="12" fillId="0" borderId="0" xfId="278" applyFont="1"/>
    <xf numFmtId="0" fontId="17" fillId="76" borderId="0" xfId="0" applyFont="1" applyFill="1"/>
    <xf numFmtId="168" fontId="12" fillId="76" borderId="0" xfId="278" applyNumberFormat="1" applyFont="1" applyFill="1"/>
    <xf numFmtId="168" fontId="231" fillId="76" borderId="0" xfId="629" applyNumberFormat="1" applyFont="1" applyFill="1"/>
    <xf numFmtId="168" fontId="231" fillId="76" borderId="0" xfId="278" applyNumberFormat="1" applyFont="1" applyFill="1"/>
    <xf numFmtId="168" fontId="12" fillId="76" borderId="0" xfId="629" applyNumberFormat="1" applyFont="1" applyFill="1"/>
    <xf numFmtId="168" fontId="12" fillId="0" borderId="0" xfId="278" applyNumberFormat="1" applyFont="1"/>
    <xf numFmtId="168" fontId="231" fillId="0" borderId="0" xfId="629" applyNumberFormat="1" applyFont="1"/>
    <xf numFmtId="168" fontId="231" fillId="0" borderId="0" xfId="278" applyNumberFormat="1" applyFont="1"/>
    <xf numFmtId="176" fontId="12" fillId="0" borderId="0" xfId="0" applyNumberFormat="1" applyFont="1"/>
    <xf numFmtId="176" fontId="12" fillId="0" borderId="0" xfId="278" applyNumberFormat="1" applyFont="1"/>
    <xf numFmtId="176" fontId="231" fillId="0" borderId="0" xfId="629" applyNumberFormat="1" applyFont="1"/>
    <xf numFmtId="176" fontId="231" fillId="0" borderId="0" xfId="278" applyNumberFormat="1" applyFont="1"/>
    <xf numFmtId="176" fontId="12" fillId="0" borderId="0" xfId="629" applyNumberFormat="1" applyFont="1"/>
    <xf numFmtId="176" fontId="17" fillId="0" borderId="0" xfId="0" applyNumberFormat="1" applyFont="1"/>
    <xf numFmtId="176" fontId="17" fillId="0" borderId="0" xfId="629" applyNumberFormat="1" applyFont="1"/>
    <xf numFmtId="176" fontId="232" fillId="0" borderId="0" xfId="629" applyNumberFormat="1" applyFont="1"/>
    <xf numFmtId="2" fontId="12" fillId="0" borderId="0" xfId="0" applyNumberFormat="1" applyFont="1"/>
    <xf numFmtId="0" fontId="12" fillId="80" borderId="0" xfId="0" applyFont="1" applyFill="1"/>
    <xf numFmtId="0" fontId="12" fillId="0" borderId="0" xfId="0" applyFont="1" applyAlignment="1">
      <alignment horizontal="left" indent="1"/>
    </xf>
    <xf numFmtId="9" fontId="231" fillId="0" borderId="0" xfId="0" applyNumberFormat="1" applyFont="1"/>
    <xf numFmtId="9" fontId="266" fillId="0" borderId="0" xfId="629" applyNumberFormat="1" applyFont="1"/>
    <xf numFmtId="9" fontId="17" fillId="0" borderId="0" xfId="0" applyNumberFormat="1" applyFont="1"/>
    <xf numFmtId="9" fontId="12" fillId="0" borderId="0" xfId="0" applyNumberFormat="1" applyFont="1"/>
    <xf numFmtId="9" fontId="17" fillId="0" borderId="0" xfId="292" applyFont="1" applyBorder="1"/>
    <xf numFmtId="0" fontId="231" fillId="0" borderId="0" xfId="0" applyFont="1"/>
    <xf numFmtId="168" fontId="226" fillId="0" borderId="0" xfId="278" applyNumberFormat="1" applyFont="1"/>
    <xf numFmtId="168" fontId="17" fillId="0" borderId="0" xfId="278" applyNumberFormat="1" applyFont="1"/>
    <xf numFmtId="168" fontId="226" fillId="0" borderId="0" xfId="629" applyNumberFormat="1" applyFont="1"/>
    <xf numFmtId="176" fontId="231" fillId="0" borderId="0" xfId="629" applyNumberFormat="1" applyFont="1" applyAlignment="1">
      <alignment horizontal="right"/>
    </xf>
    <xf numFmtId="176" fontId="267" fillId="0" borderId="0" xfId="629" applyNumberFormat="1" applyFont="1" applyAlignment="1">
      <alignment horizontal="right"/>
    </xf>
    <xf numFmtId="0" fontId="12" fillId="0" borderId="0" xfId="0" applyFont="1" applyAlignment="1">
      <alignment horizontal="right"/>
    </xf>
    <xf numFmtId="340" fontId="266" fillId="0" borderId="0" xfId="629" applyNumberFormat="1" applyFont="1"/>
    <xf numFmtId="340" fontId="12" fillId="0" borderId="0" xfId="0" applyNumberFormat="1" applyFont="1"/>
    <xf numFmtId="340" fontId="12" fillId="0" borderId="0" xfId="0" applyNumberFormat="1" applyFont="1" applyAlignment="1">
      <alignment horizontal="center"/>
    </xf>
    <xf numFmtId="340" fontId="12" fillId="0" borderId="0" xfId="0" applyNumberFormat="1" applyFont="1" applyAlignment="1">
      <alignment horizontal="right"/>
    </xf>
    <xf numFmtId="340" fontId="231" fillId="0" borderId="0" xfId="292" applyNumberFormat="1" applyFont="1" applyBorder="1" applyAlignment="1">
      <alignment horizontal="right"/>
    </xf>
    <xf numFmtId="340" fontId="17" fillId="0" borderId="0" xfId="0" applyNumberFormat="1" applyFont="1"/>
    <xf numFmtId="340" fontId="17" fillId="0" borderId="0" xfId="0" applyNumberFormat="1" applyFont="1" applyAlignment="1">
      <alignment horizontal="right"/>
    </xf>
    <xf numFmtId="329" fontId="12" fillId="0" borderId="0" xfId="0" applyNumberFormat="1" applyFont="1"/>
    <xf numFmtId="171" fontId="12" fillId="0" borderId="0" xfId="0" applyNumberFormat="1" applyFont="1"/>
    <xf numFmtId="0" fontId="268" fillId="0" borderId="0" xfId="629" applyFont="1"/>
    <xf numFmtId="9" fontId="231" fillId="0" borderId="0" xfId="292" applyFont="1"/>
    <xf numFmtId="9" fontId="12" fillId="0" borderId="0" xfId="292" applyFont="1"/>
    <xf numFmtId="175" fontId="231" fillId="0" borderId="0" xfId="292" applyNumberFormat="1" applyFont="1"/>
    <xf numFmtId="175" fontId="12" fillId="0" borderId="0" xfId="292" applyNumberFormat="1" applyFont="1"/>
    <xf numFmtId="175" fontId="231" fillId="0" borderId="0" xfId="292" applyNumberFormat="1" applyFont="1" applyBorder="1"/>
    <xf numFmtId="175" fontId="231" fillId="0" borderId="0" xfId="0" applyNumberFormat="1" applyFont="1"/>
    <xf numFmtId="175" fontId="12" fillId="0" borderId="0" xfId="0" applyNumberFormat="1" applyFont="1"/>
    <xf numFmtId="175" fontId="17" fillId="0" borderId="0" xfId="0" applyNumberFormat="1" applyFont="1"/>
    <xf numFmtId="175" fontId="227" fillId="0" borderId="0" xfId="0" applyNumberFormat="1" applyFont="1"/>
    <xf numFmtId="1" fontId="12" fillId="0" borderId="0" xfId="0" applyNumberFormat="1" applyFont="1"/>
    <xf numFmtId="0" fontId="17" fillId="0" borderId="0" xfId="278" applyFont="1" applyAlignment="1">
      <alignment vertical="center"/>
    </xf>
    <xf numFmtId="176" fontId="269" fillId="0" borderId="0" xfId="629" applyNumberFormat="1" applyFont="1" applyAlignment="1">
      <alignment horizontal="right"/>
    </xf>
    <xf numFmtId="340" fontId="267" fillId="0" borderId="0" xfId="0" applyNumberFormat="1" applyFont="1" applyAlignment="1">
      <alignment horizontal="right"/>
    </xf>
    <xf numFmtId="340" fontId="269" fillId="0" borderId="0" xfId="0" applyNumberFormat="1" applyFont="1" applyAlignment="1">
      <alignment horizontal="right"/>
    </xf>
    <xf numFmtId="9" fontId="267" fillId="0" borderId="0" xfId="292" applyFont="1" applyBorder="1"/>
    <xf numFmtId="168" fontId="269" fillId="0" borderId="0" xfId="278" applyNumberFormat="1" applyFont="1"/>
    <xf numFmtId="171" fontId="269" fillId="0" borderId="0" xfId="0" applyNumberFormat="1" applyFont="1"/>
    <xf numFmtId="9" fontId="267" fillId="0" borderId="0" xfId="292" applyFont="1"/>
    <xf numFmtId="175" fontId="267" fillId="0" borderId="0" xfId="292" applyNumberFormat="1" applyFont="1" applyBorder="1"/>
    <xf numFmtId="0" fontId="267" fillId="0" borderId="0" xfId="0" applyFont="1"/>
    <xf numFmtId="9" fontId="267" fillId="0" borderId="0" xfId="0" applyNumberFormat="1" applyFont="1"/>
    <xf numFmtId="9" fontId="269" fillId="0" borderId="0" xfId="0" applyNumberFormat="1" applyFont="1"/>
    <xf numFmtId="175" fontId="269" fillId="0" borderId="0" xfId="0" applyNumberFormat="1" applyFont="1"/>
    <xf numFmtId="214" fontId="266" fillId="0" borderId="0" xfId="629" applyNumberFormat="1" applyFont="1"/>
    <xf numFmtId="214" fontId="12" fillId="0" borderId="0" xfId="0" applyNumberFormat="1" applyFont="1"/>
    <xf numFmtId="0" fontId="262" fillId="0" borderId="0" xfId="0" applyFont="1"/>
    <xf numFmtId="340" fontId="267" fillId="0" borderId="0" xfId="0" applyNumberFormat="1" applyFont="1"/>
    <xf numFmtId="214" fontId="267" fillId="0" borderId="0" xfId="0" applyNumberFormat="1" applyFont="1"/>
    <xf numFmtId="214" fontId="231" fillId="0" borderId="0" xfId="0" applyNumberFormat="1" applyFont="1"/>
    <xf numFmtId="214" fontId="268" fillId="0" borderId="0" xfId="629" applyNumberFormat="1" applyFont="1"/>
    <xf numFmtId="214" fontId="17" fillId="0" borderId="0" xfId="0" applyNumberFormat="1" applyFont="1"/>
    <xf numFmtId="214" fontId="269" fillId="0" borderId="0" xfId="0" applyNumberFormat="1" applyFont="1"/>
    <xf numFmtId="175" fontId="12" fillId="0" borderId="0" xfId="292" applyNumberFormat="1" applyFont="1" applyFill="1" applyAlignment="1">
      <alignment vertical="center"/>
    </xf>
    <xf numFmtId="0" fontId="17" fillId="0" borderId="6" xfId="278" applyFont="1" applyBorder="1"/>
    <xf numFmtId="329" fontId="12" fillId="0" borderId="0" xfId="278" applyNumberFormat="1" applyFont="1"/>
    <xf numFmtId="0" fontId="12" fillId="0" borderId="15" xfId="0" applyFont="1" applyBorder="1"/>
    <xf numFmtId="168" fontId="65" fillId="0" borderId="0" xfId="278" applyNumberFormat="1" applyFont="1"/>
    <xf numFmtId="168" fontId="227" fillId="0" borderId="0" xfId="278" applyNumberFormat="1" applyFont="1"/>
    <xf numFmtId="214" fontId="17" fillId="0" borderId="6" xfId="278" applyNumberFormat="1" applyFont="1" applyBorder="1"/>
    <xf numFmtId="214" fontId="269" fillId="0" borderId="0" xfId="278" applyNumberFormat="1" applyFont="1"/>
    <xf numFmtId="214" fontId="17" fillId="0" borderId="0" xfId="278" applyNumberFormat="1" applyFont="1"/>
    <xf numFmtId="214" fontId="12" fillId="0" borderId="0" xfId="278" applyNumberFormat="1" applyFont="1"/>
    <xf numFmtId="340" fontId="237" fillId="0" borderId="6" xfId="278" applyNumberFormat="1" applyFont="1" applyBorder="1" applyAlignment="1">
      <alignment horizontal="left" indent="1"/>
    </xf>
    <xf numFmtId="340" fontId="271" fillId="0" borderId="0" xfId="292" applyNumberFormat="1" applyFont="1"/>
    <xf numFmtId="340" fontId="237" fillId="0" borderId="0" xfId="278" applyNumberFormat="1" applyFont="1"/>
    <xf numFmtId="0" fontId="12" fillId="0" borderId="6" xfId="278" applyFont="1" applyBorder="1" applyAlignment="1">
      <alignment horizontal="left"/>
    </xf>
    <xf numFmtId="9" fontId="12" fillId="0" borderId="0" xfId="292" applyFont="1" applyFill="1"/>
    <xf numFmtId="168" fontId="267" fillId="0" borderId="0" xfId="278" applyNumberFormat="1" applyFont="1"/>
    <xf numFmtId="0" fontId="17" fillId="0" borderId="6" xfId="278" applyFont="1" applyBorder="1" applyAlignment="1">
      <alignment horizontal="left"/>
    </xf>
    <xf numFmtId="168" fontId="232" fillId="0" borderId="0" xfId="278" applyNumberFormat="1" applyFont="1"/>
    <xf numFmtId="0" fontId="17" fillId="0" borderId="0" xfId="278" applyFont="1"/>
    <xf numFmtId="9" fontId="237" fillId="0" borderId="6" xfId="278" applyNumberFormat="1" applyFont="1" applyBorder="1" applyAlignment="1">
      <alignment horizontal="left" indent="1"/>
    </xf>
    <xf numFmtId="9" fontId="271" fillId="0" borderId="0" xfId="292" applyFont="1"/>
    <xf numFmtId="9" fontId="12" fillId="0" borderId="0" xfId="278" applyNumberFormat="1" applyFont="1"/>
    <xf numFmtId="9" fontId="237" fillId="0" borderId="0" xfId="278" applyNumberFormat="1" applyFont="1"/>
    <xf numFmtId="175" fontId="237" fillId="0" borderId="0" xfId="292" applyNumberFormat="1" applyFont="1" applyFill="1"/>
    <xf numFmtId="0" fontId="231" fillId="0" borderId="0" xfId="278" applyFont="1"/>
    <xf numFmtId="214" fontId="12" fillId="0" borderId="0" xfId="629" applyNumberFormat="1" applyFont="1"/>
    <xf numFmtId="214" fontId="12" fillId="0" borderId="6" xfId="278" applyNumberFormat="1" applyFont="1" applyBorder="1"/>
    <xf numFmtId="175" fontId="12" fillId="0" borderId="0" xfId="292" applyNumberFormat="1" applyFont="1" applyFill="1"/>
    <xf numFmtId="214" fontId="237" fillId="0" borderId="0" xfId="278" applyNumberFormat="1" applyFont="1"/>
    <xf numFmtId="0" fontId="17" fillId="0" borderId="0" xfId="629" applyFont="1"/>
    <xf numFmtId="0" fontId="12" fillId="0" borderId="6" xfId="278" applyFont="1" applyBorder="1"/>
    <xf numFmtId="175" fontId="12" fillId="0" borderId="0" xfId="292" applyNumberFormat="1" applyFont="1" applyFill="1" applyBorder="1"/>
    <xf numFmtId="0" fontId="12" fillId="0" borderId="6" xfId="278" applyFont="1" applyBorder="1" applyAlignment="1">
      <alignment horizontal="left" indent="1"/>
    </xf>
    <xf numFmtId="168" fontId="106" fillId="0" borderId="0" xfId="278" applyNumberFormat="1" applyFont="1"/>
    <xf numFmtId="168" fontId="106" fillId="0" borderId="0" xfId="629" applyNumberFormat="1" applyFont="1"/>
    <xf numFmtId="181" fontId="231" fillId="0" borderId="0" xfId="292" applyNumberFormat="1" applyFont="1" applyBorder="1"/>
    <xf numFmtId="181" fontId="231" fillId="0" borderId="0" xfId="278" applyNumberFormat="1" applyFont="1"/>
    <xf numFmtId="0" fontId="17" fillId="0" borderId="13" xfId="278" applyFont="1" applyBorder="1"/>
    <xf numFmtId="168" fontId="17" fillId="0" borderId="2" xfId="278" applyNumberFormat="1" applyFont="1" applyBorder="1"/>
    <xf numFmtId="214" fontId="106" fillId="0" borderId="0" xfId="278" applyNumberFormat="1" applyFont="1"/>
    <xf numFmtId="214" fontId="12" fillId="0" borderId="6" xfId="278" applyNumberFormat="1" applyFont="1" applyBorder="1" applyAlignment="1">
      <alignment horizontal="left" indent="1"/>
    </xf>
    <xf numFmtId="214" fontId="231" fillId="0" borderId="0" xfId="278" applyNumberFormat="1" applyFont="1"/>
    <xf numFmtId="214" fontId="267" fillId="0" borderId="0" xfId="278" applyNumberFormat="1" applyFont="1"/>
    <xf numFmtId="214" fontId="231" fillId="0" borderId="0" xfId="292" applyNumberFormat="1" applyFont="1" applyFill="1" applyBorder="1"/>
    <xf numFmtId="214" fontId="12" fillId="0" borderId="0" xfId="292" applyNumberFormat="1" applyFont="1" applyBorder="1"/>
    <xf numFmtId="167" fontId="12" fillId="0" borderId="0" xfId="292" applyNumberFormat="1" applyFont="1"/>
    <xf numFmtId="167" fontId="12" fillId="0" borderId="0" xfId="292" applyNumberFormat="1" applyFont="1" applyBorder="1"/>
    <xf numFmtId="167" fontId="231" fillId="0" borderId="0" xfId="292" applyNumberFormat="1" applyFont="1" applyBorder="1"/>
    <xf numFmtId="175" fontId="12" fillId="0" borderId="6" xfId="278" applyNumberFormat="1" applyFont="1" applyBorder="1"/>
    <xf numFmtId="175" fontId="12" fillId="0" borderId="0" xfId="278" applyNumberFormat="1" applyFont="1"/>
    <xf numFmtId="175" fontId="17" fillId="0" borderId="6" xfId="278" applyNumberFormat="1" applyFont="1" applyBorder="1"/>
    <xf numFmtId="10" fontId="12" fillId="0" borderId="0" xfId="292" applyNumberFormat="1" applyFont="1" applyFill="1" applyBorder="1"/>
    <xf numFmtId="172" fontId="12" fillId="0" borderId="0" xfId="292" applyNumberFormat="1" applyFont="1" applyBorder="1"/>
    <xf numFmtId="172" fontId="231" fillId="0" borderId="0" xfId="292" applyNumberFormat="1" applyFont="1" applyBorder="1"/>
    <xf numFmtId="167" fontId="231" fillId="0" borderId="0" xfId="292" applyNumberFormat="1" applyFont="1" applyFill="1" applyBorder="1"/>
    <xf numFmtId="168" fontId="267" fillId="0" borderId="0" xfId="629" applyNumberFormat="1" applyFont="1"/>
    <xf numFmtId="0" fontId="12" fillId="0" borderId="31" xfId="278" applyFont="1" applyBorder="1"/>
    <xf numFmtId="168" fontId="12" fillId="0" borderId="25" xfId="629" applyNumberFormat="1" applyFont="1" applyBorder="1"/>
    <xf numFmtId="168" fontId="267" fillId="0" borderId="25" xfId="629" applyNumberFormat="1" applyFont="1" applyBorder="1"/>
    <xf numFmtId="168" fontId="231" fillId="0" borderId="25" xfId="629" applyNumberFormat="1" applyFont="1" applyBorder="1"/>
    <xf numFmtId="168" fontId="17" fillId="0" borderId="0" xfId="629" applyNumberFormat="1" applyFont="1"/>
    <xf numFmtId="168" fontId="269" fillId="0" borderId="0" xfId="629" applyNumberFormat="1" applyFont="1"/>
    <xf numFmtId="168" fontId="227" fillId="0" borderId="0" xfId="629" applyNumberFormat="1" applyFont="1"/>
    <xf numFmtId="183" fontId="231" fillId="0" borderId="0" xfId="279" applyNumberFormat="1" applyFont="1"/>
    <xf numFmtId="335" fontId="231" fillId="0" borderId="0" xfId="279" applyNumberFormat="1" applyFont="1"/>
    <xf numFmtId="183" fontId="267" fillId="0" borderId="0" xfId="279" applyNumberFormat="1" applyFont="1"/>
    <xf numFmtId="179" fontId="12" fillId="0" borderId="0" xfId="279" applyNumberFormat="1" applyFont="1"/>
    <xf numFmtId="334" fontId="267" fillId="0" borderId="0" xfId="279" applyNumberFormat="1" applyFont="1"/>
    <xf numFmtId="178" fontId="267" fillId="0" borderId="0" xfId="279" applyFont="1"/>
    <xf numFmtId="179" fontId="267" fillId="0" borderId="0" xfId="279" applyNumberFormat="1" applyFont="1"/>
    <xf numFmtId="0" fontId="15" fillId="0" borderId="6" xfId="278" applyFont="1" applyBorder="1"/>
    <xf numFmtId="167" fontId="106" fillId="0" borderId="0" xfId="292" applyNumberFormat="1" applyFont="1"/>
    <xf numFmtId="330" fontId="12" fillId="0" borderId="0" xfId="292" applyNumberFormat="1" applyFont="1"/>
    <xf numFmtId="330" fontId="267" fillId="0" borderId="0" xfId="292" applyNumberFormat="1" applyFont="1"/>
    <xf numFmtId="167" fontId="231" fillId="0" borderId="0" xfId="292" applyNumberFormat="1" applyFont="1"/>
    <xf numFmtId="214" fontId="106" fillId="0" borderId="0" xfId="292" applyNumberFormat="1" applyFont="1"/>
    <xf numFmtId="330" fontId="231" fillId="0" borderId="0" xfId="292" applyNumberFormat="1" applyFont="1"/>
    <xf numFmtId="172" fontId="12" fillId="0" borderId="0" xfId="292" applyNumberFormat="1" applyFont="1"/>
    <xf numFmtId="167" fontId="267" fillId="0" borderId="0" xfId="292" applyNumberFormat="1" applyFont="1"/>
    <xf numFmtId="167" fontId="267" fillId="0" borderId="0" xfId="292" applyNumberFormat="1" applyFont="1" applyBorder="1"/>
    <xf numFmtId="168" fontId="272" fillId="0" borderId="0" xfId="629" applyNumberFormat="1" applyFont="1"/>
    <xf numFmtId="0" fontId="237" fillId="0" borderId="6" xfId="278" applyFont="1" applyBorder="1"/>
    <xf numFmtId="168" fontId="228" fillId="74" borderId="2" xfId="629" quotePrefix="1" applyNumberFormat="1" applyFont="1" applyFill="1" applyBorder="1"/>
    <xf numFmtId="168" fontId="231" fillId="0" borderId="0" xfId="279" applyNumberFormat="1" applyFont="1"/>
    <xf numFmtId="168" fontId="12" fillId="0" borderId="0" xfId="279" applyNumberFormat="1" applyFont="1"/>
    <xf numFmtId="168" fontId="17" fillId="0" borderId="2" xfId="629" applyNumberFormat="1" applyFont="1" applyBorder="1"/>
    <xf numFmtId="181" fontId="12" fillId="0" borderId="0" xfId="629" applyNumberFormat="1" applyFont="1"/>
    <xf numFmtId="168" fontId="231" fillId="0" borderId="43" xfId="629" applyNumberFormat="1" applyFont="1" applyBorder="1"/>
    <xf numFmtId="168" fontId="12" fillId="0" borderId="43" xfId="629" applyNumberFormat="1" applyFont="1" applyBorder="1"/>
    <xf numFmtId="214" fontId="266" fillId="0" borderId="0" xfId="629" applyNumberFormat="1" applyFont="1" applyAlignment="1">
      <alignment horizontal="right"/>
    </xf>
    <xf numFmtId="214" fontId="17" fillId="0" borderId="6" xfId="278" applyNumberFormat="1" applyFont="1" applyBorder="1" applyAlignment="1">
      <alignment horizontal="left"/>
    </xf>
    <xf numFmtId="214" fontId="12" fillId="0" borderId="0" xfId="278" applyNumberFormat="1" applyFont="1" applyAlignment="1">
      <alignment horizontal="right"/>
    </xf>
    <xf numFmtId="214" fontId="12" fillId="0" borderId="0" xfId="629" applyNumberFormat="1" applyFont="1" applyAlignment="1">
      <alignment horizontal="right"/>
    </xf>
    <xf numFmtId="168" fontId="12" fillId="0" borderId="6" xfId="278" applyNumberFormat="1" applyFont="1" applyBorder="1"/>
    <xf numFmtId="173" fontId="12" fillId="0" borderId="0" xfId="629" applyNumberFormat="1" applyFont="1"/>
    <xf numFmtId="167" fontId="12" fillId="0" borderId="0" xfId="629" applyNumberFormat="1" applyFont="1"/>
    <xf numFmtId="172" fontId="17" fillId="0" borderId="2" xfId="629" applyNumberFormat="1" applyFont="1" applyBorder="1"/>
    <xf numFmtId="172" fontId="12" fillId="0" borderId="0" xfId="629" applyNumberFormat="1" applyFont="1"/>
    <xf numFmtId="166" fontId="12" fillId="0" borderId="0" xfId="204" applyFont="1"/>
    <xf numFmtId="166" fontId="12" fillId="0" borderId="0" xfId="204" applyFont="1" applyBorder="1"/>
    <xf numFmtId="171" fontId="12" fillId="0" borderId="6" xfId="279" applyNumberFormat="1" applyFont="1" applyBorder="1"/>
    <xf numFmtId="168" fontId="12" fillId="0" borderId="0" xfId="277" applyNumberFormat="1"/>
    <xf numFmtId="214" fontId="226" fillId="0" borderId="0" xfId="629" applyNumberFormat="1" applyFont="1"/>
    <xf numFmtId="214" fontId="269" fillId="0" borderId="0" xfId="629" applyNumberFormat="1" applyFont="1"/>
    <xf numFmtId="341" fontId="12" fillId="0" borderId="0" xfId="278" applyNumberFormat="1" applyFont="1"/>
    <xf numFmtId="175" fontId="231" fillId="0" borderId="0" xfId="278" applyNumberFormat="1" applyFont="1"/>
    <xf numFmtId="171" fontId="12" fillId="0" borderId="0" xfId="0" applyNumberFormat="1" applyFont="1" applyAlignment="1">
      <alignment horizontal="center"/>
    </xf>
    <xf numFmtId="3" fontId="12" fillId="0" borderId="0" xfId="0" applyNumberFormat="1" applyFont="1"/>
    <xf numFmtId="10" fontId="12" fillId="0" borderId="0" xfId="0" applyNumberFormat="1" applyFont="1"/>
    <xf numFmtId="168" fontId="18" fillId="0" borderId="0" xfId="629" applyNumberFormat="1"/>
    <xf numFmtId="168" fontId="110" fillId="0" borderId="0" xfId="629" applyNumberFormat="1" applyFont="1"/>
    <xf numFmtId="168" fontId="277" fillId="0" borderId="0" xfId="629" applyNumberFormat="1" applyFont="1"/>
    <xf numFmtId="9" fontId="18" fillId="0" borderId="0" xfId="292" applyFont="1" applyBorder="1"/>
    <xf numFmtId="167" fontId="18" fillId="0" borderId="0" xfId="292" applyNumberFormat="1" applyFont="1"/>
    <xf numFmtId="167" fontId="18" fillId="0" borderId="0" xfId="292" applyNumberFormat="1" applyFont="1" applyBorder="1"/>
    <xf numFmtId="0" fontId="18" fillId="0" borderId="0" xfId="629"/>
    <xf numFmtId="172" fontId="18" fillId="0" borderId="0" xfId="292" applyNumberFormat="1" applyFont="1" applyBorder="1"/>
    <xf numFmtId="9" fontId="18" fillId="0" borderId="0" xfId="292" applyFont="1"/>
    <xf numFmtId="168" fontId="279" fillId="74" borderId="2" xfId="629" applyNumberFormat="1" applyFont="1" applyFill="1" applyBorder="1"/>
    <xf numFmtId="168" fontId="280" fillId="74" borderId="2" xfId="629" applyNumberFormat="1" applyFont="1" applyFill="1" applyBorder="1"/>
    <xf numFmtId="172" fontId="18" fillId="0" borderId="0" xfId="292" applyNumberFormat="1" applyFont="1"/>
    <xf numFmtId="167" fontId="18" fillId="0" borderId="0" xfId="629" applyNumberFormat="1"/>
    <xf numFmtId="172" fontId="274" fillId="0" borderId="2" xfId="629" applyNumberFormat="1" applyFont="1" applyBorder="1"/>
    <xf numFmtId="167" fontId="277" fillId="0" borderId="0" xfId="629" applyNumberFormat="1" applyFont="1"/>
    <xf numFmtId="172" fontId="277" fillId="0" borderId="0" xfId="629" applyNumberFormat="1" applyFont="1"/>
    <xf numFmtId="172" fontId="18" fillId="0" borderId="0" xfId="629" applyNumberFormat="1"/>
    <xf numFmtId="168" fontId="265" fillId="0" borderId="0" xfId="629" applyNumberFormat="1" applyFont="1"/>
    <xf numFmtId="167" fontId="265" fillId="0" borderId="0" xfId="292" applyNumberFormat="1" applyFont="1" applyBorder="1"/>
    <xf numFmtId="167" fontId="265" fillId="0" borderId="0" xfId="629" applyNumberFormat="1" applyFont="1"/>
    <xf numFmtId="172" fontId="283" fillId="0" borderId="2" xfId="629" applyNumberFormat="1" applyFont="1" applyBorder="1"/>
    <xf numFmtId="172" fontId="265" fillId="0" borderId="0" xfId="629" applyNumberFormat="1" applyFont="1"/>
    <xf numFmtId="174" fontId="18" fillId="42" borderId="0" xfId="629" applyNumberFormat="1" applyFill="1"/>
    <xf numFmtId="168" fontId="18" fillId="42" borderId="0" xfId="629" applyNumberFormat="1" applyFill="1"/>
    <xf numFmtId="175" fontId="18" fillId="42" borderId="0" xfId="292" applyNumberFormat="1" applyFont="1" applyFill="1" applyBorder="1"/>
    <xf numFmtId="168" fontId="273" fillId="42" borderId="0" xfId="629" applyNumberFormat="1" applyFont="1" applyFill="1"/>
    <xf numFmtId="168" fontId="110" fillId="42" borderId="0" xfId="629" applyNumberFormat="1" applyFont="1" applyFill="1"/>
    <xf numFmtId="168" fontId="283" fillId="42" borderId="0" xfId="629" applyNumberFormat="1" applyFont="1" applyFill="1"/>
    <xf numFmtId="168" fontId="274" fillId="42" borderId="0" xfId="629" applyNumberFormat="1" applyFont="1" applyFill="1"/>
    <xf numFmtId="168" fontId="276" fillId="42" borderId="0" xfId="629" applyNumberFormat="1" applyFont="1" applyFill="1"/>
    <xf numFmtId="9" fontId="275" fillId="42" borderId="0" xfId="292" applyFont="1" applyFill="1"/>
    <xf numFmtId="9" fontId="284" fillId="42" borderId="0" xfId="292" applyFont="1" applyFill="1"/>
    <xf numFmtId="175" fontId="284" fillId="42" borderId="0" xfId="292" applyNumberFormat="1" applyFont="1" applyFill="1"/>
    <xf numFmtId="9" fontId="18" fillId="42" borderId="0" xfId="292" applyFont="1" applyFill="1"/>
    <xf numFmtId="9" fontId="273" fillId="42" borderId="0" xfId="292" applyFont="1" applyFill="1" applyBorder="1"/>
    <xf numFmtId="168" fontId="265" fillId="42" borderId="0" xfId="629" applyNumberFormat="1" applyFont="1" applyFill="1"/>
    <xf numFmtId="175" fontId="275" fillId="42" borderId="0" xfId="292" applyNumberFormat="1" applyFont="1" applyFill="1"/>
    <xf numFmtId="214" fontId="18" fillId="42" borderId="0" xfId="629" applyNumberFormat="1" applyFill="1"/>
    <xf numFmtId="168" fontId="277" fillId="42" borderId="0" xfId="629" applyNumberFormat="1" applyFont="1" applyFill="1"/>
    <xf numFmtId="9" fontId="278" fillId="42" borderId="0" xfId="292" applyFont="1" applyFill="1" applyBorder="1"/>
    <xf numFmtId="0" fontId="18" fillId="42" borderId="0" xfId="292" applyNumberFormat="1" applyFont="1" applyFill="1" applyBorder="1"/>
    <xf numFmtId="181" fontId="110" fillId="42" borderId="0" xfId="292" applyNumberFormat="1" applyFont="1" applyFill="1" applyBorder="1"/>
    <xf numFmtId="168" fontId="274" fillId="42" borderId="2" xfId="629" applyNumberFormat="1" applyFont="1" applyFill="1" applyBorder="1"/>
    <xf numFmtId="168" fontId="283" fillId="42" borderId="2" xfId="629" applyNumberFormat="1" applyFont="1" applyFill="1" applyBorder="1"/>
    <xf numFmtId="0" fontId="247" fillId="42" borderId="0" xfId="0" applyFont="1" applyFill="1"/>
    <xf numFmtId="0" fontId="270" fillId="42" borderId="0" xfId="0" applyFont="1" applyFill="1"/>
    <xf numFmtId="9" fontId="18" fillId="42" borderId="0" xfId="292" applyFont="1" applyFill="1" applyBorder="1"/>
    <xf numFmtId="9" fontId="265" fillId="42" borderId="0" xfId="292" applyFont="1" applyFill="1" applyBorder="1"/>
    <xf numFmtId="167" fontId="18" fillId="42" borderId="0" xfId="292" applyNumberFormat="1" applyFont="1" applyFill="1"/>
    <xf numFmtId="167" fontId="18" fillId="42" borderId="0" xfId="292" applyNumberFormat="1" applyFont="1" applyFill="1" applyBorder="1"/>
    <xf numFmtId="167" fontId="265" fillId="42" borderId="0" xfId="292" applyNumberFormat="1" applyFont="1" applyFill="1" applyBorder="1"/>
    <xf numFmtId="0" fontId="18" fillId="42" borderId="0" xfId="629" applyFill="1"/>
    <xf numFmtId="175" fontId="265" fillId="42" borderId="0" xfId="292" applyNumberFormat="1" applyFont="1" applyFill="1" applyBorder="1"/>
    <xf numFmtId="175" fontId="18" fillId="42" borderId="0" xfId="292" applyNumberFormat="1" applyFont="1" applyFill="1"/>
    <xf numFmtId="10" fontId="18" fillId="42" borderId="0" xfId="292" applyNumberFormat="1" applyFont="1" applyFill="1" applyBorder="1"/>
    <xf numFmtId="10" fontId="18" fillId="42" borderId="0" xfId="292" applyNumberFormat="1" applyFont="1" applyFill="1"/>
    <xf numFmtId="175" fontId="265" fillId="42" borderId="0" xfId="292" applyNumberFormat="1" applyFont="1" applyFill="1"/>
    <xf numFmtId="172" fontId="18" fillId="42" borderId="0" xfId="292" applyNumberFormat="1" applyFont="1" applyFill="1" applyBorder="1"/>
    <xf numFmtId="172" fontId="110" fillId="42" borderId="0" xfId="292" applyNumberFormat="1" applyFont="1" applyFill="1" applyBorder="1"/>
    <xf numFmtId="172" fontId="265" fillId="42" borderId="0" xfId="292" applyNumberFormat="1" applyFont="1" applyFill="1" applyBorder="1"/>
    <xf numFmtId="9" fontId="265" fillId="42" borderId="0" xfId="292" applyFont="1" applyFill="1"/>
    <xf numFmtId="168" fontId="18" fillId="42" borderId="25" xfId="629" applyNumberFormat="1" applyFill="1" applyBorder="1"/>
    <xf numFmtId="168" fontId="265" fillId="42" borderId="25" xfId="629" applyNumberFormat="1" applyFont="1" applyFill="1" applyBorder="1"/>
    <xf numFmtId="168" fontId="110" fillId="42" borderId="25" xfId="629" applyNumberFormat="1" applyFont="1" applyFill="1" applyBorder="1"/>
    <xf numFmtId="178" fontId="277" fillId="42" borderId="0" xfId="629" applyNumberFormat="1" applyFont="1" applyFill="1"/>
    <xf numFmtId="179" fontId="277" fillId="42" borderId="0" xfId="629" applyNumberFormat="1" applyFont="1" applyFill="1"/>
    <xf numFmtId="179" fontId="18" fillId="42" borderId="0" xfId="629" applyNumberFormat="1" applyFill="1"/>
    <xf numFmtId="178" fontId="110" fillId="42" borderId="0" xfId="629" applyNumberFormat="1" applyFont="1" applyFill="1"/>
    <xf numFmtId="183" fontId="110" fillId="42" borderId="0" xfId="279" applyNumberFormat="1" applyFont="1" applyFill="1"/>
    <xf numFmtId="179" fontId="18" fillId="42" borderId="0" xfId="629" applyNumberFormat="1" applyFill="1" applyAlignment="1">
      <alignment horizontal="right"/>
    </xf>
    <xf numFmtId="179" fontId="19" fillId="42" borderId="0" xfId="279" applyNumberFormat="1" applyFill="1"/>
    <xf numFmtId="178" fontId="19" fillId="42" borderId="0" xfId="279" applyFill="1"/>
    <xf numFmtId="178" fontId="18" fillId="42" borderId="0" xfId="629" applyNumberFormat="1" applyFill="1" applyAlignment="1">
      <alignment horizontal="right"/>
    </xf>
    <xf numFmtId="179" fontId="265" fillId="42" borderId="0" xfId="279" applyNumberFormat="1" applyFont="1" applyFill="1"/>
    <xf numFmtId="178" fontId="265" fillId="42" borderId="0" xfId="279" applyFont="1" applyFill="1"/>
    <xf numFmtId="334" fontId="265" fillId="42" borderId="0" xfId="279" applyNumberFormat="1" applyFont="1" applyFill="1"/>
    <xf numFmtId="183" fontId="265" fillId="42" borderId="0" xfId="279" applyNumberFormat="1" applyFont="1" applyFill="1"/>
    <xf numFmtId="174" fontId="110" fillId="42" borderId="0" xfId="629" applyNumberFormat="1" applyFont="1" applyFill="1"/>
    <xf numFmtId="167" fontId="277" fillId="42" borderId="0" xfId="292" applyNumberFormat="1" applyFont="1" applyFill="1"/>
    <xf numFmtId="167" fontId="110" fillId="42" borderId="0" xfId="292" applyNumberFormat="1" applyFont="1" applyFill="1"/>
    <xf numFmtId="330" fontId="265" fillId="42" borderId="0" xfId="292" applyNumberFormat="1" applyFont="1" applyFill="1"/>
    <xf numFmtId="330" fontId="18" fillId="42" borderId="0" xfId="292" applyNumberFormat="1" applyFont="1" applyFill="1"/>
    <xf numFmtId="172" fontId="18" fillId="42" borderId="0" xfId="292" applyNumberFormat="1" applyFont="1" applyFill="1"/>
    <xf numFmtId="167" fontId="265" fillId="42" borderId="0" xfId="292" applyNumberFormat="1" applyFont="1" applyFill="1"/>
    <xf numFmtId="168" fontId="281" fillId="42" borderId="0" xfId="629" applyNumberFormat="1" applyFont="1" applyFill="1"/>
    <xf numFmtId="2" fontId="18" fillId="42" borderId="0" xfId="629" applyNumberFormat="1" applyFill="1"/>
    <xf numFmtId="205" fontId="18" fillId="42" borderId="0" xfId="629" applyNumberFormat="1" applyFill="1"/>
    <xf numFmtId="39" fontId="18" fillId="42" borderId="0" xfId="629" applyNumberFormat="1" applyFill="1"/>
    <xf numFmtId="168" fontId="110" fillId="42" borderId="0" xfId="279" applyNumberFormat="1" applyFont="1" applyFill="1"/>
    <xf numFmtId="230" fontId="18" fillId="42" borderId="0" xfId="629" applyNumberFormat="1" applyFill="1"/>
    <xf numFmtId="168" fontId="18" fillId="42" borderId="2" xfId="629" applyNumberFormat="1" applyFill="1" applyBorder="1"/>
    <xf numFmtId="181" fontId="18" fillId="42" borderId="0" xfId="629" applyNumberFormat="1" applyFill="1"/>
    <xf numFmtId="168" fontId="110" fillId="42" borderId="43" xfId="629" applyNumberFormat="1" applyFont="1" applyFill="1" applyBorder="1"/>
    <xf numFmtId="0" fontId="18" fillId="42" borderId="0" xfId="629" applyFill="1" applyAlignment="1">
      <alignment horizontal="center"/>
    </xf>
    <xf numFmtId="343" fontId="18" fillId="42" borderId="0" xfId="629" applyNumberFormat="1" applyFill="1" applyAlignment="1">
      <alignment horizontal="center"/>
    </xf>
    <xf numFmtId="205" fontId="265" fillId="42" borderId="0" xfId="629" applyNumberFormat="1" applyFont="1" applyFill="1" applyAlignment="1">
      <alignment horizontal="center"/>
    </xf>
    <xf numFmtId="205" fontId="18" fillId="42" borderId="0" xfId="629" applyNumberFormat="1" applyFill="1" applyAlignment="1">
      <alignment horizontal="center"/>
    </xf>
    <xf numFmtId="172" fontId="265" fillId="42" borderId="0" xfId="292" applyNumberFormat="1" applyFont="1" applyFill="1"/>
    <xf numFmtId="173" fontId="265" fillId="42" borderId="0" xfId="629" applyNumberFormat="1" applyFont="1" applyFill="1"/>
    <xf numFmtId="173" fontId="18" fillId="42" borderId="0" xfId="629" applyNumberFormat="1" applyFill="1"/>
    <xf numFmtId="0" fontId="110" fillId="42" borderId="0" xfId="629" applyFont="1" applyFill="1"/>
    <xf numFmtId="166" fontId="19" fillId="42" borderId="0" xfId="204" applyFill="1"/>
    <xf numFmtId="166" fontId="19" fillId="42" borderId="0" xfId="204" applyFill="1" applyBorder="1"/>
    <xf numFmtId="167" fontId="18" fillId="42" borderId="0" xfId="629" applyNumberFormat="1" applyFill="1"/>
    <xf numFmtId="167" fontId="265" fillId="42" borderId="0" xfId="629" applyNumberFormat="1" applyFont="1" applyFill="1"/>
    <xf numFmtId="172" fontId="18" fillId="42" borderId="0" xfId="629" applyNumberFormat="1" applyFill="1"/>
    <xf numFmtId="176" fontId="110" fillId="42" borderId="0" xfId="629" applyNumberFormat="1" applyFont="1" applyFill="1"/>
    <xf numFmtId="176" fontId="18" fillId="42" borderId="0" xfId="629" applyNumberFormat="1" applyFill="1"/>
    <xf numFmtId="176" fontId="277" fillId="42" borderId="0" xfId="629" applyNumberFormat="1" applyFont="1" applyFill="1"/>
    <xf numFmtId="9" fontId="110" fillId="42" borderId="0" xfId="292" applyFont="1" applyFill="1"/>
    <xf numFmtId="176" fontId="265" fillId="42" borderId="0" xfId="629" applyNumberFormat="1" applyFont="1" applyFill="1"/>
    <xf numFmtId="173" fontId="110" fillId="42" borderId="0" xfId="629" applyNumberFormat="1" applyFont="1" applyFill="1"/>
    <xf numFmtId="0" fontId="282" fillId="42" borderId="0" xfId="629" applyFont="1" applyFill="1"/>
    <xf numFmtId="171" fontId="265" fillId="42" borderId="0" xfId="629" applyNumberFormat="1" applyFont="1" applyFill="1"/>
    <xf numFmtId="171" fontId="110" fillId="42" borderId="0" xfId="629" applyNumberFormat="1" applyFont="1" applyFill="1"/>
    <xf numFmtId="0" fontId="274" fillId="42" borderId="0" xfId="629" applyFont="1" applyFill="1"/>
    <xf numFmtId="171" fontId="283" fillId="42" borderId="0" xfId="629" applyNumberFormat="1" applyFont="1" applyFill="1"/>
    <xf numFmtId="171" fontId="276" fillId="42" borderId="0" xfId="629" applyNumberFormat="1" applyFont="1" applyFill="1"/>
    <xf numFmtId="340" fontId="237" fillId="42" borderId="0" xfId="292" applyNumberFormat="1" applyFont="1" applyFill="1"/>
    <xf numFmtId="9" fontId="237" fillId="42" borderId="0" xfId="292" applyFont="1" applyFill="1"/>
    <xf numFmtId="0" fontId="17" fillId="42" borderId="0" xfId="278" applyFont="1" applyFill="1" applyAlignment="1">
      <alignment vertical="center"/>
    </xf>
    <xf numFmtId="0" fontId="12" fillId="0" borderId="6" xfId="629" applyFont="1" applyBorder="1" applyAlignment="1">
      <alignment horizontal="left" indent="1"/>
    </xf>
    <xf numFmtId="0" fontId="274" fillId="0" borderId="8" xfId="629" applyFont="1" applyBorder="1" applyAlignment="1">
      <alignment horizontal="center"/>
    </xf>
    <xf numFmtId="0" fontId="18" fillId="0" borderId="8" xfId="629" applyBorder="1" applyAlignment="1">
      <alignment horizontal="center"/>
    </xf>
    <xf numFmtId="168" fontId="18" fillId="76" borderId="0" xfId="629" applyNumberFormat="1" applyFill="1"/>
    <xf numFmtId="168" fontId="110" fillId="76" borderId="0" xfId="629" applyNumberFormat="1" applyFont="1" applyFill="1"/>
    <xf numFmtId="0" fontId="18" fillId="80" borderId="0" xfId="0" applyFont="1" applyFill="1"/>
    <xf numFmtId="0" fontId="274" fillId="80" borderId="0" xfId="0" applyFont="1" applyFill="1"/>
    <xf numFmtId="0" fontId="18" fillId="42" borderId="0" xfId="0" applyFont="1" applyFill="1"/>
    <xf numFmtId="168" fontId="18" fillId="42" borderId="0" xfId="0" applyNumberFormat="1" applyFont="1" applyFill="1"/>
    <xf numFmtId="168" fontId="274" fillId="42" borderId="0" xfId="0" applyNumberFormat="1" applyFont="1" applyFill="1"/>
    <xf numFmtId="0" fontId="274" fillId="42" borderId="0" xfId="0" applyFont="1" applyFill="1"/>
    <xf numFmtId="0" fontId="18" fillId="42" borderId="0" xfId="0" applyFont="1" applyFill="1" applyAlignment="1">
      <alignment horizontal="left" indent="1"/>
    </xf>
    <xf numFmtId="9" fontId="274" fillId="42" borderId="0" xfId="292" applyFont="1" applyFill="1" applyBorder="1"/>
    <xf numFmtId="0" fontId="274" fillId="76" borderId="0" xfId="0" applyFont="1" applyFill="1"/>
    <xf numFmtId="0" fontId="275" fillId="42" borderId="0" xfId="0" applyFont="1" applyFill="1" applyAlignment="1">
      <alignment horizontal="center"/>
    </xf>
    <xf numFmtId="0" fontId="274" fillId="42" borderId="0" xfId="0" applyFont="1" applyFill="1" applyAlignment="1">
      <alignment horizontal="left"/>
    </xf>
    <xf numFmtId="9" fontId="276" fillId="42" borderId="0" xfId="292" applyFont="1" applyFill="1" applyBorder="1"/>
    <xf numFmtId="0" fontId="18" fillId="42" borderId="0" xfId="0" applyFont="1" applyFill="1" applyAlignment="1">
      <alignment horizontal="left"/>
    </xf>
    <xf numFmtId="9" fontId="110" fillId="42" borderId="0" xfId="292" applyFont="1" applyFill="1" applyBorder="1"/>
    <xf numFmtId="0" fontId="110" fillId="42" borderId="0" xfId="0" applyFont="1" applyFill="1"/>
    <xf numFmtId="182" fontId="18" fillId="42" borderId="0" xfId="0" applyNumberFormat="1" applyFont="1" applyFill="1"/>
    <xf numFmtId="0" fontId="18" fillId="42" borderId="0" xfId="0" applyFont="1" applyFill="1" applyAlignment="1">
      <alignment horizontal="right"/>
    </xf>
    <xf numFmtId="182" fontId="18" fillId="42" borderId="0" xfId="0" applyNumberFormat="1" applyFont="1" applyFill="1" applyAlignment="1">
      <alignment horizontal="right"/>
    </xf>
    <xf numFmtId="2" fontId="110" fillId="42" borderId="0" xfId="0" applyNumberFormat="1" applyFont="1" applyFill="1"/>
    <xf numFmtId="2" fontId="18" fillId="42" borderId="0" xfId="0" applyNumberFormat="1" applyFont="1" applyFill="1"/>
    <xf numFmtId="171" fontId="110" fillId="42" borderId="0" xfId="0" applyNumberFormat="1" applyFont="1" applyFill="1"/>
    <xf numFmtId="0" fontId="237" fillId="0" borderId="0" xfId="0" applyFont="1"/>
    <xf numFmtId="2" fontId="237" fillId="0" borderId="0" xfId="0" applyNumberFormat="1" applyFont="1"/>
    <xf numFmtId="2" fontId="17" fillId="0" borderId="0" xfId="0" applyNumberFormat="1" applyFont="1"/>
    <xf numFmtId="0" fontId="280" fillId="74" borderId="2" xfId="629" applyFont="1" applyFill="1" applyBorder="1"/>
    <xf numFmtId="0" fontId="17" fillId="42" borderId="0" xfId="0" applyFont="1" applyFill="1"/>
    <xf numFmtId="0" fontId="12" fillId="42" borderId="0" xfId="0" applyFont="1" applyFill="1"/>
    <xf numFmtId="0" fontId="231" fillId="42" borderId="0" xfId="0" applyFont="1" applyFill="1"/>
    <xf numFmtId="9" fontId="12" fillId="42" borderId="0" xfId="292" applyFont="1" applyFill="1" applyBorder="1"/>
    <xf numFmtId="9" fontId="231" fillId="42" borderId="0" xfId="292" applyFont="1" applyFill="1"/>
    <xf numFmtId="9" fontId="12" fillId="42" borderId="0" xfId="292" applyFont="1" applyFill="1"/>
    <xf numFmtId="9" fontId="231" fillId="77" borderId="0" xfId="292" applyFont="1" applyFill="1"/>
    <xf numFmtId="9" fontId="12" fillId="77" borderId="0" xfId="292" applyFont="1" applyFill="1"/>
    <xf numFmtId="9" fontId="267" fillId="77" borderId="0" xfId="292" applyFont="1" applyFill="1"/>
    <xf numFmtId="175" fontId="231" fillId="77" borderId="0" xfId="292" applyNumberFormat="1" applyFont="1" applyFill="1"/>
    <xf numFmtId="175" fontId="267" fillId="77" borderId="0" xfId="292" applyNumberFormat="1" applyFont="1" applyFill="1"/>
    <xf numFmtId="9" fontId="12" fillId="77" borderId="0" xfId="292" applyFont="1" applyFill="1" applyBorder="1"/>
    <xf numFmtId="9" fontId="267" fillId="77" borderId="0" xfId="292" applyFont="1" applyFill="1" applyBorder="1"/>
    <xf numFmtId="175" fontId="267" fillId="77" borderId="0" xfId="292" applyNumberFormat="1" applyFont="1" applyFill="1" applyBorder="1"/>
    <xf numFmtId="0" fontId="12" fillId="77" borderId="0" xfId="0" applyFont="1" applyFill="1"/>
    <xf numFmtId="168" fontId="17" fillId="76" borderId="0" xfId="278" applyNumberFormat="1" applyFont="1" applyFill="1"/>
    <xf numFmtId="168" fontId="226" fillId="76" borderId="0" xfId="629" applyNumberFormat="1" applyFont="1" applyFill="1"/>
    <xf numFmtId="168" fontId="226" fillId="76" borderId="0" xfId="278" applyNumberFormat="1" applyFont="1" applyFill="1"/>
    <xf numFmtId="214" fontId="269" fillId="76" borderId="0" xfId="0" applyNumberFormat="1" applyFont="1" applyFill="1"/>
    <xf numFmtId="168" fontId="269" fillId="76" borderId="0" xfId="629" applyNumberFormat="1" applyFont="1" applyFill="1"/>
    <xf numFmtId="329" fontId="18" fillId="42" borderId="0" xfId="629" applyNumberFormat="1" applyFill="1"/>
    <xf numFmtId="9" fontId="110" fillId="42" borderId="0" xfId="0" applyNumberFormat="1" applyFont="1" applyFill="1"/>
    <xf numFmtId="9" fontId="18" fillId="42" borderId="0" xfId="0" applyNumberFormat="1" applyFont="1" applyFill="1"/>
    <xf numFmtId="340" fontId="12" fillId="42" borderId="0" xfId="0" applyNumberFormat="1" applyFont="1" applyFill="1" applyAlignment="1">
      <alignment horizontal="right"/>
    </xf>
    <xf numFmtId="340" fontId="17" fillId="42" borderId="0" xfId="0" applyNumberFormat="1" applyFont="1" applyFill="1" applyAlignment="1">
      <alignment horizontal="right"/>
    </xf>
    <xf numFmtId="168" fontId="12" fillId="42" borderId="0" xfId="629" applyNumberFormat="1" applyFont="1" applyFill="1"/>
    <xf numFmtId="168" fontId="231" fillId="42" borderId="0" xfId="629" applyNumberFormat="1" applyFont="1" applyFill="1"/>
    <xf numFmtId="168" fontId="106" fillId="42" borderId="0" xfId="629" applyNumberFormat="1" applyFont="1" applyFill="1"/>
    <xf numFmtId="167" fontId="12" fillId="42" borderId="0" xfId="292" applyNumberFormat="1" applyFont="1" applyFill="1" applyBorder="1"/>
    <xf numFmtId="182" fontId="12" fillId="0" borderId="0" xfId="629" applyNumberFormat="1" applyFont="1"/>
    <xf numFmtId="329" fontId="271" fillId="0" borderId="0" xfId="292" applyNumberFormat="1" applyFont="1"/>
    <xf numFmtId="175" fontId="271" fillId="0" borderId="0" xfId="292" applyNumberFormat="1" applyFont="1"/>
    <xf numFmtId="329" fontId="12" fillId="0" borderId="0" xfId="278" applyNumberFormat="1" applyFont="1" applyAlignment="1">
      <alignment vertical="center"/>
    </xf>
    <xf numFmtId="329" fontId="231" fillId="0" borderId="0" xfId="0" applyNumberFormat="1" applyFont="1"/>
    <xf numFmtId="329" fontId="267" fillId="0" borderId="0" xfId="0" applyNumberFormat="1" applyFont="1" applyAlignment="1">
      <alignment horizontal="right"/>
    </xf>
    <xf numFmtId="175" fontId="12" fillId="0" borderId="0" xfId="292" applyNumberFormat="1" applyFont="1" applyAlignment="1">
      <alignment horizontal="right"/>
    </xf>
    <xf numFmtId="175" fontId="65" fillId="0" borderId="0" xfId="292" applyNumberFormat="1" applyFont="1"/>
    <xf numFmtId="344" fontId="12" fillId="0" borderId="0" xfId="629" applyNumberFormat="1" applyFont="1" applyAlignment="1">
      <alignment horizontal="right"/>
    </xf>
    <xf numFmtId="328" fontId="12" fillId="0" borderId="0" xfId="278" applyNumberFormat="1" applyFont="1"/>
    <xf numFmtId="341" fontId="12" fillId="0" borderId="0" xfId="0" applyNumberFormat="1" applyFont="1"/>
    <xf numFmtId="37" fontId="20" fillId="34" borderId="0" xfId="1989" applyNumberFormat="1" applyFont="1" applyFill="1" applyAlignment="1">
      <alignment horizontal="left" indent="7"/>
    </xf>
    <xf numFmtId="0" fontId="2" fillId="34" borderId="0" xfId="1989" applyFont="1" applyFill="1"/>
    <xf numFmtId="182" fontId="2" fillId="34" borderId="0" xfId="1989" applyNumberFormat="1" applyFont="1" applyFill="1"/>
    <xf numFmtId="175" fontId="2" fillId="34" borderId="0" xfId="1989" applyNumberFormat="1" applyFont="1" applyFill="1"/>
    <xf numFmtId="9" fontId="14" fillId="34" borderId="0" xfId="1989" applyNumberFormat="1" applyFont="1" applyFill="1"/>
    <xf numFmtId="37" fontId="14" fillId="34" borderId="0" xfId="1992" applyNumberFormat="1" applyFont="1" applyFill="1" applyAlignment="1">
      <alignment horizontal="left" indent="7"/>
    </xf>
    <xf numFmtId="9" fontId="285" fillId="34" borderId="0" xfId="1989" applyNumberFormat="1" applyFont="1" applyFill="1"/>
    <xf numFmtId="175" fontId="2" fillId="34" borderId="0" xfId="1993" applyNumberFormat="1" applyFont="1" applyFill="1"/>
    <xf numFmtId="182" fontId="20" fillId="34" borderId="0" xfId="1989" applyNumberFormat="1" applyFont="1" applyFill="1"/>
    <xf numFmtId="43" fontId="2" fillId="34" borderId="0" xfId="1994" applyFont="1" applyFill="1"/>
    <xf numFmtId="43" fontId="2" fillId="34" borderId="0" xfId="1989" applyNumberFormat="1" applyFont="1" applyFill="1"/>
    <xf numFmtId="37" fontId="286" fillId="34" borderId="0" xfId="1989" applyNumberFormat="1" applyFont="1" applyFill="1"/>
    <xf numFmtId="0" fontId="287" fillId="74" borderId="83" xfId="1989" applyFont="1" applyFill="1" applyBorder="1" applyAlignment="1">
      <alignment vertical="top"/>
    </xf>
    <xf numFmtId="0" fontId="287" fillId="74" borderId="84" xfId="1989" applyFont="1" applyFill="1" applyBorder="1" applyAlignment="1">
      <alignment horizontal="centerContinuous" vertical="top"/>
    </xf>
    <xf numFmtId="0" fontId="287" fillId="74" borderId="85" xfId="1989" applyFont="1" applyFill="1" applyBorder="1" applyAlignment="1">
      <alignment horizontal="centerContinuous" vertical="top"/>
    </xf>
    <xf numFmtId="0" fontId="287" fillId="74" borderId="86" xfId="1989" applyFont="1" applyFill="1" applyBorder="1" applyAlignment="1">
      <alignment horizontal="centerContinuous" vertical="top"/>
    </xf>
    <xf numFmtId="0" fontId="287" fillId="74" borderId="83" xfId="1989" applyFont="1" applyFill="1" applyBorder="1" applyAlignment="1">
      <alignment horizontal="center" vertical="top"/>
    </xf>
    <xf numFmtId="0" fontId="288" fillId="34" borderId="0" xfId="1989" applyFont="1" applyFill="1" applyAlignment="1">
      <alignment horizontal="center"/>
    </xf>
    <xf numFmtId="0" fontId="287" fillId="74" borderId="83" xfId="1989" quotePrefix="1" applyFont="1" applyFill="1" applyBorder="1" applyAlignment="1">
      <alignment horizontal="center" vertical="top"/>
    </xf>
    <xf numFmtId="0" fontId="289" fillId="89" borderId="0" xfId="1989" applyFont="1" applyFill="1" applyAlignment="1">
      <alignment horizontal="centerContinuous"/>
    </xf>
    <xf numFmtId="0" fontId="287" fillId="34" borderId="0" xfId="1989" applyFont="1" applyFill="1" applyAlignment="1">
      <alignment horizontal="center" vertical="top"/>
    </xf>
    <xf numFmtId="0" fontId="3" fillId="34" borderId="0" xfId="1989" applyFill="1"/>
    <xf numFmtId="0" fontId="288" fillId="74" borderId="87" xfId="1989" applyFont="1" applyFill="1" applyBorder="1" applyAlignment="1">
      <alignment vertical="top"/>
    </xf>
    <xf numFmtId="0" fontId="287" fillId="74" borderId="88" xfId="1989" applyFont="1" applyFill="1" applyBorder="1" applyAlignment="1">
      <alignment horizontal="centerContinuous" vertical="top"/>
    </xf>
    <xf numFmtId="0" fontId="287" fillId="74" borderId="0" xfId="1989" applyFont="1" applyFill="1" applyAlignment="1">
      <alignment horizontal="centerContinuous" vertical="top"/>
    </xf>
    <xf numFmtId="0" fontId="287" fillId="74" borderId="89" xfId="1989" applyFont="1" applyFill="1" applyBorder="1" applyAlignment="1">
      <alignment horizontal="centerContinuous" vertical="top"/>
    </xf>
    <xf numFmtId="0" fontId="287" fillId="74" borderId="87" xfId="1989" applyFont="1" applyFill="1" applyBorder="1" applyAlignment="1">
      <alignment horizontal="center" vertical="top"/>
    </xf>
    <xf numFmtId="0" fontId="287" fillId="74" borderId="87" xfId="1989" quotePrefix="1" applyFont="1" applyFill="1" applyBorder="1" applyAlignment="1">
      <alignment horizontal="center" vertical="top"/>
    </xf>
    <xf numFmtId="0" fontId="288" fillId="74" borderId="90" xfId="1989" applyFont="1" applyFill="1" applyBorder="1"/>
    <xf numFmtId="49" fontId="287" fillId="74" borderId="28" xfId="1989" quotePrefix="1" applyNumberFormat="1" applyFont="1" applyFill="1" applyBorder="1" applyAlignment="1">
      <alignment horizontal="center" vertical="top"/>
    </xf>
    <xf numFmtId="0" fontId="287" fillId="74" borderId="90" xfId="1989" applyFont="1" applyFill="1" applyBorder="1" applyAlignment="1">
      <alignment horizontal="center" vertical="top"/>
    </xf>
    <xf numFmtId="0" fontId="288" fillId="74" borderId="90" xfId="1989" quotePrefix="1" applyFont="1" applyFill="1" applyBorder="1" applyAlignment="1">
      <alignment horizontal="center" vertical="top"/>
    </xf>
    <xf numFmtId="0" fontId="289" fillId="89" borderId="28" xfId="1989" applyFont="1" applyFill="1" applyBorder="1" applyAlignment="1">
      <alignment horizontal="center"/>
    </xf>
    <xf numFmtId="214" fontId="290" fillId="42" borderId="87" xfId="1989" applyNumberFormat="1" applyFont="1" applyFill="1" applyBorder="1" applyAlignment="1">
      <alignment horizontal="left"/>
    </xf>
    <xf numFmtId="182" fontId="290" fillId="42" borderId="88" xfId="1989" applyNumberFormat="1" applyFont="1" applyFill="1" applyBorder="1"/>
    <xf numFmtId="182" fontId="290" fillId="42" borderId="0" xfId="1993" applyNumberFormat="1" applyFont="1" applyFill="1"/>
    <xf numFmtId="182" fontId="290" fillId="42" borderId="87" xfId="1989" applyNumberFormat="1" applyFont="1" applyFill="1" applyBorder="1"/>
    <xf numFmtId="182" fontId="290" fillId="42" borderId="0" xfId="1989" applyNumberFormat="1" applyFont="1" applyFill="1"/>
    <xf numFmtId="182" fontId="290" fillId="42" borderId="87" xfId="1993" applyNumberFormat="1" applyFont="1" applyFill="1" applyBorder="1"/>
    <xf numFmtId="0" fontId="2" fillId="89" borderId="0" xfId="1989" applyFont="1" applyFill="1"/>
    <xf numFmtId="214" fontId="290" fillId="34" borderId="87" xfId="1989" applyNumberFormat="1" applyFont="1" applyFill="1" applyBorder="1" applyAlignment="1">
      <alignment horizontal="left"/>
    </xf>
    <xf numFmtId="182" fontId="290" fillId="34" borderId="0" xfId="1989" applyNumberFormat="1" applyFont="1" applyFill="1"/>
    <xf numFmtId="182" fontId="290" fillId="34" borderId="0" xfId="1993" applyNumberFormat="1" applyFont="1" applyFill="1"/>
    <xf numFmtId="182" fontId="290" fillId="34" borderId="87" xfId="1989" applyNumberFormat="1" applyFont="1" applyFill="1" applyBorder="1"/>
    <xf numFmtId="182" fontId="290" fillId="34" borderId="87" xfId="1993" applyNumberFormat="1" applyFont="1" applyFill="1" applyBorder="1"/>
    <xf numFmtId="175" fontId="290" fillId="34" borderId="0" xfId="1993" applyNumberFormat="1" applyFont="1" applyFill="1"/>
    <xf numFmtId="345" fontId="2" fillId="89" borderId="0" xfId="1989" applyNumberFormat="1" applyFont="1" applyFill="1" applyAlignment="1">
      <alignment horizontal="right" vertical="center"/>
    </xf>
    <xf numFmtId="0" fontId="20" fillId="34" borderId="87" xfId="1989" applyFont="1" applyFill="1" applyBorder="1"/>
    <xf numFmtId="182" fontId="291" fillId="34" borderId="0" xfId="1993" applyNumberFormat="1" applyFont="1" applyFill="1"/>
    <xf numFmtId="182" fontId="20" fillId="34" borderId="87" xfId="1993" applyNumberFormat="1" applyFont="1" applyFill="1" applyBorder="1"/>
    <xf numFmtId="182" fontId="289" fillId="34" borderId="87" xfId="1989" applyNumberFormat="1" applyFont="1" applyFill="1" applyBorder="1"/>
    <xf numFmtId="182" fontId="291" fillId="34" borderId="0" xfId="1989" applyNumberFormat="1" applyFont="1" applyFill="1"/>
    <xf numFmtId="182" fontId="289" fillId="34" borderId="0" xfId="1989" applyNumberFormat="1" applyFont="1" applyFill="1"/>
    <xf numFmtId="329" fontId="20" fillId="34" borderId="87" xfId="1993" applyNumberFormat="1" applyFont="1" applyFill="1" applyBorder="1" applyAlignment="1">
      <alignment horizontal="center"/>
    </xf>
    <xf numFmtId="0" fontId="14" fillId="34" borderId="87" xfId="1989" applyFont="1" applyFill="1" applyBorder="1" applyAlignment="1">
      <alignment horizontal="left" indent="2"/>
    </xf>
    <xf numFmtId="175" fontId="2" fillId="34" borderId="0" xfId="1993" applyNumberFormat="1" applyFont="1" applyFill="1" applyBorder="1"/>
    <xf numFmtId="175" fontId="14" fillId="34" borderId="87" xfId="1993" applyNumberFormat="1" applyFont="1" applyFill="1" applyBorder="1"/>
    <xf numFmtId="182" fontId="20" fillId="34" borderId="87" xfId="1989" applyNumberFormat="1" applyFont="1" applyFill="1" applyBorder="1"/>
    <xf numFmtId="0" fontId="246" fillId="34" borderId="87" xfId="1989" applyFont="1" applyFill="1" applyBorder="1" applyAlignment="1">
      <alignment horizontal="left" indent="2"/>
    </xf>
    <xf numFmtId="9" fontId="246" fillId="34" borderId="0" xfId="1993" applyFont="1" applyFill="1" applyBorder="1"/>
    <xf numFmtId="182" fontId="292" fillId="34" borderId="0" xfId="1989" applyNumberFormat="1" applyFont="1" applyFill="1"/>
    <xf numFmtId="182" fontId="291" fillId="0" borderId="87" xfId="1993" applyNumberFormat="1" applyFont="1" applyFill="1" applyBorder="1"/>
    <xf numFmtId="182" fontId="293" fillId="34" borderId="0" xfId="1989" applyNumberFormat="1" applyFont="1" applyFill="1"/>
    <xf numFmtId="182" fontId="292" fillId="34" borderId="87" xfId="1989" applyNumberFormat="1" applyFont="1" applyFill="1" applyBorder="1"/>
    <xf numFmtId="182" fontId="20" fillId="34" borderId="0" xfId="1993" applyNumberFormat="1" applyFont="1" applyFill="1"/>
    <xf numFmtId="37" fontId="292" fillId="34" borderId="0" xfId="1989" applyNumberFormat="1" applyFont="1" applyFill="1"/>
    <xf numFmtId="182" fontId="291" fillId="34" borderId="87" xfId="1993" applyNumberFormat="1" applyFont="1" applyFill="1" applyBorder="1"/>
    <xf numFmtId="182" fontId="294" fillId="34" borderId="87" xfId="1989" applyNumberFormat="1" applyFont="1" applyFill="1" applyBorder="1"/>
    <xf numFmtId="37" fontId="295" fillId="34" borderId="0" xfId="1989" applyNumberFormat="1" applyFont="1" applyFill="1"/>
    <xf numFmtId="0" fontId="14" fillId="34" borderId="87" xfId="1989" applyFont="1" applyFill="1" applyBorder="1" applyAlignment="1">
      <alignment horizontal="left"/>
    </xf>
    <xf numFmtId="182" fontId="291" fillId="42" borderId="0" xfId="1993" applyNumberFormat="1" applyFont="1" applyFill="1"/>
    <xf numFmtId="0" fontId="246" fillId="34" borderId="87" xfId="1989" quotePrefix="1" applyFont="1" applyFill="1" applyBorder="1" applyAlignment="1">
      <alignment horizontal="left" indent="2"/>
    </xf>
    <xf numFmtId="182" fontId="14" fillId="34" borderId="0" xfId="1993" applyNumberFormat="1" applyFont="1" applyFill="1"/>
    <xf numFmtId="182" fontId="14" fillId="34" borderId="87" xfId="1993" applyNumberFormat="1" applyFont="1" applyFill="1" applyBorder="1"/>
    <xf numFmtId="9" fontId="246" fillId="34" borderId="87" xfId="1993" applyFont="1" applyFill="1" applyBorder="1" applyAlignment="1">
      <alignment horizontal="left" indent="2"/>
    </xf>
    <xf numFmtId="205" fontId="290" fillId="34" borderId="0" xfId="1993" applyNumberFormat="1" applyFont="1" applyFill="1"/>
    <xf numFmtId="9" fontId="20" fillId="34" borderId="87" xfId="1989" applyNumberFormat="1" applyFont="1" applyFill="1" applyBorder="1" applyAlignment="1">
      <alignment horizontal="center" vertical="center"/>
    </xf>
    <xf numFmtId="182" fontId="291" fillId="34" borderId="87" xfId="1989" applyNumberFormat="1" applyFont="1" applyFill="1" applyBorder="1"/>
    <xf numFmtId="346" fontId="296" fillId="34" borderId="0" xfId="1989" applyNumberFormat="1" applyFont="1" applyFill="1" applyAlignment="1">
      <alignment horizontal="center"/>
    </xf>
    <xf numFmtId="182" fontId="246" fillId="34" borderId="0" xfId="1989" applyNumberFormat="1" applyFont="1" applyFill="1"/>
    <xf numFmtId="9" fontId="14" fillId="34" borderId="87" xfId="1989" applyNumberFormat="1" applyFont="1" applyFill="1" applyBorder="1" applyAlignment="1">
      <alignment horizontal="center" vertical="center"/>
    </xf>
    <xf numFmtId="0" fontId="14" fillId="34" borderId="87" xfId="1989" applyFont="1" applyFill="1" applyBorder="1"/>
    <xf numFmtId="182" fontId="285" fillId="34" borderId="0" xfId="1989" applyNumberFormat="1" applyFont="1" applyFill="1"/>
    <xf numFmtId="182" fontId="14" fillId="34" borderId="87" xfId="1989" applyNumberFormat="1" applyFont="1" applyFill="1" applyBorder="1"/>
    <xf numFmtId="182" fontId="285" fillId="34" borderId="87" xfId="1989" applyNumberFormat="1" applyFont="1" applyFill="1" applyBorder="1"/>
    <xf numFmtId="182" fontId="14" fillId="34" borderId="0" xfId="1989" applyNumberFormat="1" applyFont="1" applyFill="1"/>
    <xf numFmtId="346" fontId="297" fillId="34" borderId="0" xfId="1989" applyNumberFormat="1" applyFont="1" applyFill="1" applyAlignment="1">
      <alignment horizontal="center"/>
    </xf>
    <xf numFmtId="182" fontId="285" fillId="42" borderId="0" xfId="1993" applyNumberFormat="1" applyFont="1" applyFill="1"/>
    <xf numFmtId="329" fontId="14" fillId="34" borderId="87" xfId="1993" applyNumberFormat="1" applyFont="1" applyFill="1" applyBorder="1" applyAlignment="1">
      <alignment horizontal="center"/>
    </xf>
    <xf numFmtId="9" fontId="14" fillId="34" borderId="0" xfId="1993" applyFont="1" applyFill="1" applyBorder="1"/>
    <xf numFmtId="9" fontId="285" fillId="34" borderId="0" xfId="1993" applyFont="1" applyFill="1" applyBorder="1"/>
    <xf numFmtId="9" fontId="14" fillId="34" borderId="87" xfId="1993" applyFont="1" applyFill="1" applyBorder="1"/>
    <xf numFmtId="175" fontId="2" fillId="34" borderId="87" xfId="1993" applyNumberFormat="1" applyFont="1" applyFill="1" applyBorder="1"/>
    <xf numFmtId="175" fontId="285" fillId="77" borderId="0" xfId="1993" applyNumberFormat="1" applyFont="1" applyFill="1" applyBorder="1"/>
    <xf numFmtId="175" fontId="285" fillId="34" borderId="0" xfId="1993" applyNumberFormat="1" applyFont="1" applyFill="1" applyBorder="1"/>
    <xf numFmtId="214" fontId="290" fillId="42" borderId="91" xfId="1989" applyNumberFormat="1" applyFont="1" applyFill="1" applyBorder="1" applyAlignment="1">
      <alignment horizontal="left"/>
    </xf>
    <xf numFmtId="182" fontId="290" fillId="42" borderId="92" xfId="1989" applyNumberFormat="1" applyFont="1" applyFill="1" applyBorder="1"/>
    <xf numFmtId="182" fontId="290" fillId="42" borderId="8" xfId="1993" applyNumberFormat="1" applyFont="1" applyFill="1" applyBorder="1"/>
    <xf numFmtId="182" fontId="290" fillId="42" borderId="91" xfId="1989" applyNumberFormat="1" applyFont="1" applyFill="1" applyBorder="1"/>
    <xf numFmtId="182" fontId="290" fillId="42" borderId="8" xfId="1989" applyNumberFormat="1" applyFont="1" applyFill="1" applyBorder="1"/>
    <xf numFmtId="182" fontId="290" fillId="42" borderId="91" xfId="1993" applyNumberFormat="1" applyFont="1" applyFill="1" applyBorder="1"/>
    <xf numFmtId="175" fontId="289" fillId="34" borderId="0" xfId="1993" applyNumberFormat="1" applyFont="1" applyFill="1" applyBorder="1"/>
    <xf numFmtId="182" fontId="2" fillId="34" borderId="87" xfId="1989" applyNumberFormat="1" applyFont="1" applyFill="1" applyBorder="1"/>
    <xf numFmtId="9" fontId="285" fillId="34" borderId="87" xfId="1993" applyFont="1" applyFill="1" applyBorder="1"/>
    <xf numFmtId="9" fontId="285" fillId="77" borderId="0" xfId="1993" applyFont="1" applyFill="1" applyBorder="1"/>
    <xf numFmtId="175" fontId="285" fillId="34" borderId="87" xfId="1993" applyNumberFormat="1" applyFont="1" applyFill="1" applyBorder="1"/>
    <xf numFmtId="175" fontId="14" fillId="34" borderId="0" xfId="1993" applyNumberFormat="1" applyFont="1" applyFill="1" applyBorder="1"/>
    <xf numFmtId="0" fontId="14" fillId="34" borderId="87" xfId="1989" applyFont="1" applyFill="1" applyBorder="1" applyAlignment="1">
      <alignment horizontal="left" indent="1"/>
    </xf>
    <xf numFmtId="9" fontId="285" fillId="42" borderId="0" xfId="1993" applyFont="1" applyFill="1" applyBorder="1"/>
    <xf numFmtId="175" fontId="14" fillId="34" borderId="0" xfId="1993" applyNumberFormat="1" applyFont="1" applyFill="1" applyBorder="1" applyAlignment="1">
      <alignment horizontal="right"/>
    </xf>
    <xf numFmtId="175" fontId="2" fillId="34" borderId="0" xfId="1993" applyNumberFormat="1" applyFont="1" applyFill="1" applyBorder="1" applyAlignment="1">
      <alignment horizontal="right"/>
    </xf>
    <xf numFmtId="175" fontId="2" fillId="34" borderId="87" xfId="1989" applyNumberFormat="1" applyFont="1" applyFill="1" applyBorder="1" applyAlignment="1">
      <alignment horizontal="left" indent="2"/>
    </xf>
    <xf numFmtId="175" fontId="246" fillId="34" borderId="0" xfId="1993" applyNumberFormat="1" applyFont="1" applyFill="1" applyBorder="1"/>
    <xf numFmtId="175" fontId="246" fillId="34" borderId="87" xfId="1993" applyNumberFormat="1" applyFont="1" applyFill="1" applyBorder="1"/>
    <xf numFmtId="175" fontId="14" fillId="34" borderId="87" xfId="1993" applyNumberFormat="1" applyFont="1" applyFill="1" applyBorder="1" applyAlignment="1">
      <alignment horizontal="right"/>
    </xf>
    <xf numFmtId="175" fontId="298" fillId="34" borderId="0" xfId="1993" applyNumberFormat="1" applyFont="1" applyFill="1" applyBorder="1"/>
    <xf numFmtId="175" fontId="298" fillId="34" borderId="87" xfId="1993" applyNumberFormat="1" applyFont="1" applyFill="1" applyBorder="1"/>
    <xf numFmtId="0" fontId="289" fillId="34" borderId="0" xfId="1989" applyFont="1" applyFill="1"/>
    <xf numFmtId="175" fontId="14" fillId="34" borderId="87" xfId="1989" applyNumberFormat="1" applyFont="1" applyFill="1" applyBorder="1" applyAlignment="1">
      <alignment horizontal="right"/>
    </xf>
    <xf numFmtId="182" fontId="291" fillId="34" borderId="0" xfId="1989" applyNumberFormat="1" applyFont="1" applyFill="1" applyAlignment="1">
      <alignment horizontal="right"/>
    </xf>
    <xf numFmtId="182" fontId="20" fillId="34" borderId="87" xfId="1989" applyNumberFormat="1" applyFont="1" applyFill="1" applyBorder="1" applyAlignment="1">
      <alignment horizontal="right"/>
    </xf>
    <xf numFmtId="182" fontId="20" fillId="34" borderId="0" xfId="1989" applyNumberFormat="1" applyFont="1" applyFill="1" applyAlignment="1">
      <alignment horizontal="right"/>
    </xf>
    <xf numFmtId="175" fontId="20" fillId="34" borderId="87" xfId="1989" applyNumberFormat="1" applyFont="1" applyFill="1" applyBorder="1" applyAlignment="1">
      <alignment horizontal="right"/>
    </xf>
    <xf numFmtId="175" fontId="2" fillId="34" borderId="87" xfId="1989" applyNumberFormat="1" applyFont="1" applyFill="1" applyBorder="1" applyAlignment="1">
      <alignment horizontal="left" indent="1"/>
    </xf>
    <xf numFmtId="182" fontId="299" fillId="34" borderId="87" xfId="1989" applyNumberFormat="1" applyFont="1" applyFill="1" applyBorder="1"/>
    <xf numFmtId="182" fontId="299" fillId="34" borderId="0" xfId="1989" applyNumberFormat="1" applyFont="1" applyFill="1"/>
    <xf numFmtId="182" fontId="299" fillId="34" borderId="0" xfId="1989" applyNumberFormat="1" applyFont="1" applyFill="1" applyAlignment="1">
      <alignment horizontal="right"/>
    </xf>
    <xf numFmtId="182" fontId="299" fillId="34" borderId="87" xfId="1989" applyNumberFormat="1" applyFont="1" applyFill="1" applyBorder="1" applyAlignment="1">
      <alignment horizontal="right"/>
    </xf>
    <xf numFmtId="214" fontId="246" fillId="34" borderId="0" xfId="1993" applyNumberFormat="1" applyFont="1" applyFill="1" applyBorder="1"/>
    <xf numFmtId="214" fontId="246" fillId="34" borderId="87" xfId="1993" applyNumberFormat="1" applyFont="1" applyFill="1" applyBorder="1"/>
    <xf numFmtId="214" fontId="14" fillId="34" borderId="87" xfId="1989" applyNumberFormat="1" applyFont="1" applyFill="1" applyBorder="1" applyAlignment="1">
      <alignment horizontal="right"/>
    </xf>
    <xf numFmtId="0" fontId="20" fillId="34" borderId="87" xfId="1989" applyFont="1" applyFill="1" applyBorder="1" applyAlignment="1">
      <alignment horizontal="left"/>
    </xf>
    <xf numFmtId="182" fontId="14" fillId="34" borderId="0" xfId="1989" applyNumberFormat="1" applyFont="1" applyFill="1" applyAlignment="1">
      <alignment horizontal="right"/>
    </xf>
    <xf numFmtId="182" fontId="14" fillId="34" borderId="87" xfId="1989" applyNumberFormat="1" applyFont="1" applyFill="1" applyBorder="1" applyAlignment="1">
      <alignment horizontal="right"/>
    </xf>
    <xf numFmtId="182" fontId="14" fillId="34" borderId="0" xfId="1995" applyNumberFormat="1" applyFont="1" applyFill="1" applyAlignment="1">
      <alignment horizontal="right"/>
    </xf>
    <xf numFmtId="182" fontId="285" fillId="34" borderId="0" xfId="1989" applyNumberFormat="1" applyFont="1" applyFill="1" applyAlignment="1">
      <alignment horizontal="right"/>
    </xf>
    <xf numFmtId="39" fontId="20" fillId="34" borderId="87" xfId="1989" applyNumberFormat="1" applyFont="1" applyFill="1" applyBorder="1"/>
    <xf numFmtId="182" fontId="20" fillId="34" borderId="0" xfId="1995" applyNumberFormat="1" applyFont="1" applyFill="1" applyAlignment="1">
      <alignment horizontal="right"/>
    </xf>
    <xf numFmtId="182" fontId="285" fillId="34" borderId="0" xfId="1995" applyNumberFormat="1" applyFont="1" applyFill="1" applyAlignment="1">
      <alignment horizontal="right"/>
    </xf>
    <xf numFmtId="182" fontId="14" fillId="34" borderId="87" xfId="1996" applyNumberFormat="1" applyFont="1" applyFill="1" applyBorder="1"/>
    <xf numFmtId="182" fontId="14" fillId="34" borderId="0" xfId="1996" applyNumberFormat="1" applyFont="1" applyFill="1" applyBorder="1"/>
    <xf numFmtId="175" fontId="2" fillId="34" borderId="87" xfId="1989" applyNumberFormat="1" applyFont="1" applyFill="1" applyBorder="1" applyAlignment="1">
      <alignment horizontal="left"/>
    </xf>
    <xf numFmtId="175" fontId="2" fillId="34" borderId="87" xfId="1993" applyNumberFormat="1" applyFont="1" applyFill="1" applyBorder="1" applyAlignment="1">
      <alignment horizontal="right"/>
    </xf>
    <xf numFmtId="274" fontId="2" fillId="34" borderId="15" xfId="1989" applyNumberFormat="1" applyFont="1" applyFill="1" applyBorder="1"/>
    <xf numFmtId="274" fontId="2" fillId="34" borderId="0" xfId="1989" applyNumberFormat="1" applyFont="1" applyFill="1"/>
    <xf numFmtId="274" fontId="2" fillId="34" borderId="87" xfId="1993" applyNumberFormat="1" applyFont="1" applyFill="1" applyBorder="1"/>
    <xf numFmtId="274" fontId="2" fillId="34" borderId="87" xfId="1989" applyNumberFormat="1" applyFont="1" applyFill="1" applyBorder="1"/>
    <xf numFmtId="182" fontId="285" fillId="34" borderId="0" xfId="1993" applyNumberFormat="1" applyFont="1" applyFill="1" applyBorder="1"/>
    <xf numFmtId="175" fontId="2" fillId="34" borderId="15" xfId="1993" applyNumberFormat="1" applyFont="1" applyFill="1" applyBorder="1"/>
    <xf numFmtId="175" fontId="2" fillId="34" borderId="87" xfId="1989" applyNumberFormat="1" applyFont="1" applyFill="1" applyBorder="1" applyAlignment="1">
      <alignment horizontal="right"/>
    </xf>
    <xf numFmtId="182" fontId="20" fillId="34" borderId="88" xfId="1989" applyNumberFormat="1" applyFont="1" applyFill="1" applyBorder="1"/>
    <xf numFmtId="182" fontId="20" fillId="34" borderId="89" xfId="1989" applyNumberFormat="1" applyFont="1" applyFill="1" applyBorder="1"/>
    <xf numFmtId="9" fontId="20" fillId="34" borderId="87" xfId="1989" applyNumberFormat="1" applyFont="1" applyFill="1" applyBorder="1" applyAlignment="1">
      <alignment horizontal="center"/>
    </xf>
    <xf numFmtId="347" fontId="289" fillId="34" borderId="15" xfId="1989" applyNumberFormat="1" applyFont="1" applyFill="1" applyBorder="1"/>
    <xf numFmtId="347" fontId="289" fillId="34" borderId="0" xfId="1989" applyNumberFormat="1" applyFont="1" applyFill="1"/>
    <xf numFmtId="347" fontId="289" fillId="34" borderId="87" xfId="1989" applyNumberFormat="1" applyFont="1" applyFill="1" applyBorder="1"/>
    <xf numFmtId="175" fontId="14" fillId="34" borderId="87" xfId="1989" applyNumberFormat="1" applyFont="1" applyFill="1" applyBorder="1" applyAlignment="1">
      <alignment horizontal="left" indent="1"/>
    </xf>
    <xf numFmtId="171" fontId="289" fillId="34" borderId="15" xfId="1989" applyNumberFormat="1" applyFont="1" applyFill="1" applyBorder="1"/>
    <xf numFmtId="171" fontId="289" fillId="34" borderId="0" xfId="1989" applyNumberFormat="1" applyFont="1" applyFill="1"/>
    <xf numFmtId="171" fontId="289" fillId="34" borderId="87" xfId="1989" applyNumberFormat="1" applyFont="1" applyFill="1" applyBorder="1"/>
    <xf numFmtId="2" fontId="289" fillId="34" borderId="0" xfId="1989" applyNumberFormat="1" applyFont="1" applyFill="1"/>
    <xf numFmtId="2" fontId="289" fillId="34" borderId="87" xfId="1989" applyNumberFormat="1" applyFont="1" applyFill="1" applyBorder="1"/>
    <xf numFmtId="348" fontId="289" fillId="34" borderId="87" xfId="1989" applyNumberFormat="1" applyFont="1" applyFill="1" applyBorder="1"/>
    <xf numFmtId="274" fontId="14" fillId="34" borderId="87" xfId="1989" applyNumberFormat="1" applyFont="1" applyFill="1" applyBorder="1"/>
    <xf numFmtId="9" fontId="2" fillId="34" borderId="93" xfId="1989" applyNumberFormat="1" applyFont="1" applyFill="1" applyBorder="1" applyAlignment="1">
      <alignment horizontal="center"/>
    </xf>
    <xf numFmtId="10" fontId="2" fillId="34" borderId="87" xfId="1989" applyNumberFormat="1" applyFont="1" applyFill="1" applyBorder="1" applyAlignment="1">
      <alignment horizontal="left" indent="2"/>
    </xf>
    <xf numFmtId="182" fontId="2" fillId="34" borderId="0" xfId="1989" applyNumberFormat="1" applyFont="1" applyFill="1" applyAlignment="1">
      <alignment horizontal="right"/>
    </xf>
    <xf numFmtId="10" fontId="289" fillId="34" borderId="87" xfId="1989" applyNumberFormat="1" applyFont="1" applyFill="1" applyBorder="1" applyAlignment="1">
      <alignment horizontal="left"/>
    </xf>
    <xf numFmtId="7" fontId="20" fillId="34" borderId="87" xfId="1989" applyNumberFormat="1" applyFont="1" applyFill="1" applyBorder="1"/>
    <xf numFmtId="182" fontId="289" fillId="34" borderId="0" xfId="1989" applyNumberFormat="1" applyFont="1" applyFill="1" applyAlignment="1">
      <alignment horizontal="right"/>
    </xf>
    <xf numFmtId="7" fontId="289" fillId="34" borderId="87" xfId="1997" applyNumberFormat="1" applyFont="1" applyFill="1" applyBorder="1" applyAlignment="1">
      <alignment horizontal="right"/>
    </xf>
    <xf numFmtId="7" fontId="289" fillId="34" borderId="0" xfId="1997" applyNumberFormat="1" applyFont="1" applyFill="1" applyBorder="1" applyAlignment="1">
      <alignment horizontal="right"/>
    </xf>
    <xf numFmtId="7" fontId="20" fillId="34" borderId="87" xfId="1997" applyNumberFormat="1" applyFont="1" applyFill="1" applyBorder="1" applyAlignment="1">
      <alignment horizontal="right"/>
    </xf>
    <xf numFmtId="7" fontId="289" fillId="34" borderId="87" xfId="1989" applyNumberFormat="1" applyFont="1" applyFill="1" applyBorder="1" applyAlignment="1">
      <alignment horizontal="center"/>
    </xf>
    <xf numFmtId="292" fontId="289" fillId="34" borderId="87" xfId="1997" applyNumberFormat="1" applyFont="1" applyFill="1" applyBorder="1" applyAlignment="1">
      <alignment horizontal="right"/>
    </xf>
    <xf numFmtId="349" fontId="289" fillId="34" borderId="87" xfId="1997" applyNumberFormat="1" applyFont="1" applyFill="1" applyBorder="1" applyAlignment="1">
      <alignment horizontal="right"/>
    </xf>
    <xf numFmtId="7" fontId="14" fillId="34" borderId="87" xfId="1989" applyNumberFormat="1" applyFont="1" applyFill="1" applyBorder="1"/>
    <xf numFmtId="7" fontId="289" fillId="34" borderId="0" xfId="1997" quotePrefix="1" applyNumberFormat="1" applyFont="1" applyFill="1" applyBorder="1" applyAlignment="1">
      <alignment horizontal="right"/>
    </xf>
    <xf numFmtId="349" fontId="297" fillId="34" borderId="0" xfId="1989" applyNumberFormat="1" applyFont="1" applyFill="1" applyAlignment="1">
      <alignment horizontal="center"/>
    </xf>
    <xf numFmtId="349" fontId="300" fillId="34" borderId="87" xfId="1989" applyNumberFormat="1" applyFont="1" applyFill="1" applyBorder="1" applyAlignment="1">
      <alignment horizontal="right"/>
    </xf>
    <xf numFmtId="349" fontId="301" fillId="34" borderId="0" xfId="1989" applyNumberFormat="1" applyFont="1" applyFill="1" applyAlignment="1">
      <alignment horizontal="center"/>
    </xf>
    <xf numFmtId="295" fontId="297" fillId="34" borderId="0" xfId="1989" applyNumberFormat="1" applyFont="1" applyFill="1" applyAlignment="1">
      <alignment horizontal="center"/>
    </xf>
    <xf numFmtId="295" fontId="108" fillId="34" borderId="0" xfId="1989" applyNumberFormat="1" applyFont="1" applyFill="1" applyAlignment="1">
      <alignment horizontal="center"/>
    </xf>
    <xf numFmtId="9" fontId="300" fillId="34" borderId="0" xfId="1989" applyNumberFormat="1" applyFont="1" applyFill="1"/>
    <xf numFmtId="9" fontId="300" fillId="34" borderId="87" xfId="1993" applyFont="1" applyFill="1" applyBorder="1" applyAlignment="1">
      <alignment horizontal="right"/>
    </xf>
    <xf numFmtId="175" fontId="300" fillId="34" borderId="0" xfId="1989" applyNumberFormat="1" applyFont="1" applyFill="1"/>
    <xf numFmtId="175" fontId="300" fillId="34" borderId="87" xfId="1993" applyNumberFormat="1" applyFont="1" applyFill="1" applyBorder="1" applyAlignment="1">
      <alignment horizontal="right"/>
    </xf>
    <xf numFmtId="292" fontId="300" fillId="34" borderId="87" xfId="1989" applyNumberFormat="1" applyFont="1" applyFill="1" applyBorder="1" applyAlignment="1">
      <alignment horizontal="right"/>
    </xf>
    <xf numFmtId="9" fontId="301" fillId="34" borderId="0" xfId="1993" applyFont="1" applyFill="1" applyBorder="1" applyAlignment="1">
      <alignment horizontal="right"/>
    </xf>
    <xf numFmtId="9" fontId="297" fillId="34" borderId="0" xfId="1993" applyFont="1" applyFill="1" applyBorder="1" applyAlignment="1">
      <alignment horizontal="right"/>
    </xf>
    <xf numFmtId="9" fontId="297" fillId="34" borderId="0" xfId="1989" applyNumberFormat="1" applyFont="1" applyFill="1"/>
    <xf numFmtId="175" fontId="108" fillId="34" borderId="0" xfId="1989" applyNumberFormat="1" applyFont="1" applyFill="1"/>
    <xf numFmtId="182" fontId="290" fillId="34" borderId="0" xfId="1993" applyNumberFormat="1" applyFont="1" applyFill="1" applyBorder="1"/>
    <xf numFmtId="49" fontId="14" fillId="34" borderId="87" xfId="1989" applyNumberFormat="1" applyFont="1" applyFill="1" applyBorder="1" applyAlignment="1">
      <alignment horizontal="left"/>
    </xf>
    <xf numFmtId="182" fontId="297" fillId="34" borderId="87" xfId="1989" applyNumberFormat="1" applyFont="1" applyFill="1" applyBorder="1" applyAlignment="1">
      <alignment horizontal="right"/>
    </xf>
    <xf numFmtId="171" fontId="301" fillId="34" borderId="0" xfId="1989" applyNumberFormat="1" applyFont="1" applyFill="1"/>
    <xf numFmtId="292" fontId="108" fillId="34" borderId="0" xfId="1989" applyNumberFormat="1" applyFont="1" applyFill="1" applyAlignment="1">
      <alignment horizontal="center"/>
    </xf>
    <xf numFmtId="346" fontId="300" fillId="34" borderId="0" xfId="1989" applyNumberFormat="1" applyFont="1" applyFill="1"/>
    <xf numFmtId="171" fontId="297" fillId="34" borderId="0" xfId="1989" applyNumberFormat="1" applyFont="1" applyFill="1"/>
    <xf numFmtId="346" fontId="297" fillId="34" borderId="0" xfId="1989" applyNumberFormat="1" applyFont="1" applyFill="1"/>
    <xf numFmtId="292" fontId="300" fillId="34" borderId="0" xfId="1989" applyNumberFormat="1" applyFont="1" applyFill="1"/>
    <xf numFmtId="292" fontId="297" fillId="34" borderId="87" xfId="1989" applyNumberFormat="1" applyFont="1" applyFill="1" applyBorder="1" applyAlignment="1">
      <alignment horizontal="center"/>
    </xf>
    <xf numFmtId="292" fontId="297" fillId="34" borderId="0" xfId="1989" applyNumberFormat="1" applyFont="1" applyFill="1" applyAlignment="1">
      <alignment horizontal="center"/>
    </xf>
    <xf numFmtId="292" fontId="297" fillId="34" borderId="88" xfId="1989" applyNumberFormat="1" applyFont="1" applyFill="1" applyBorder="1" applyAlignment="1">
      <alignment horizontal="center"/>
    </xf>
    <xf numFmtId="292" fontId="301" fillId="34" borderId="87" xfId="1989" applyNumberFormat="1" applyFont="1" applyFill="1" applyBorder="1" applyAlignment="1">
      <alignment horizontal="right"/>
    </xf>
    <xf numFmtId="1" fontId="301" fillId="34" borderId="0" xfId="1989" applyNumberFormat="1" applyFont="1" applyFill="1"/>
    <xf numFmtId="0" fontId="300" fillId="34" borderId="0" xfId="1989" applyFont="1" applyFill="1"/>
    <xf numFmtId="0" fontId="300" fillId="34" borderId="87" xfId="1989" applyFont="1" applyFill="1" applyBorder="1"/>
    <xf numFmtId="0" fontId="300" fillId="34" borderId="88" xfId="1989" applyFont="1" applyFill="1" applyBorder="1"/>
    <xf numFmtId="49" fontId="246" fillId="34" borderId="87" xfId="1989" applyNumberFormat="1" applyFont="1" applyFill="1" applyBorder="1" applyAlignment="1">
      <alignment horizontal="left"/>
    </xf>
    <xf numFmtId="171" fontId="300" fillId="34" borderId="0" xfId="1989" applyNumberFormat="1" applyFont="1" applyFill="1"/>
    <xf numFmtId="175" fontId="300" fillId="34" borderId="0" xfId="1993" applyNumberFormat="1" applyFont="1" applyFill="1" applyBorder="1" applyAlignment="1">
      <alignment horizontal="right"/>
    </xf>
    <xf numFmtId="175" fontId="300" fillId="34" borderId="88" xfId="1993" applyNumberFormat="1" applyFont="1" applyFill="1" applyBorder="1" applyAlignment="1">
      <alignment horizontal="right"/>
    </xf>
    <xf numFmtId="175" fontId="297" fillId="34" borderId="0" xfId="1993" applyNumberFormat="1" applyFont="1" applyFill="1" applyBorder="1" applyAlignment="1">
      <alignment horizontal="right"/>
    </xf>
    <xf numFmtId="175" fontId="301" fillId="34" borderId="0" xfId="1993" applyNumberFormat="1" applyFont="1" applyFill="1" applyBorder="1" applyAlignment="1">
      <alignment horizontal="right"/>
    </xf>
    <xf numFmtId="49" fontId="14" fillId="34" borderId="90" xfId="1989" applyNumberFormat="1" applyFont="1" applyFill="1" applyBorder="1" applyAlignment="1">
      <alignment horizontal="left"/>
    </xf>
    <xf numFmtId="182" fontId="289" fillId="34" borderId="28" xfId="1989" applyNumberFormat="1" applyFont="1" applyFill="1" applyBorder="1" applyAlignment="1">
      <alignment horizontal="right"/>
    </xf>
    <xf numFmtId="7" fontId="289" fillId="34" borderId="90" xfId="1997" applyNumberFormat="1" applyFont="1" applyFill="1" applyBorder="1" applyAlignment="1">
      <alignment horizontal="right"/>
    </xf>
    <xf numFmtId="7" fontId="289" fillId="34" borderId="28" xfId="1997" applyNumberFormat="1" applyFont="1" applyFill="1" applyBorder="1" applyAlignment="1">
      <alignment horizontal="right"/>
    </xf>
    <xf numFmtId="175" fontId="300" fillId="34" borderId="90" xfId="1993" applyNumberFormat="1" applyFont="1" applyFill="1" applyBorder="1" applyAlignment="1">
      <alignment horizontal="right"/>
    </xf>
    <xf numFmtId="0" fontId="300" fillId="34" borderId="28" xfId="1989" applyFont="1" applyFill="1" applyBorder="1"/>
    <xf numFmtId="7" fontId="289" fillId="34" borderId="90" xfId="1989" applyNumberFormat="1" applyFont="1" applyFill="1" applyBorder="1" applyAlignment="1">
      <alignment horizontal="center"/>
    </xf>
    <xf numFmtId="329" fontId="2" fillId="89" borderId="0" xfId="1989" applyNumberFormat="1" applyFont="1" applyFill="1" applyAlignment="1">
      <alignment horizontal="center"/>
    </xf>
    <xf numFmtId="0" fontId="2" fillId="89" borderId="0" xfId="1989" applyFont="1" applyFill="1" applyAlignment="1">
      <alignment horizontal="center"/>
    </xf>
    <xf numFmtId="37" fontId="20" fillId="34" borderId="0" xfId="1995" applyNumberFormat="1" applyFont="1" applyFill="1" applyAlignment="1">
      <alignment horizontal="left" indent="7"/>
    </xf>
    <xf numFmtId="0" fontId="2" fillId="34" borderId="0" xfId="1995" applyFont="1" applyFill="1"/>
    <xf numFmtId="205" fontId="2" fillId="34" borderId="0" xfId="1995" applyNumberFormat="1" applyFont="1" applyFill="1"/>
    <xf numFmtId="182" fontId="2" fillId="34" borderId="0" xfId="1995" applyNumberFormat="1" applyFont="1" applyFill="1"/>
    <xf numFmtId="181" fontId="2" fillId="34" borderId="0" xfId="1995" applyNumberFormat="1" applyFont="1" applyFill="1"/>
    <xf numFmtId="7" fontId="2" fillId="34" borderId="0" xfId="1995" applyNumberFormat="1" applyFont="1" applyFill="1"/>
    <xf numFmtId="2" fontId="2" fillId="34" borderId="0" xfId="1993" applyNumberFormat="1" applyFont="1" applyFill="1"/>
    <xf numFmtId="0" fontId="2" fillId="34" borderId="0" xfId="1993" applyNumberFormat="1" applyFont="1" applyFill="1"/>
    <xf numFmtId="0" fontId="302" fillId="34" borderId="0" xfId="1995" applyFont="1" applyFill="1" applyAlignment="1">
      <alignment horizontal="center"/>
    </xf>
    <xf numFmtId="0" fontId="287" fillId="74" borderId="83" xfId="1995" applyFont="1" applyFill="1" applyBorder="1" applyAlignment="1">
      <alignment vertical="top"/>
    </xf>
    <xf numFmtId="0" fontId="287" fillId="74" borderId="83" xfId="1995" applyFont="1" applyFill="1" applyBorder="1" applyAlignment="1">
      <alignment horizontal="center" vertical="top"/>
    </xf>
    <xf numFmtId="0" fontId="288" fillId="34" borderId="0" xfId="1995" applyFont="1" applyFill="1" applyAlignment="1">
      <alignment horizontal="center"/>
    </xf>
    <xf numFmtId="0" fontId="287" fillId="74" borderId="83" xfId="1995" quotePrefix="1" applyFont="1" applyFill="1" applyBorder="1" applyAlignment="1">
      <alignment horizontal="center" vertical="top"/>
    </xf>
    <xf numFmtId="0" fontId="289" fillId="89" borderId="0" xfId="1995" applyFont="1" applyFill="1" applyAlignment="1">
      <alignment horizontal="centerContinuous"/>
    </xf>
    <xf numFmtId="0" fontId="287" fillId="34" borderId="0" xfId="1995" applyFont="1" applyFill="1" applyAlignment="1">
      <alignment horizontal="center" vertical="top"/>
    </xf>
    <xf numFmtId="0" fontId="3" fillId="34" borderId="0" xfId="1995" applyFill="1"/>
    <xf numFmtId="0" fontId="288" fillId="74" borderId="87" xfId="1995" applyFont="1" applyFill="1" applyBorder="1" applyAlignment="1">
      <alignment vertical="top"/>
    </xf>
    <xf numFmtId="0" fontId="287" fillId="74" borderId="0" xfId="1995" applyFont="1" applyFill="1" applyAlignment="1">
      <alignment horizontal="centerContinuous" vertical="top"/>
    </xf>
    <xf numFmtId="0" fontId="287" fillId="74" borderId="89" xfId="1995" applyFont="1" applyFill="1" applyBorder="1" applyAlignment="1">
      <alignment horizontal="centerContinuous" vertical="top"/>
    </xf>
    <xf numFmtId="0" fontId="287" fillId="74" borderId="87" xfId="1995" applyFont="1" applyFill="1" applyBorder="1" applyAlignment="1">
      <alignment horizontal="center" vertical="top"/>
    </xf>
    <xf numFmtId="0" fontId="287" fillId="74" borderId="88" xfId="1995" applyFont="1" applyFill="1" applyBorder="1" applyAlignment="1">
      <alignment horizontal="centerContinuous" vertical="top"/>
    </xf>
    <xf numFmtId="0" fontId="287" fillId="74" borderId="87" xfId="1995" quotePrefix="1" applyFont="1" applyFill="1" applyBorder="1" applyAlignment="1">
      <alignment horizontal="center" vertical="top"/>
    </xf>
    <xf numFmtId="0" fontId="288" fillId="74" borderId="90" xfId="1995" applyFont="1" applyFill="1" applyBorder="1"/>
    <xf numFmtId="0" fontId="287" fillId="74" borderId="28" xfId="1995" applyFont="1" applyFill="1" applyBorder="1" applyAlignment="1">
      <alignment horizontal="center" vertical="top"/>
    </xf>
    <xf numFmtId="0" fontId="287" fillId="74" borderId="94" xfId="1995" applyFont="1" applyFill="1" applyBorder="1" applyAlignment="1">
      <alignment horizontal="center" vertical="top"/>
    </xf>
    <xf numFmtId="0" fontId="287" fillId="74" borderId="90" xfId="1995" applyFont="1" applyFill="1" applyBorder="1" applyAlignment="1">
      <alignment horizontal="center" vertical="top"/>
    </xf>
    <xf numFmtId="0" fontId="287" fillId="74" borderId="95" xfId="1995" applyFont="1" applyFill="1" applyBorder="1" applyAlignment="1">
      <alignment horizontal="center" vertical="top"/>
    </xf>
    <xf numFmtId="0" fontId="288" fillId="74" borderId="90" xfId="1995" quotePrefix="1" applyFont="1" applyFill="1" applyBorder="1" applyAlignment="1">
      <alignment horizontal="center" vertical="top"/>
    </xf>
    <xf numFmtId="0" fontId="289" fillId="89" borderId="28" xfId="1995" applyFont="1" applyFill="1" applyBorder="1" applyAlignment="1">
      <alignment horizontal="center"/>
    </xf>
    <xf numFmtId="0" fontId="20" fillId="34" borderId="87" xfId="1995" applyFont="1" applyFill="1" applyBorder="1"/>
    <xf numFmtId="182" fontId="20" fillId="34" borderId="0" xfId="1995" applyNumberFormat="1" applyFont="1" applyFill="1"/>
    <xf numFmtId="182" fontId="289" fillId="34" borderId="0" xfId="1995" applyNumberFormat="1" applyFont="1" applyFill="1"/>
    <xf numFmtId="182" fontId="20" fillId="34" borderId="87" xfId="1995" applyNumberFormat="1" applyFont="1" applyFill="1" applyBorder="1"/>
    <xf numFmtId="182" fontId="289" fillId="34" borderId="87" xfId="1995" applyNumberFormat="1" applyFont="1" applyFill="1" applyBorder="1"/>
    <xf numFmtId="205" fontId="289" fillId="34" borderId="0" xfId="1995" applyNumberFormat="1" applyFont="1" applyFill="1"/>
    <xf numFmtId="9" fontId="20" fillId="34" borderId="87" xfId="1995" applyNumberFormat="1" applyFont="1" applyFill="1" applyBorder="1" applyAlignment="1">
      <alignment horizontal="center" vertical="center"/>
    </xf>
    <xf numFmtId="0" fontId="2" fillId="89" borderId="0" xfId="1995" applyFont="1" applyFill="1"/>
    <xf numFmtId="182" fontId="294" fillId="34" borderId="0" xfId="1995" applyNumberFormat="1" applyFont="1" applyFill="1"/>
    <xf numFmtId="182" fontId="294" fillId="34" borderId="87" xfId="1995" applyNumberFormat="1" applyFont="1" applyFill="1" applyBorder="1"/>
    <xf numFmtId="182" fontId="291" fillId="34" borderId="87" xfId="1995" applyNumberFormat="1" applyFont="1" applyFill="1" applyBorder="1"/>
    <xf numFmtId="345" fontId="2" fillId="89" borderId="0" xfId="1995" applyNumberFormat="1" applyFont="1" applyFill="1" applyAlignment="1">
      <alignment horizontal="right" vertical="center"/>
    </xf>
    <xf numFmtId="0" fontId="14" fillId="34" borderId="87" xfId="1995" applyFont="1" applyFill="1" applyBorder="1"/>
    <xf numFmtId="182" fontId="299" fillId="34" borderId="0" xfId="1995" applyNumberFormat="1" applyFont="1" applyFill="1"/>
    <xf numFmtId="182" fontId="299" fillId="34" borderId="87" xfId="1995" applyNumberFormat="1" applyFont="1" applyFill="1" applyBorder="1"/>
    <xf numFmtId="0" fontId="14" fillId="34" borderId="87" xfId="1995" applyFont="1" applyFill="1" applyBorder="1" applyAlignment="1">
      <alignment horizontal="left" indent="1"/>
    </xf>
    <xf numFmtId="0" fontId="2" fillId="89" borderId="0" xfId="1995" applyFont="1" applyFill="1" applyAlignment="1">
      <alignment horizontal="center"/>
    </xf>
    <xf numFmtId="182" fontId="14" fillId="34" borderId="0" xfId="1995" applyNumberFormat="1" applyFont="1" applyFill="1"/>
    <xf numFmtId="182" fontId="14" fillId="34" borderId="87" xfId="1995" applyNumberFormat="1" applyFont="1" applyFill="1" applyBorder="1"/>
    <xf numFmtId="182" fontId="14" fillId="34" borderId="88" xfId="1995" applyNumberFormat="1" applyFont="1" applyFill="1" applyBorder="1"/>
    <xf numFmtId="182" fontId="14" fillId="34" borderId="89" xfId="1995" applyNumberFormat="1" applyFont="1" applyFill="1" applyBorder="1"/>
    <xf numFmtId="175" fontId="20" fillId="34" borderId="0" xfId="1993" applyNumberFormat="1" applyFont="1" applyFill="1" applyBorder="1"/>
    <xf numFmtId="175" fontId="20" fillId="34" borderId="87" xfId="1993" applyNumberFormat="1" applyFont="1" applyFill="1" applyBorder="1"/>
    <xf numFmtId="182" fontId="20" fillId="34" borderId="88" xfId="1995" applyNumberFormat="1" applyFont="1" applyFill="1" applyBorder="1"/>
    <xf numFmtId="0" fontId="289" fillId="34" borderId="0" xfId="1995" applyFont="1" applyFill="1"/>
    <xf numFmtId="345" fontId="289" fillId="89" borderId="0" xfId="1995" applyNumberFormat="1" applyFont="1" applyFill="1" applyAlignment="1">
      <alignment horizontal="right" vertical="center"/>
    </xf>
    <xf numFmtId="182" fontId="285" fillId="34" borderId="87" xfId="1995" applyNumberFormat="1" applyFont="1" applyFill="1" applyBorder="1"/>
    <xf numFmtId="182" fontId="285" fillId="34" borderId="0" xfId="1995" applyNumberFormat="1" applyFont="1" applyFill="1"/>
    <xf numFmtId="182" fontId="14" fillId="34" borderId="87" xfId="1995" applyNumberFormat="1" applyFont="1" applyFill="1" applyBorder="1" applyAlignment="1">
      <alignment horizontal="right"/>
    </xf>
    <xf numFmtId="0" fontId="2" fillId="34" borderId="87" xfId="1995" applyFont="1" applyFill="1" applyBorder="1" applyAlignment="1">
      <alignment horizontal="left" indent="1"/>
    </xf>
    <xf numFmtId="182" fontId="246" fillId="34" borderId="0" xfId="1993" applyNumberFormat="1" applyFont="1" applyFill="1" applyBorder="1"/>
    <xf numFmtId="182" fontId="246" fillId="34" borderId="87" xfId="1993" applyNumberFormat="1" applyFont="1" applyFill="1" applyBorder="1"/>
    <xf numFmtId="182" fontId="2" fillId="34" borderId="87" xfId="1995" applyNumberFormat="1" applyFont="1" applyFill="1" applyBorder="1"/>
    <xf numFmtId="182" fontId="2" fillId="34" borderId="0" xfId="1993" applyNumberFormat="1" applyFont="1" applyFill="1" applyBorder="1"/>
    <xf numFmtId="0" fontId="20" fillId="34" borderId="80" xfId="1995" applyFont="1" applyFill="1" applyBorder="1"/>
    <xf numFmtId="182" fontId="294" fillId="34" borderId="10" xfId="1995" applyNumberFormat="1" applyFont="1" applyFill="1" applyBorder="1"/>
    <xf numFmtId="182" fontId="294" fillId="34" borderId="80" xfId="1995" applyNumberFormat="1" applyFont="1" applyFill="1" applyBorder="1"/>
    <xf numFmtId="182" fontId="291" fillId="34" borderId="10" xfId="1995" applyNumberFormat="1" applyFont="1" applyFill="1" applyBorder="1"/>
    <xf numFmtId="182" fontId="20" fillId="34" borderId="80" xfId="1995" applyNumberFormat="1" applyFont="1" applyFill="1" applyBorder="1"/>
    <xf numFmtId="182" fontId="20" fillId="34" borderId="10" xfId="1995" applyNumberFormat="1" applyFont="1" applyFill="1" applyBorder="1"/>
    <xf numFmtId="0" fontId="14" fillId="34" borderId="87" xfId="1995" applyFont="1" applyFill="1" applyBorder="1" applyAlignment="1">
      <alignment horizontal="left"/>
    </xf>
    <xf numFmtId="182" fontId="14" fillId="34" borderId="0" xfId="1993" applyNumberFormat="1" applyFont="1" applyFill="1" applyBorder="1"/>
    <xf numFmtId="182" fontId="297" fillId="0" borderId="15" xfId="1995" applyNumberFormat="1" applyFont="1" applyBorder="1" applyAlignment="1">
      <alignment horizontal="center"/>
    </xf>
    <xf numFmtId="182" fontId="297" fillId="34" borderId="0" xfId="1995" applyNumberFormat="1" applyFont="1" applyFill="1" applyAlignment="1">
      <alignment horizontal="center"/>
    </xf>
    <xf numFmtId="175" fontId="20" fillId="34" borderId="87" xfId="1995" applyNumberFormat="1" applyFont="1" applyFill="1" applyBorder="1" applyAlignment="1">
      <alignment horizontal="right"/>
    </xf>
    <xf numFmtId="182" fontId="299" fillId="34" borderId="87" xfId="1995" applyNumberFormat="1" applyFont="1" applyFill="1" applyBorder="1" applyAlignment="1">
      <alignment horizontal="right"/>
    </xf>
    <xf numFmtId="182" fontId="299" fillId="34" borderId="0" xfId="1995" applyNumberFormat="1" applyFont="1" applyFill="1" applyAlignment="1">
      <alignment horizontal="right"/>
    </xf>
    <xf numFmtId="205" fontId="14" fillId="34" borderId="0" xfId="1995" applyNumberFormat="1" applyFont="1" applyFill="1"/>
    <xf numFmtId="39" fontId="14" fillId="34" borderId="87" xfId="1995" applyNumberFormat="1" applyFont="1" applyFill="1" applyBorder="1"/>
    <xf numFmtId="175" fontId="2" fillId="34" borderId="96" xfId="1995" applyNumberFormat="1" applyFont="1" applyFill="1" applyBorder="1" applyAlignment="1">
      <alignment horizontal="left"/>
    </xf>
    <xf numFmtId="175" fontId="246" fillId="34" borderId="43" xfId="1993" applyNumberFormat="1" applyFont="1" applyFill="1" applyBorder="1"/>
    <xf numFmtId="175" fontId="246" fillId="34" borderId="96" xfId="1993" applyNumberFormat="1" applyFont="1" applyFill="1" applyBorder="1"/>
    <xf numFmtId="182" fontId="14" fillId="34" borderId="97" xfId="1995" applyNumberFormat="1" applyFont="1" applyFill="1" applyBorder="1"/>
    <xf numFmtId="182" fontId="14" fillId="34" borderId="43" xfId="1995" applyNumberFormat="1" applyFont="1" applyFill="1" applyBorder="1"/>
    <xf numFmtId="182" fontId="14" fillId="34" borderId="96" xfId="1995" applyNumberFormat="1" applyFont="1" applyFill="1" applyBorder="1"/>
    <xf numFmtId="182" fontId="14" fillId="34" borderId="96" xfId="1995" applyNumberFormat="1" applyFont="1" applyFill="1" applyBorder="1" applyAlignment="1">
      <alignment horizontal="right"/>
    </xf>
    <xf numFmtId="182" fontId="14" fillId="34" borderId="43" xfId="1995" applyNumberFormat="1" applyFont="1" applyFill="1" applyBorder="1" applyAlignment="1">
      <alignment horizontal="right"/>
    </xf>
    <xf numFmtId="205" fontId="14" fillId="34" borderId="43" xfId="1995" applyNumberFormat="1" applyFont="1" applyFill="1" applyBorder="1"/>
    <xf numFmtId="175" fontId="2" fillId="34" borderId="87" xfId="1995" applyNumberFormat="1" applyFont="1" applyFill="1" applyBorder="1" applyAlignment="1">
      <alignment horizontal="left"/>
    </xf>
    <xf numFmtId="182" fontId="14" fillId="34" borderId="92" xfId="1995" applyNumberFormat="1" applyFont="1" applyFill="1" applyBorder="1"/>
    <xf numFmtId="182" fontId="14" fillId="34" borderId="8" xfId="1995" applyNumberFormat="1" applyFont="1" applyFill="1" applyBorder="1"/>
    <xf numFmtId="182" fontId="14" fillId="34" borderId="91" xfId="1995" applyNumberFormat="1" applyFont="1" applyFill="1" applyBorder="1"/>
    <xf numFmtId="205" fontId="14" fillId="34" borderId="8" xfId="1995" applyNumberFormat="1" applyFont="1" applyFill="1" applyBorder="1"/>
    <xf numFmtId="182" fontId="14" fillId="34" borderId="91" xfId="1995" applyNumberFormat="1" applyFont="1" applyFill="1" applyBorder="1" applyAlignment="1">
      <alignment horizontal="right"/>
    </xf>
    <xf numFmtId="182" fontId="14" fillId="34" borderId="8" xfId="1995" applyNumberFormat="1" applyFont="1" applyFill="1" applyBorder="1" applyAlignment="1">
      <alignment horizontal="right"/>
    </xf>
    <xf numFmtId="214" fontId="14" fillId="34" borderId="87" xfId="1995" applyNumberFormat="1" applyFont="1" applyFill="1" applyBorder="1" applyAlignment="1">
      <alignment horizontal="left"/>
    </xf>
    <xf numFmtId="214" fontId="14" fillId="34" borderId="87" xfId="1995" applyNumberFormat="1" applyFont="1" applyFill="1" applyBorder="1" applyAlignment="1">
      <alignment horizontal="right"/>
    </xf>
    <xf numFmtId="175" fontId="14" fillId="34" borderId="87" xfId="1995" applyNumberFormat="1" applyFont="1" applyFill="1" applyBorder="1" applyAlignment="1">
      <alignment horizontal="right"/>
    </xf>
    <xf numFmtId="175" fontId="2" fillId="34" borderId="87" xfId="1995" applyNumberFormat="1" applyFont="1" applyFill="1" applyBorder="1" applyAlignment="1">
      <alignment horizontal="left" indent="2"/>
    </xf>
    <xf numFmtId="329" fontId="246" fillId="34" borderId="0" xfId="1993" applyNumberFormat="1" applyFont="1" applyFill="1" applyBorder="1"/>
    <xf numFmtId="329" fontId="246" fillId="34" borderId="87" xfId="1993" applyNumberFormat="1" applyFont="1" applyFill="1" applyBorder="1"/>
    <xf numFmtId="329" fontId="14" fillId="34" borderId="87" xfId="1993" applyNumberFormat="1" applyFont="1" applyFill="1" applyBorder="1"/>
    <xf numFmtId="329" fontId="246" fillId="34" borderId="0" xfId="1993" applyNumberFormat="1" applyFont="1" applyFill="1" applyBorder="1" applyAlignment="1">
      <alignment horizontal="right"/>
    </xf>
    <xf numFmtId="175" fontId="246" fillId="34" borderId="0" xfId="1993" applyNumberFormat="1" applyFont="1" applyFill="1" applyBorder="1" applyAlignment="1">
      <alignment horizontal="right"/>
    </xf>
    <xf numFmtId="175" fontId="293" fillId="42" borderId="0" xfId="1993" applyNumberFormat="1" applyFont="1" applyFill="1" applyBorder="1"/>
    <xf numFmtId="182" fontId="291" fillId="34" borderId="0" xfId="1995" applyNumberFormat="1" applyFont="1" applyFill="1" applyAlignment="1">
      <alignment horizontal="right"/>
    </xf>
    <xf numFmtId="182" fontId="291" fillId="34" borderId="0" xfId="1995" applyNumberFormat="1" applyFont="1" applyFill="1"/>
    <xf numFmtId="182" fontId="14" fillId="34" borderId="90" xfId="1995" applyNumberFormat="1" applyFont="1" applyFill="1" applyBorder="1"/>
    <xf numFmtId="182" fontId="289" fillId="34" borderId="28" xfId="1995" applyNumberFormat="1" applyFont="1" applyFill="1" applyBorder="1"/>
    <xf numFmtId="182" fontId="289" fillId="34" borderId="90" xfId="1995" applyNumberFormat="1" applyFont="1" applyFill="1" applyBorder="1"/>
    <xf numFmtId="182" fontId="14" fillId="34" borderId="95" xfId="1995" applyNumberFormat="1" applyFont="1" applyFill="1" applyBorder="1"/>
    <xf numFmtId="182" fontId="14" fillId="34" borderId="28" xfId="1995" applyNumberFormat="1" applyFont="1" applyFill="1" applyBorder="1"/>
    <xf numFmtId="39" fontId="14" fillId="34" borderId="28" xfId="1995" applyNumberFormat="1" applyFont="1" applyFill="1" applyBorder="1"/>
    <xf numFmtId="9" fontId="20" fillId="34" borderId="87" xfId="1993" applyFont="1" applyFill="1" applyBorder="1" applyAlignment="1">
      <alignment horizontal="center" vertical="center"/>
    </xf>
    <xf numFmtId="175" fontId="289" fillId="34" borderId="87" xfId="1995" applyNumberFormat="1" applyFont="1" applyFill="1" applyBorder="1" applyAlignment="1">
      <alignment horizontal="left"/>
    </xf>
    <xf numFmtId="205" fontId="20" fillId="34" borderId="0" xfId="1995" applyNumberFormat="1" applyFont="1" applyFill="1"/>
    <xf numFmtId="182" fontId="14" fillId="34" borderId="87" xfId="1995" applyNumberFormat="1" applyFont="1" applyFill="1" applyBorder="1" applyAlignment="1">
      <alignment horizontal="left" indent="1"/>
    </xf>
    <xf numFmtId="182" fontId="2" fillId="34" borderId="0" xfId="1995" applyNumberFormat="1" applyFont="1" applyFill="1" applyAlignment="1">
      <alignment horizontal="right"/>
    </xf>
    <xf numFmtId="175" fontId="2" fillId="34" borderId="87" xfId="1995" applyNumberFormat="1" applyFont="1" applyFill="1" applyBorder="1" applyAlignment="1">
      <alignment horizontal="right"/>
    </xf>
    <xf numFmtId="182" fontId="289" fillId="34" borderId="10" xfId="1995" applyNumberFormat="1" applyFont="1" applyFill="1" applyBorder="1"/>
    <xf numFmtId="182" fontId="289" fillId="34" borderId="80" xfId="1995" applyNumberFormat="1" applyFont="1" applyFill="1" applyBorder="1"/>
    <xf numFmtId="350" fontId="2" fillId="89" borderId="0" xfId="1995" applyNumberFormat="1" applyFont="1" applyFill="1" applyAlignment="1">
      <alignment horizontal="right" vertical="center"/>
    </xf>
    <xf numFmtId="10" fontId="2" fillId="34" borderId="87" xfId="1995" applyNumberFormat="1" applyFont="1" applyFill="1" applyBorder="1" applyAlignment="1">
      <alignment horizontal="left"/>
    </xf>
    <xf numFmtId="7" fontId="20" fillId="34" borderId="93" xfId="1995" applyNumberFormat="1" applyFont="1" applyFill="1" applyBorder="1"/>
    <xf numFmtId="182" fontId="289" fillId="34" borderId="2" xfId="1995" applyNumberFormat="1" applyFont="1" applyFill="1" applyBorder="1" applyAlignment="1">
      <alignment horizontal="right"/>
    </xf>
    <xf numFmtId="7" fontId="289" fillId="34" borderId="93" xfId="1997" applyNumberFormat="1" applyFont="1" applyFill="1" applyBorder="1" applyAlignment="1">
      <alignment horizontal="right"/>
    </xf>
    <xf numFmtId="7" fontId="289" fillId="34" borderId="2" xfId="1997" applyNumberFormat="1" applyFont="1" applyFill="1" applyBorder="1" applyAlignment="1">
      <alignment horizontal="right"/>
    </xf>
    <xf numFmtId="7" fontId="20" fillId="34" borderId="93" xfId="1997" applyNumberFormat="1" applyFont="1" applyFill="1" applyBorder="1" applyAlignment="1">
      <alignment horizontal="right"/>
    </xf>
    <xf numFmtId="0" fontId="2" fillId="34" borderId="87" xfId="1995" applyFont="1" applyFill="1" applyBorder="1"/>
    <xf numFmtId="0" fontId="14" fillId="34" borderId="90" xfId="1995" applyFont="1" applyFill="1" applyBorder="1"/>
    <xf numFmtId="182" fontId="285" fillId="34" borderId="28" xfId="1995" applyNumberFormat="1" applyFont="1" applyFill="1" applyBorder="1"/>
    <xf numFmtId="182" fontId="2" fillId="34" borderId="28" xfId="1995" applyNumberFormat="1" applyFont="1" applyFill="1" applyBorder="1"/>
    <xf numFmtId="182" fontId="285" fillId="34" borderId="90" xfId="1995" applyNumberFormat="1" applyFont="1" applyFill="1" applyBorder="1"/>
    <xf numFmtId="182" fontId="285" fillId="34" borderId="94" xfId="1995" applyNumberFormat="1" applyFont="1" applyFill="1" applyBorder="1"/>
    <xf numFmtId="0" fontId="2" fillId="34" borderId="90" xfId="1995" applyFont="1" applyFill="1" applyBorder="1"/>
    <xf numFmtId="0" fontId="2" fillId="34" borderId="83" xfId="1995" applyFont="1" applyFill="1" applyBorder="1"/>
    <xf numFmtId="0" fontId="287" fillId="75" borderId="98" xfId="1995" applyFont="1" applyFill="1" applyBorder="1"/>
    <xf numFmtId="0" fontId="2" fillId="74" borderId="10" xfId="1995" applyFont="1" applyFill="1" applyBorder="1"/>
    <xf numFmtId="0" fontId="2" fillId="74" borderId="80" xfId="1995" applyFont="1" applyFill="1" applyBorder="1"/>
    <xf numFmtId="0" fontId="2" fillId="34" borderId="88" xfId="1995" applyFont="1" applyFill="1" applyBorder="1"/>
    <xf numFmtId="0" fontId="289" fillId="34" borderId="88" xfId="1995" applyFont="1" applyFill="1" applyBorder="1"/>
    <xf numFmtId="0" fontId="289" fillId="34" borderId="87" xfId="1995" applyFont="1" applyFill="1" applyBorder="1"/>
    <xf numFmtId="175" fontId="289" fillId="34" borderId="87" xfId="1993" applyNumberFormat="1" applyFont="1" applyFill="1" applyBorder="1"/>
    <xf numFmtId="175" fontId="285" fillId="42" borderId="0" xfId="1993" applyNumberFormat="1" applyFont="1" applyFill="1" applyBorder="1"/>
    <xf numFmtId="214" fontId="2" fillId="34" borderId="88" xfId="1995" applyNumberFormat="1" applyFont="1" applyFill="1" applyBorder="1"/>
    <xf numFmtId="214" fontId="289" fillId="34" borderId="88" xfId="1995" applyNumberFormat="1" applyFont="1" applyFill="1" applyBorder="1"/>
    <xf numFmtId="175" fontId="291" fillId="42" borderId="0" xfId="1993" applyNumberFormat="1" applyFont="1" applyFill="1" applyBorder="1"/>
    <xf numFmtId="0" fontId="289" fillId="34" borderId="88" xfId="1995" applyFont="1" applyFill="1" applyBorder="1" applyAlignment="1">
      <alignment horizontal="left"/>
    </xf>
    <xf numFmtId="0" fontId="289" fillId="34" borderId="0" xfId="1995" applyFont="1" applyFill="1" applyAlignment="1">
      <alignment horizontal="right"/>
    </xf>
    <xf numFmtId="0" fontId="289" fillId="34" borderId="87" xfId="1995" applyFont="1" applyFill="1" applyBorder="1" applyAlignment="1">
      <alignment horizontal="right"/>
    </xf>
    <xf numFmtId="175" fontId="289" fillId="34" borderId="0" xfId="1993" applyNumberFormat="1" applyFont="1" applyFill="1" applyBorder="1" applyAlignment="1">
      <alignment horizontal="right"/>
    </xf>
    <xf numFmtId="175" fontId="289" fillId="34" borderId="87" xfId="1993" applyNumberFormat="1" applyFont="1" applyFill="1" applyBorder="1" applyAlignment="1">
      <alignment horizontal="right"/>
    </xf>
    <xf numFmtId="0" fontId="2" fillId="34" borderId="0" xfId="1995" applyFont="1" applyFill="1" applyAlignment="1">
      <alignment horizontal="right"/>
    </xf>
    <xf numFmtId="214" fontId="2" fillId="34" borderId="88" xfId="1995" applyNumberFormat="1" applyFont="1" applyFill="1" applyBorder="1" applyAlignment="1">
      <alignment horizontal="left"/>
    </xf>
    <xf numFmtId="0" fontId="2" fillId="34" borderId="87" xfId="1995" applyFont="1" applyFill="1" applyBorder="1" applyAlignment="1">
      <alignment horizontal="right"/>
    </xf>
    <xf numFmtId="214" fontId="289" fillId="34" borderId="88" xfId="1995" applyNumberFormat="1" applyFont="1" applyFill="1" applyBorder="1" applyAlignment="1">
      <alignment horizontal="left"/>
    </xf>
    <xf numFmtId="0" fontId="2" fillId="34" borderId="88" xfId="1995" applyFont="1" applyFill="1" applyBorder="1" applyAlignment="1">
      <alignment horizontal="left" indent="1"/>
    </xf>
    <xf numFmtId="0" fontId="2" fillId="34" borderId="95" xfId="1995" applyFont="1" applyFill="1" applyBorder="1"/>
    <xf numFmtId="0" fontId="2" fillId="34" borderId="28" xfId="1995" applyFont="1" applyFill="1" applyBorder="1"/>
    <xf numFmtId="175" fontId="2" fillId="34" borderId="28" xfId="1993" applyNumberFormat="1" applyFont="1" applyFill="1" applyBorder="1"/>
    <xf numFmtId="175" fontId="2" fillId="34" borderId="90" xfId="1993" applyNumberFormat="1" applyFont="1" applyFill="1" applyBorder="1"/>
    <xf numFmtId="175" fontId="292" fillId="34" borderId="0" xfId="1993" applyNumberFormat="1" applyFont="1" applyFill="1" applyBorder="1"/>
    <xf numFmtId="175" fontId="292" fillId="34" borderId="87" xfId="1993" applyNumberFormat="1" applyFont="1" applyFill="1" applyBorder="1"/>
    <xf numFmtId="0" fontId="292" fillId="34" borderId="28" xfId="1995" applyFont="1" applyFill="1" applyBorder="1"/>
    <xf numFmtId="0" fontId="292" fillId="34" borderId="90" xfId="1995" applyFont="1" applyFill="1" applyBorder="1"/>
    <xf numFmtId="0" fontId="292" fillId="34" borderId="90" xfId="1995" applyFont="1" applyFill="1" applyBorder="1" applyAlignment="1">
      <alignment horizontal="center"/>
    </xf>
    <xf numFmtId="0" fontId="292" fillId="34" borderId="28" xfId="1995" applyFont="1" applyFill="1" applyBorder="1" applyAlignment="1">
      <alignment horizontal="center"/>
    </xf>
    <xf numFmtId="168" fontId="12" fillId="0" borderId="0" xfId="629" quotePrefix="1" applyNumberFormat="1" applyFont="1"/>
    <xf numFmtId="17" fontId="2" fillId="34" borderId="0" xfId="1989" applyNumberFormat="1" applyFont="1" applyFill="1"/>
    <xf numFmtId="0" fontId="2" fillId="34" borderId="0" xfId="1989" applyFont="1" applyFill="1" applyAlignment="1">
      <alignment horizontal="right"/>
    </xf>
    <xf numFmtId="17" fontId="2" fillId="34" borderId="0" xfId="1989" applyNumberFormat="1" applyFont="1" applyFill="1" applyAlignment="1">
      <alignment horizontal="right"/>
    </xf>
    <xf numFmtId="182" fontId="289" fillId="73" borderId="87" xfId="1989" applyNumberFormat="1" applyFont="1" applyFill="1" applyBorder="1"/>
    <xf numFmtId="182" fontId="20" fillId="73" borderId="87" xfId="1989" applyNumberFormat="1" applyFont="1" applyFill="1" applyBorder="1"/>
    <xf numFmtId="214" fontId="2" fillId="34" borderId="0" xfId="1989" applyNumberFormat="1" applyFont="1" applyFill="1"/>
    <xf numFmtId="214" fontId="2" fillId="89" borderId="0" xfId="1989" applyNumberFormat="1" applyFont="1" applyFill="1" applyAlignment="1">
      <alignment horizontal="right" vertical="center"/>
    </xf>
    <xf numFmtId="214" fontId="3" fillId="34" borderId="0" xfId="1989" applyNumberFormat="1" applyFill="1"/>
    <xf numFmtId="341" fontId="2" fillId="34" borderId="0" xfId="1989" applyNumberFormat="1" applyFont="1" applyFill="1"/>
    <xf numFmtId="341" fontId="2" fillId="89" borderId="0" xfId="1989" applyNumberFormat="1" applyFont="1" applyFill="1" applyAlignment="1">
      <alignment horizontal="right" vertical="center"/>
    </xf>
    <xf numFmtId="341" fontId="3" fillId="34" borderId="0" xfId="1989" applyNumberFormat="1" applyFill="1"/>
    <xf numFmtId="341" fontId="289" fillId="34" borderId="0" xfId="1989" applyNumberFormat="1" applyFont="1" applyFill="1"/>
    <xf numFmtId="341" fontId="289" fillId="89" borderId="0" xfId="1989" applyNumberFormat="1" applyFont="1" applyFill="1" applyAlignment="1">
      <alignment horizontal="right" vertical="center"/>
    </xf>
    <xf numFmtId="341" fontId="303" fillId="34" borderId="0" xfId="1989" applyNumberFormat="1" applyFont="1" applyFill="1"/>
    <xf numFmtId="345" fontId="289" fillId="89" borderId="0" xfId="1989" applyNumberFormat="1" applyFont="1" applyFill="1" applyAlignment="1">
      <alignment horizontal="right" vertical="center"/>
    </xf>
    <xf numFmtId="0" fontId="303" fillId="34" borderId="0" xfId="1989" applyFont="1" applyFill="1"/>
    <xf numFmtId="0" fontId="292" fillId="34" borderId="0" xfId="1989" applyFont="1" applyFill="1"/>
    <xf numFmtId="341" fontId="292" fillId="34" borderId="0" xfId="1989" applyNumberFormat="1" applyFont="1" applyFill="1"/>
    <xf numFmtId="345" fontId="292" fillId="89" borderId="0" xfId="1989" applyNumberFormat="1" applyFont="1" applyFill="1" applyAlignment="1">
      <alignment horizontal="right" vertical="center"/>
    </xf>
    <xf numFmtId="0" fontId="304" fillId="34" borderId="0" xfId="1989" applyFont="1" applyFill="1"/>
    <xf numFmtId="0" fontId="229" fillId="85" borderId="0" xfId="0" applyFont="1" applyFill="1"/>
    <xf numFmtId="341" fontId="266" fillId="0" borderId="0" xfId="629" applyNumberFormat="1" applyFont="1"/>
    <xf numFmtId="341" fontId="268" fillId="0" borderId="0" xfId="629" applyNumberFormat="1" applyFont="1"/>
    <xf numFmtId="341" fontId="17" fillId="0" borderId="0" xfId="0" applyNumberFormat="1" applyFont="1"/>
    <xf numFmtId="0" fontId="307" fillId="0" borderId="0" xfId="0" applyFont="1"/>
    <xf numFmtId="340" fontId="237" fillId="0" borderId="0" xfId="0" applyNumberFormat="1" applyFont="1"/>
    <xf numFmtId="340" fontId="262" fillId="0" borderId="0" xfId="0" applyNumberFormat="1" applyFont="1"/>
    <xf numFmtId="176" fontId="266" fillId="0" borderId="0" xfId="629" applyNumberFormat="1" applyFont="1"/>
    <xf numFmtId="340" fontId="268" fillId="0" borderId="0" xfId="629" applyNumberFormat="1" applyFont="1"/>
    <xf numFmtId="0" fontId="229" fillId="0" borderId="0" xfId="629" applyFont="1"/>
    <xf numFmtId="0" fontId="305" fillId="0" borderId="0" xfId="629" applyFont="1"/>
    <xf numFmtId="340" fontId="305" fillId="0" borderId="0" xfId="629" applyNumberFormat="1" applyFont="1"/>
    <xf numFmtId="340" fontId="306" fillId="0" borderId="0" xfId="629" applyNumberFormat="1" applyFont="1"/>
    <xf numFmtId="329" fontId="266" fillId="0" borderId="0" xfId="629" applyNumberFormat="1" applyFont="1"/>
    <xf numFmtId="341" fontId="267" fillId="0" borderId="0" xfId="0" applyNumberFormat="1" applyFont="1"/>
    <xf numFmtId="341" fontId="269" fillId="0" borderId="0" xfId="0" applyNumberFormat="1" applyFont="1"/>
    <xf numFmtId="341" fontId="227" fillId="0" borderId="0" xfId="0" applyNumberFormat="1" applyFont="1"/>
    <xf numFmtId="340" fontId="271" fillId="0" borderId="0" xfId="0" applyNumberFormat="1" applyFont="1"/>
    <xf numFmtId="340" fontId="264" fillId="0" borderId="0" xfId="0" applyNumberFormat="1" applyFont="1"/>
    <xf numFmtId="340" fontId="308" fillId="0" borderId="0" xfId="0" applyNumberFormat="1" applyFont="1"/>
    <xf numFmtId="171" fontId="263" fillId="0" borderId="0" xfId="1987" applyNumberFormat="1" applyFont="1" applyAlignment="1">
      <alignment horizontal="center" vertical="center"/>
    </xf>
    <xf numFmtId="340" fontId="262" fillId="0" borderId="0" xfId="292" applyNumberFormat="1" applyFont="1" applyBorder="1"/>
    <xf numFmtId="1" fontId="267" fillId="0" borderId="0" xfId="0" applyNumberFormat="1" applyFont="1"/>
    <xf numFmtId="0" fontId="274" fillId="0" borderId="0" xfId="629" applyFont="1"/>
    <xf numFmtId="0" fontId="309" fillId="0" borderId="0" xfId="278" applyFont="1"/>
    <xf numFmtId="341" fontId="18" fillId="0" borderId="0" xfId="629" applyNumberFormat="1"/>
    <xf numFmtId="341" fontId="17" fillId="0" borderId="0" xfId="278" applyNumberFormat="1" applyFont="1"/>
    <xf numFmtId="341" fontId="274" fillId="0" borderId="0" xfId="629" applyNumberFormat="1" applyFont="1"/>
    <xf numFmtId="214" fontId="305" fillId="0" borderId="0" xfId="629" applyNumberFormat="1" applyFont="1"/>
    <xf numFmtId="214" fontId="275" fillId="0" borderId="0" xfId="629" applyNumberFormat="1" applyFont="1"/>
    <xf numFmtId="214" fontId="237" fillId="0" borderId="0" xfId="278" applyNumberFormat="1" applyFont="1" applyAlignment="1">
      <alignment horizontal="right"/>
    </xf>
    <xf numFmtId="341" fontId="12" fillId="0" borderId="6" xfId="629" applyNumberFormat="1" applyFont="1" applyBorder="1"/>
    <xf numFmtId="341" fontId="277" fillId="42" borderId="0" xfId="629" applyNumberFormat="1" applyFont="1" applyFill="1"/>
    <xf numFmtId="341" fontId="18" fillId="42" borderId="0" xfId="629" applyNumberFormat="1" applyFill="1"/>
    <xf numFmtId="341" fontId="231" fillId="0" borderId="0" xfId="629" applyNumberFormat="1" applyFont="1"/>
    <xf numFmtId="341" fontId="267" fillId="0" borderId="0" xfId="629" applyNumberFormat="1" applyFont="1"/>
    <xf numFmtId="341" fontId="12" fillId="0" borderId="0" xfId="629" applyNumberFormat="1" applyFont="1"/>
    <xf numFmtId="341" fontId="12" fillId="0" borderId="6" xfId="629" applyNumberFormat="1" applyFont="1" applyBorder="1" applyAlignment="1">
      <alignment horizontal="left"/>
    </xf>
    <xf numFmtId="341" fontId="18" fillId="42" borderId="0" xfId="292" applyNumberFormat="1" applyFont="1" applyFill="1"/>
    <xf numFmtId="341" fontId="273" fillId="42" borderId="0" xfId="292" applyNumberFormat="1" applyFont="1" applyFill="1" applyBorder="1"/>
    <xf numFmtId="341" fontId="17" fillId="0" borderId="0" xfId="629" applyNumberFormat="1" applyFont="1"/>
    <xf numFmtId="341" fontId="17" fillId="0" borderId="6" xfId="629" applyNumberFormat="1" applyFont="1" applyBorder="1"/>
    <xf numFmtId="341" fontId="283" fillId="42" borderId="0" xfId="629" applyNumberFormat="1" applyFont="1" applyFill="1"/>
    <xf numFmtId="341" fontId="274" fillId="42" borderId="0" xfId="629" applyNumberFormat="1" applyFont="1" applyFill="1"/>
    <xf numFmtId="341" fontId="269" fillId="0" borderId="0" xfId="629" applyNumberFormat="1" applyFont="1"/>
    <xf numFmtId="341" fontId="110" fillId="0" borderId="0" xfId="629" applyNumberFormat="1" applyFont="1"/>
    <xf numFmtId="341" fontId="265" fillId="0" borderId="0" xfId="629" applyNumberFormat="1" applyFont="1"/>
    <xf numFmtId="341" fontId="283" fillId="0" borderId="0" xfId="629" applyNumberFormat="1" applyFont="1"/>
    <xf numFmtId="341" fontId="227" fillId="0" borderId="0" xfId="278" applyNumberFormat="1" applyFont="1"/>
    <xf numFmtId="341" fontId="269" fillId="0" borderId="0" xfId="278" applyNumberFormat="1" applyFont="1"/>
    <xf numFmtId="176" fontId="267" fillId="0" borderId="0" xfId="278" applyNumberFormat="1" applyFont="1"/>
    <xf numFmtId="214" fontId="1" fillId="34" borderId="0" xfId="1989" applyNumberFormat="1" applyFont="1" applyFill="1"/>
    <xf numFmtId="0" fontId="2" fillId="34" borderId="0" xfId="1989" applyFont="1" applyFill="1" applyAlignment="1">
      <alignment horizontal="left"/>
    </xf>
    <xf numFmtId="0" fontId="1" fillId="34" borderId="0" xfId="1989" applyFont="1" applyFill="1"/>
    <xf numFmtId="175" fontId="231" fillId="42" borderId="0" xfId="292" applyNumberFormat="1" applyFont="1" applyFill="1" applyBorder="1"/>
    <xf numFmtId="340" fontId="310" fillId="0" borderId="0" xfId="0" applyNumberFormat="1" applyFont="1"/>
    <xf numFmtId="329" fontId="269" fillId="76" borderId="0" xfId="0" applyNumberFormat="1" applyFont="1" applyFill="1"/>
    <xf numFmtId="341" fontId="226" fillId="0" borderId="0" xfId="0" applyNumberFormat="1" applyFont="1"/>
    <xf numFmtId="9" fontId="110" fillId="0" borderId="0" xfId="292" applyFont="1" applyFill="1" applyBorder="1"/>
    <xf numFmtId="182" fontId="12" fillId="0" borderId="0" xfId="278" applyNumberFormat="1" applyFont="1" applyAlignment="1">
      <alignment vertical="center"/>
    </xf>
    <xf numFmtId="351" fontId="12" fillId="0" borderId="0" xfId="0" applyNumberFormat="1" applyFont="1"/>
    <xf numFmtId="214" fontId="18" fillId="42" borderId="0" xfId="0" applyNumberFormat="1" applyFont="1" applyFill="1"/>
    <xf numFmtId="342" fontId="231" fillId="0" borderId="0" xfId="1264" applyNumberFormat="1" applyFont="1" applyAlignment="1">
      <alignment horizontal="right"/>
    </xf>
    <xf numFmtId="175" fontId="231" fillId="0" borderId="0" xfId="292" applyNumberFormat="1" applyFont="1" applyFill="1"/>
    <xf numFmtId="176" fontId="229" fillId="0" borderId="0" xfId="0" applyNumberFormat="1" applyFont="1" applyAlignment="1">
      <alignment horizontal="center" vertical="center" wrapText="1"/>
    </xf>
    <xf numFmtId="0" fontId="17" fillId="76" borderId="0" xfId="0" applyFont="1" applyFill="1" applyAlignment="1">
      <alignment horizontal="left" vertical="center"/>
    </xf>
    <xf numFmtId="0" fontId="261" fillId="74" borderId="0" xfId="0" applyFont="1" applyFill="1" applyAlignment="1">
      <alignment horizontal="center"/>
    </xf>
    <xf numFmtId="0" fontId="248" fillId="0" borderId="0" xfId="0" applyFont="1" applyAlignment="1">
      <alignment horizontal="center"/>
    </xf>
    <xf numFmtId="0" fontId="0" fillId="77" borderId="0" xfId="0" applyFill="1" applyAlignment="1">
      <alignment horizontal="center" vertical="center"/>
    </xf>
    <xf numFmtId="171" fontId="0" fillId="77" borderId="0" xfId="0" applyNumberFormat="1" applyFill="1" applyAlignment="1">
      <alignment horizontal="center" vertical="center"/>
    </xf>
    <xf numFmtId="0" fontId="248" fillId="72" borderId="0" xfId="0" applyFont="1" applyFill="1" applyAlignment="1">
      <alignment horizontal="center" vertical="center" wrapText="1"/>
    </xf>
    <xf numFmtId="0" fontId="254" fillId="85" borderId="0" xfId="0" applyFont="1" applyFill="1" applyAlignment="1">
      <alignment horizontal="center" vertical="center" wrapText="1"/>
    </xf>
    <xf numFmtId="0" fontId="254" fillId="87" borderId="0" xfId="0" applyFont="1" applyFill="1" applyAlignment="1">
      <alignment horizontal="center" vertical="center" wrapText="1"/>
    </xf>
    <xf numFmtId="0" fontId="254" fillId="81" borderId="0" xfId="0" applyFont="1" applyFill="1" applyAlignment="1">
      <alignment horizontal="center" vertical="center" wrapText="1"/>
    </xf>
    <xf numFmtId="0" fontId="254" fillId="74" borderId="0" xfId="0" applyFont="1" applyFill="1" applyAlignment="1">
      <alignment horizontal="center" vertical="center" wrapText="1"/>
    </xf>
    <xf numFmtId="0" fontId="248" fillId="76" borderId="0" xfId="0" applyFont="1" applyFill="1" applyAlignment="1">
      <alignment horizontal="left" vertical="center"/>
    </xf>
    <xf numFmtId="0" fontId="248" fillId="70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5" fontId="0" fillId="77" borderId="0" xfId="0" applyNumberFormat="1" applyFill="1" applyAlignment="1">
      <alignment horizontal="center" vertical="center"/>
    </xf>
    <xf numFmtId="0" fontId="252" fillId="0" borderId="0" xfId="0" applyFont="1" applyAlignment="1">
      <alignment horizontal="center" vertical="center"/>
    </xf>
    <xf numFmtId="171" fontId="252" fillId="0" borderId="0" xfId="0" applyNumberFormat="1" applyFont="1" applyAlignment="1">
      <alignment horizontal="center" vertical="center"/>
    </xf>
    <xf numFmtId="0" fontId="257" fillId="34" borderId="0" xfId="0" applyFont="1" applyFill="1" applyAlignment="1">
      <alignment horizontal="center" vertical="center" wrapText="1"/>
    </xf>
    <xf numFmtId="0" fontId="253" fillId="82" borderId="0" xfId="0" applyFont="1" applyFill="1" applyAlignment="1">
      <alignment horizontal="center" vertical="center" wrapText="1"/>
    </xf>
    <xf numFmtId="0" fontId="0" fillId="83" borderId="0" xfId="0" applyFont="1" applyFill="1" applyAlignment="1">
      <alignment horizontal="center" vertical="center" wrapText="1"/>
    </xf>
    <xf numFmtId="0" fontId="253" fillId="84" borderId="0" xfId="0" applyFont="1" applyFill="1" applyAlignment="1">
      <alignment horizontal="center" vertical="center" wrapText="1"/>
    </xf>
    <xf numFmtId="0" fontId="253" fillId="86" borderId="0" xfId="0" applyFont="1" applyFill="1" applyAlignment="1">
      <alignment horizontal="center" vertical="center" wrapText="1"/>
    </xf>
    <xf numFmtId="0" fontId="256" fillId="34" borderId="82" xfId="0" applyFont="1" applyFill="1" applyBorder="1" applyAlignment="1">
      <alignment horizontal="center" vertical="center"/>
    </xf>
    <xf numFmtId="0" fontId="228" fillId="75" borderId="32" xfId="0" applyFont="1" applyFill="1" applyBorder="1" applyAlignment="1">
      <alignment horizontal="center"/>
    </xf>
    <xf numFmtId="0" fontId="228" fillId="75" borderId="34" xfId="0" applyFont="1" applyFill="1" applyBorder="1" applyAlignment="1">
      <alignment horizontal="center"/>
    </xf>
    <xf numFmtId="0" fontId="228" fillId="75" borderId="32" xfId="0" applyFont="1" applyFill="1" applyBorder="1" applyAlignment="1">
      <alignment horizontal="center" vertical="center"/>
    </xf>
    <xf numFmtId="0" fontId="228" fillId="75" borderId="8" xfId="0" applyFont="1" applyFill="1" applyBorder="1" applyAlignment="1">
      <alignment horizontal="center" vertical="center"/>
    </xf>
    <xf numFmtId="0" fontId="228" fillId="75" borderId="34" xfId="0" applyFont="1" applyFill="1" applyBorder="1" applyAlignment="1">
      <alignment horizontal="center" vertical="center"/>
    </xf>
    <xf numFmtId="0" fontId="287" fillId="74" borderId="84" xfId="1995" applyFont="1" applyFill="1" applyBorder="1" applyAlignment="1">
      <alignment horizontal="center" vertical="top"/>
    </xf>
    <xf numFmtId="0" fontId="287" fillId="74" borderId="85" xfId="1995" applyFont="1" applyFill="1" applyBorder="1" applyAlignment="1">
      <alignment horizontal="center" vertical="top"/>
    </xf>
    <xf numFmtId="0" fontId="287" fillId="74" borderId="86" xfId="1995" applyFont="1" applyFill="1" applyBorder="1" applyAlignment="1">
      <alignment horizontal="center" vertical="top"/>
    </xf>
  </cellXfs>
  <cellStyles count="1998">
    <cellStyle name="'" xfId="641" xr:uid="{00000000-0005-0000-0000-000000000000}"/>
    <cellStyle name="—" xfId="1" xr:uid="{00000000-0005-0000-0000-000001000000}"/>
    <cellStyle name="          _x000a__x000a_shell=progman.exe_x000a__x000a_n" xfId="1270" xr:uid="{00000000-0005-0000-0000-000002000000}"/>
    <cellStyle name="          _x000d__x000a_shell=progman.exe_x000d__x000a_n" xfId="1271" xr:uid="{00000000-0005-0000-0000-000003000000}"/>
    <cellStyle name="— 2" xfId="1272" xr:uid="{00000000-0005-0000-0000-000004000000}"/>
    <cellStyle name="#" xfId="1273" xr:uid="{00000000-0005-0000-0000-000005000000}"/>
    <cellStyle name="$" xfId="642" xr:uid="{00000000-0005-0000-0000-000006000000}"/>
    <cellStyle name="$m" xfId="643" xr:uid="{00000000-0005-0000-0000-000007000000}"/>
    <cellStyle name="$q" xfId="644" xr:uid="{00000000-0005-0000-0000-000008000000}"/>
    <cellStyle name="$q*" xfId="645" xr:uid="{00000000-0005-0000-0000-000009000000}"/>
    <cellStyle name="$qA" xfId="646" xr:uid="{00000000-0005-0000-0000-00000A000000}"/>
    <cellStyle name="$qRange" xfId="647" xr:uid="{00000000-0005-0000-0000-00000B000000}"/>
    <cellStyle name="%" xfId="635" xr:uid="{00000000-0005-0000-0000-00000C000000}"/>
    <cellStyle name="% 2" xfId="648" xr:uid="{00000000-0005-0000-0000-00000D000000}"/>
    <cellStyle name="%[0]" xfId="649" xr:uid="{00000000-0005-0000-0000-00000E000000}"/>
    <cellStyle name="%_AOLearn" xfId="650" xr:uid="{00000000-0005-0000-0000-00000F000000}"/>
    <cellStyle name="%_EBAYearn" xfId="651" xr:uid="{00000000-0005-0000-0000-000010000000}"/>
    <cellStyle name="%_MASTER_ERPROSheet_08022007" xfId="652" xr:uid="{00000000-0005-0000-0000-000011000000}"/>
    <cellStyle name="%_NFLXearn" xfId="653" xr:uid="{00000000-0005-0000-0000-000012000000}"/>
    <cellStyle name="%_YHOOearn" xfId="654" xr:uid="{00000000-0005-0000-0000-000013000000}"/>
    <cellStyle name="(1,000)" xfId="2" xr:uid="{00000000-0005-0000-0000-000014000000}"/>
    <cellStyle name="(1,000) 2" xfId="1274" xr:uid="{00000000-0005-0000-0000-000015000000}"/>
    <cellStyle name="(1,000)x" xfId="3" xr:uid="{00000000-0005-0000-0000-000016000000}"/>
    <cellStyle name="(1,000)x 2" xfId="1275" xr:uid="{00000000-0005-0000-0000-000017000000}"/>
    <cellStyle name="******************************************" xfId="655" xr:uid="{00000000-0005-0000-0000-000018000000}"/>
    <cellStyle name="****************************************** 2" xfId="1276" xr:uid="{00000000-0005-0000-0000-000019000000}"/>
    <cellStyle name="****************************************** 2 2" xfId="1277" xr:uid="{00000000-0005-0000-0000-00001A000000}"/>
    <cellStyle name="****************************************** 3" xfId="1278" xr:uid="{00000000-0005-0000-0000-00001B000000}"/>
    <cellStyle name="******************************************_2010 TEL" xfId="1279" xr:uid="{00000000-0005-0000-0000-00001C000000}"/>
    <cellStyle name=";;;" xfId="656" xr:uid="{00000000-0005-0000-0000-00001D000000}"/>
    <cellStyle name="@NOW" xfId="657" xr:uid="{00000000-0005-0000-0000-00001E000000}"/>
    <cellStyle name="]_x000a__x000a_Extension=conv.dll_x000a__x000a_MS-DOS Tools Extentions=C:\DOS\MSTOOLS.DLL_x000a__x000a__x000a__x000a_[Settings]_x000a__x000a_UNDELETE.DLL=C:\DOS\MSTOOLS.DLL_x000a__x000a_W" xfId="658" xr:uid="{00000000-0005-0000-0000-00001F000000}"/>
    <cellStyle name="]_x000a__x000a_Zoomed=0_x000a__x000a_Row=0_x000a__x000a_Column=0_x000a__x000a_Height=694_x000a__x000a_Width=1012_x000a__x000a_FontName=FoxFont_x000a__x000a_FontStyle=0_x000a__x000a_FontSize=9_x000a__x000a_PrtFontName=Fo" xfId="1280" xr:uid="{00000000-0005-0000-0000-000020000000}"/>
    <cellStyle name="]_x000d__x000a_Zoomed=0_x000d__x000a_Row=0_x000d__x000a_Column=0_x000d__x000a_Height=694_x000d__x000a_Width=1012_x000d__x000a_FontName=FoxFont_x000d__x000a_FontStyle=0_x000d__x000a_FontSize=9_x000d__x000a_PrtFontName=Fo" xfId="1281" xr:uid="{00000000-0005-0000-0000-000021000000}"/>
    <cellStyle name="_%(SignOnly)" xfId="358" xr:uid="{00000000-0005-0000-0000-000022000000}"/>
    <cellStyle name="_%(SignSpaceOnly)" xfId="359" xr:uid="{00000000-0005-0000-0000-000023000000}"/>
    <cellStyle name="__x001d__/_x000c_=ÿÿ_x000c_0ÿU_x0001_‡_x0005_œ+_x0007__x0001__x0001_" xfId="1282" xr:uid="{00000000-0005-0000-0000-000024000000}"/>
    <cellStyle name="__x001d__/_x000c_=ÿÿ_x000c_0ÿU_x0001_‡_x0005_œ+_x000f__x0001__x0001_" xfId="1283" xr:uid="{00000000-0005-0000-0000-000025000000}"/>
    <cellStyle name="_~0034700" xfId="4" xr:uid="{00000000-0005-0000-0000-000026000000}"/>
    <cellStyle name="_2010 TEL" xfId="1284" xr:uid="{00000000-0005-0000-0000-000027000000}"/>
    <cellStyle name="—_2010 TEL" xfId="1285" xr:uid="{00000000-0005-0000-0000-000028000000}"/>
    <cellStyle name="—_2010 TEL 2" xfId="1286" xr:uid="{00000000-0005-0000-0000-000029000000}"/>
    <cellStyle name="—_Book2" xfId="5" xr:uid="{00000000-0005-0000-0000-00002A000000}"/>
    <cellStyle name="—_Book2 2" xfId="1287" xr:uid="{00000000-0005-0000-0000-00002B000000}"/>
    <cellStyle name="—_Book2_CMJMODEL" xfId="1288" xr:uid="{00000000-0005-0000-0000-00002C000000}"/>
    <cellStyle name="—_Book2_European Mktg - May99" xfId="6" xr:uid="{00000000-0005-0000-0000-00002D000000}"/>
    <cellStyle name="—_Book2_FOXTELMODEL" xfId="1289" xr:uid="{00000000-0005-0000-0000-00002E000000}"/>
    <cellStyle name="—_Book2_hutchss" xfId="7" xr:uid="{00000000-0005-0000-0000-00002F000000}"/>
    <cellStyle name="—_Book2_MASTER" xfId="8" xr:uid="{00000000-0005-0000-0000-000030000000}"/>
    <cellStyle name="—_Book2_WHARFSS" xfId="9" xr:uid="{00000000-0005-0000-0000-000031000000}"/>
    <cellStyle name="_Book5" xfId="1290" xr:uid="{00000000-0005-0000-0000-000032000000}"/>
    <cellStyle name="—_Book7" xfId="10" xr:uid="{00000000-0005-0000-0000-000033000000}"/>
    <cellStyle name="—_Book8" xfId="11" xr:uid="{00000000-0005-0000-0000-000034000000}"/>
    <cellStyle name="—_CMHss" xfId="12" xr:uid="{00000000-0005-0000-0000-000035000000}"/>
    <cellStyle name="_CMJMODEL" xfId="1291" xr:uid="{00000000-0005-0000-0000-000036000000}"/>
    <cellStyle name="—_CMJMODEL" xfId="1292" xr:uid="{00000000-0005-0000-0000-000037000000}"/>
    <cellStyle name="_Comma" xfId="13" xr:uid="{00000000-0005-0000-0000-000038000000}"/>
    <cellStyle name="_Comma_01 adj for merger plan" xfId="360" xr:uid="{00000000-0005-0000-0000-000039000000}"/>
    <cellStyle name="_Comma_Ability to Pay Analysis" xfId="361" xr:uid="{00000000-0005-0000-0000-00003A000000}"/>
    <cellStyle name="_Comma_AFL" xfId="362" xr:uid="{00000000-0005-0000-0000-00003B000000}"/>
    <cellStyle name="_Comma_AIZ" xfId="363" xr:uid="{00000000-0005-0000-0000-00003C000000}"/>
    <cellStyle name="_Comma_AIZ04-Quantum2" xfId="364" xr:uid="{00000000-0005-0000-0000-00003D000000}"/>
    <cellStyle name="_Comma_AMP" xfId="365" xr:uid="{00000000-0005-0000-0000-00003E000000}"/>
    <cellStyle name="_Comma_Book1" xfId="366" xr:uid="{00000000-0005-0000-0000-00003F000000}"/>
    <cellStyle name="_Comma_Book3" xfId="367" xr:uid="{00000000-0005-0000-0000-000040000000}"/>
    <cellStyle name="_Comma_CMJMODEL" xfId="1293" xr:uid="{00000000-0005-0000-0000-000041000000}"/>
    <cellStyle name="_Comma_CNO" xfId="368" xr:uid="{00000000-0005-0000-0000-000042000000}"/>
    <cellStyle name="_Comma_CNO04" xfId="369" xr:uid="{00000000-0005-0000-0000-000043000000}"/>
    <cellStyle name="_Comma_DCF Alexander Forbes" xfId="370" xr:uid="{00000000-0005-0000-0000-000044000000}"/>
    <cellStyle name="_Comma_fmbi counties" xfId="371" xr:uid="{00000000-0005-0000-0000-000045000000}"/>
    <cellStyle name="_Comma_FMBI MBHI Graphs" xfId="372" xr:uid="{00000000-0005-0000-0000-000046000000}"/>
    <cellStyle name="_Comma_FMBI MBHI Graphs 07102001" xfId="373" xr:uid="{00000000-0005-0000-0000-000047000000}"/>
    <cellStyle name="_Comma_FMBI MBHI Graphs_7601" xfId="374" xr:uid="{00000000-0005-0000-0000-000048000000}"/>
    <cellStyle name="_Comma_FOXTELMODEL" xfId="1294" xr:uid="{00000000-0005-0000-0000-000049000000}"/>
    <cellStyle name="_Comma_genworth model" xfId="375" xr:uid="{00000000-0005-0000-0000-00004A000000}"/>
    <cellStyle name="_Comma_HWLaug2000" xfId="14" xr:uid="{00000000-0005-0000-0000-00004B000000}"/>
    <cellStyle name="_Comma_Insurance Brokerage CSC_1Q2002" xfId="376" xr:uid="{00000000-0005-0000-0000-00004C000000}"/>
    <cellStyle name="_Comma_JP_LNC_spread_monitor (2)" xfId="377" xr:uid="{00000000-0005-0000-0000-00004D000000}"/>
    <cellStyle name="_Comma_NFP" xfId="378" xr:uid="{00000000-0005-0000-0000-00004E000000}"/>
    <cellStyle name="_Comma_NFS" xfId="379" xr:uid="{00000000-0005-0000-0000-00004F000000}"/>
    <cellStyle name="_Comma_Overview3" xfId="380" xr:uid="{00000000-0005-0000-0000-000050000000}"/>
    <cellStyle name="_Comma_phil data" xfId="381" xr:uid="{00000000-0005-0000-0000-000051000000}"/>
    <cellStyle name="_Comma_Price Performance Charts" xfId="382" xr:uid="{00000000-0005-0000-0000-000052000000}"/>
    <cellStyle name="_Comma_Quarterly Review by Company" xfId="383" xr:uid="{00000000-0005-0000-0000-000053000000}"/>
    <cellStyle name="_Comma_SFG Data File" xfId="384" xr:uid="{00000000-0005-0000-0000-000054000000}"/>
    <cellStyle name="_Comma_Sheet1" xfId="385" xr:uid="{00000000-0005-0000-0000-000055000000}"/>
    <cellStyle name="_Comma_Stock-QTR1 FDS" xfId="386" xr:uid="{00000000-0005-0000-0000-000056000000}"/>
    <cellStyle name="_Comma_Updated Valuation Changes" xfId="387" xr:uid="{00000000-0005-0000-0000-000057000000}"/>
    <cellStyle name="_Comma_Valuation Graphs" xfId="388" xr:uid="{00000000-0005-0000-0000-000058000000}"/>
    <cellStyle name="_Comma_xratio - historical mkt val" xfId="389" xr:uid="{00000000-0005-0000-0000-000059000000}"/>
    <cellStyle name="_Currency" xfId="15" xr:uid="{00000000-0005-0000-0000-00005A000000}"/>
    <cellStyle name="_Currency_01 adj for merger plan" xfId="390" xr:uid="{00000000-0005-0000-0000-00005B000000}"/>
    <cellStyle name="_Currency_Ability to Pay Analysis" xfId="391" xr:uid="{00000000-0005-0000-0000-00005C000000}"/>
    <cellStyle name="_Currency_AFL" xfId="392" xr:uid="{00000000-0005-0000-0000-00005D000000}"/>
    <cellStyle name="_Currency_AIZ" xfId="393" xr:uid="{00000000-0005-0000-0000-00005E000000}"/>
    <cellStyle name="_Currency_AMP" xfId="394" xr:uid="{00000000-0005-0000-0000-00005F000000}"/>
    <cellStyle name="_Currency_Balance Sheet" xfId="395" xr:uid="{00000000-0005-0000-0000-000060000000}"/>
    <cellStyle name="_Currency_Book1" xfId="396" xr:uid="{00000000-0005-0000-0000-000061000000}"/>
    <cellStyle name="_Currency_Book1_Jazztel model 16DP3-Exhibits" xfId="1295" xr:uid="{00000000-0005-0000-0000-000062000000}"/>
    <cellStyle name="_Currency_Book1_Jazztel model 16DP3-Exhibits_Book2" xfId="1296" xr:uid="{00000000-0005-0000-0000-000063000000}"/>
    <cellStyle name="_Currency_Book1_Jazztel model 16DP3-Exhibits_T_MOBIL2" xfId="1297" xr:uid="{00000000-0005-0000-0000-000064000000}"/>
    <cellStyle name="_Currency_Book1_Jazztel model 16DP3-Exhibits_TDC-2Aug2001_UPD" xfId="1298" xr:uid="{00000000-0005-0000-0000-000065000000}"/>
    <cellStyle name="_Currency_Book1_Jazztel model 18DP-exhibits" xfId="1299" xr:uid="{00000000-0005-0000-0000-000066000000}"/>
    <cellStyle name="_Currency_Book1_TDC-2Aug2001" xfId="1300" xr:uid="{00000000-0005-0000-0000-000067000000}"/>
    <cellStyle name="_Currency_Book1_TelenorAug01" xfId="1301" xr:uid="{00000000-0005-0000-0000-000068000000}"/>
    <cellStyle name="_Currency_Book2" xfId="1302" xr:uid="{00000000-0005-0000-0000-000069000000}"/>
    <cellStyle name="_Currency_Book2_Jazztel model 16DP3-Exhibits" xfId="1303" xr:uid="{00000000-0005-0000-0000-00006A000000}"/>
    <cellStyle name="_Currency_Book2_Jazztel model 16DP3-Exhibits_Book2" xfId="1304" xr:uid="{00000000-0005-0000-0000-00006B000000}"/>
    <cellStyle name="_Currency_Book2_Jazztel model 16DP3-Exhibits_T_MOBIL2" xfId="1305" xr:uid="{00000000-0005-0000-0000-00006C000000}"/>
    <cellStyle name="_Currency_Book2_Jazztel model 16DP3-Exhibits_TDC-2Aug2001_UPD" xfId="1306" xr:uid="{00000000-0005-0000-0000-00006D000000}"/>
    <cellStyle name="_Currency_Book2_Jazztel model 18DP-exhibits" xfId="1307" xr:uid="{00000000-0005-0000-0000-00006E000000}"/>
    <cellStyle name="_Currency_Book2_TDC-2Aug2001" xfId="1308" xr:uid="{00000000-0005-0000-0000-00006F000000}"/>
    <cellStyle name="_Currency_Book2_TelenorAug01" xfId="1309" xr:uid="{00000000-0005-0000-0000-000070000000}"/>
    <cellStyle name="_Currency_Book29" xfId="397" xr:uid="{00000000-0005-0000-0000-000071000000}"/>
    <cellStyle name="_Currency_Book3" xfId="398" xr:uid="{00000000-0005-0000-0000-000072000000}"/>
    <cellStyle name="_Currency_Book3_1" xfId="399" xr:uid="{00000000-0005-0000-0000-000073000000}"/>
    <cellStyle name="_Currency_CMJMODEL" xfId="1310" xr:uid="{00000000-0005-0000-0000-000074000000}"/>
    <cellStyle name="_Currency_CNO" xfId="400" xr:uid="{00000000-0005-0000-0000-000075000000}"/>
    <cellStyle name="_Currency_DCF Alexander Forbes" xfId="401" xr:uid="{00000000-0005-0000-0000-000076000000}"/>
    <cellStyle name="_Currency_fmbi counties" xfId="402" xr:uid="{00000000-0005-0000-0000-000077000000}"/>
    <cellStyle name="_Currency_FMBI MBHI Graphs" xfId="403" xr:uid="{00000000-0005-0000-0000-000078000000}"/>
    <cellStyle name="_Currency_FMBI MBHI Graphs 07102001" xfId="404" xr:uid="{00000000-0005-0000-0000-000079000000}"/>
    <cellStyle name="_Currency_FMBI MBHI Graphs_7601" xfId="405" xr:uid="{00000000-0005-0000-0000-00007A000000}"/>
    <cellStyle name="_Currency_FOXTELMODEL" xfId="1311" xr:uid="{00000000-0005-0000-0000-00007B000000}"/>
    <cellStyle name="_Currency_GNW" xfId="406" xr:uid="{00000000-0005-0000-0000-00007C000000}"/>
    <cellStyle name="_Currency_HWLaug2000" xfId="16" xr:uid="{00000000-0005-0000-0000-00007D000000}"/>
    <cellStyle name="_Currency_HWLaug2000 2" xfId="1312" xr:uid="{00000000-0005-0000-0000-00007E000000}"/>
    <cellStyle name="_Currency_Insurance Brokerage CSC_1Q2002" xfId="407" xr:uid="{00000000-0005-0000-0000-00007F000000}"/>
    <cellStyle name="_Currency_Jazztel model 15-exhibits" xfId="1313" xr:uid="{00000000-0005-0000-0000-000080000000}"/>
    <cellStyle name="_Currency_Jazztel model 15-exhibits bis" xfId="1314" xr:uid="{00000000-0005-0000-0000-000081000000}"/>
    <cellStyle name="_Currency_Jazztel model 15-exhibits bis_Book2" xfId="1315" xr:uid="{00000000-0005-0000-0000-000082000000}"/>
    <cellStyle name="_Currency_Jazztel model 15-exhibits bis_T_MOBIL2" xfId="1316" xr:uid="{00000000-0005-0000-0000-000083000000}"/>
    <cellStyle name="_Currency_Jazztel model 15-exhibits bis_TDC-2Aug2001_UPD" xfId="1317" xr:uid="{00000000-0005-0000-0000-000084000000}"/>
    <cellStyle name="_Currency_Jazztel model 15-exhibits_Jazztel model 16DP3-Exhibits" xfId="1318" xr:uid="{00000000-0005-0000-0000-000085000000}"/>
    <cellStyle name="_Currency_Jazztel model 15-exhibits_Jazztel model 16DP3-Exhibits_Book2" xfId="1319" xr:uid="{00000000-0005-0000-0000-000086000000}"/>
    <cellStyle name="_Currency_Jazztel model 15-exhibits_Jazztel model 16DP3-Exhibits_T_MOBIL2" xfId="1320" xr:uid="{00000000-0005-0000-0000-000087000000}"/>
    <cellStyle name="_Currency_Jazztel model 15-exhibits_Jazztel model 16DP3-Exhibits_TDC-2Aug2001_UPD" xfId="1321" xr:uid="{00000000-0005-0000-0000-000088000000}"/>
    <cellStyle name="_Currency_Jazztel model 15-exhibits_Jazztel model 18DP-exhibits" xfId="1322" xr:uid="{00000000-0005-0000-0000-000089000000}"/>
    <cellStyle name="_Currency_Jazztel model 15-exhibits_TDC-2Aug2001" xfId="1323" xr:uid="{00000000-0005-0000-0000-00008A000000}"/>
    <cellStyle name="_Currency_Jazztel model 15-exhibits_TelenorAug01" xfId="1324" xr:uid="{00000000-0005-0000-0000-00008B000000}"/>
    <cellStyle name="_Currency_Jazztel model 15-exhibits-Friso2" xfId="1325" xr:uid="{00000000-0005-0000-0000-00008C000000}"/>
    <cellStyle name="_Currency_Jazztel model 15-exhibits-Friso2_Jazztel model 16DP3-Exhibits" xfId="1326" xr:uid="{00000000-0005-0000-0000-00008D000000}"/>
    <cellStyle name="_Currency_Jazztel model 15-exhibits-Friso2_Jazztel model 16DP3-Exhibits_Book2" xfId="1327" xr:uid="{00000000-0005-0000-0000-00008E000000}"/>
    <cellStyle name="_Currency_Jazztel model 15-exhibits-Friso2_Jazztel model 16DP3-Exhibits_T_MOBIL2" xfId="1328" xr:uid="{00000000-0005-0000-0000-00008F000000}"/>
    <cellStyle name="_Currency_Jazztel model 15-exhibits-Friso2_Jazztel model 16DP3-Exhibits_TDC-2Aug2001_UPD" xfId="1329" xr:uid="{00000000-0005-0000-0000-000090000000}"/>
    <cellStyle name="_Currency_Jazztel model 15-exhibits-Friso2_Jazztel model 18DP-exhibits" xfId="1330" xr:uid="{00000000-0005-0000-0000-000091000000}"/>
    <cellStyle name="_Currency_Jazztel model 15-exhibits-Friso2_TDC-2Aug2001" xfId="1331" xr:uid="{00000000-0005-0000-0000-000092000000}"/>
    <cellStyle name="_Currency_Jazztel model 15-exhibits-Friso2_TelenorAug01" xfId="1332" xr:uid="{00000000-0005-0000-0000-000093000000}"/>
    <cellStyle name="_Currency_JP" xfId="408" xr:uid="{00000000-0005-0000-0000-000094000000}"/>
    <cellStyle name="_Currency_LNC" xfId="409" xr:uid="{00000000-0005-0000-0000-000095000000}"/>
    <cellStyle name="_Currency_MET" xfId="410" xr:uid="{00000000-0005-0000-0000-000096000000}"/>
    <cellStyle name="_Currency_MET04" xfId="411" xr:uid="{00000000-0005-0000-0000-000097000000}"/>
    <cellStyle name="_Currency_NFS" xfId="412" xr:uid="{00000000-0005-0000-0000-000098000000}"/>
    <cellStyle name="_Currency_Overview3" xfId="413" xr:uid="{00000000-0005-0000-0000-000099000000}"/>
    <cellStyle name="_Currency_phil data" xfId="414" xr:uid="{00000000-0005-0000-0000-00009A000000}"/>
    <cellStyle name="_Currency_Price Performance Charts" xfId="415" xr:uid="{00000000-0005-0000-0000-00009B000000}"/>
    <cellStyle name="_Currency_PRU" xfId="416" xr:uid="{00000000-0005-0000-0000-00009C000000}"/>
    <cellStyle name="_Currency_PRU04" xfId="417" xr:uid="{00000000-0005-0000-0000-00009D000000}"/>
    <cellStyle name="_Currency_RiskReward" xfId="418" xr:uid="{00000000-0005-0000-0000-00009E000000}"/>
    <cellStyle name="_Currency_SFG" xfId="419" xr:uid="{00000000-0005-0000-0000-00009F000000}"/>
    <cellStyle name="_Currency_Sheet1" xfId="420" xr:uid="{00000000-0005-0000-0000-0000A0000000}"/>
    <cellStyle name="_Currency_Stock-QTR1 FDS" xfId="421" xr:uid="{00000000-0005-0000-0000-0000A1000000}"/>
    <cellStyle name="_Currency_TMK" xfId="422" xr:uid="{00000000-0005-0000-0000-0000A2000000}"/>
    <cellStyle name="_Currency_Updated Valuation Changes" xfId="423" xr:uid="{00000000-0005-0000-0000-0000A3000000}"/>
    <cellStyle name="_Currency_Valuation Graphs" xfId="424" xr:uid="{00000000-0005-0000-0000-0000A4000000}"/>
    <cellStyle name="_Currency_xratio - historical mkt val" xfId="425" xr:uid="{00000000-0005-0000-0000-0000A5000000}"/>
    <cellStyle name="_CurrencySpace" xfId="17" xr:uid="{00000000-0005-0000-0000-0000A6000000}"/>
    <cellStyle name="_CurrencySpace_01 adj for merger plan" xfId="426" xr:uid="{00000000-0005-0000-0000-0000A7000000}"/>
    <cellStyle name="_CurrencySpace_Ability to Pay Analysis" xfId="427" xr:uid="{00000000-0005-0000-0000-0000A8000000}"/>
    <cellStyle name="_CurrencySpace_AFL" xfId="428" xr:uid="{00000000-0005-0000-0000-0000A9000000}"/>
    <cellStyle name="_CurrencySpace_AIZ" xfId="429" xr:uid="{00000000-0005-0000-0000-0000AA000000}"/>
    <cellStyle name="_CurrencySpace_AMP" xfId="430" xr:uid="{00000000-0005-0000-0000-0000AB000000}"/>
    <cellStyle name="_CurrencySpace_Balance Sheet" xfId="431" xr:uid="{00000000-0005-0000-0000-0000AC000000}"/>
    <cellStyle name="_CurrencySpace_Book1" xfId="432" xr:uid="{00000000-0005-0000-0000-0000AD000000}"/>
    <cellStyle name="_CurrencySpace_Book29" xfId="433" xr:uid="{00000000-0005-0000-0000-0000AE000000}"/>
    <cellStyle name="_CurrencySpace_Book3" xfId="434" xr:uid="{00000000-0005-0000-0000-0000AF000000}"/>
    <cellStyle name="_CurrencySpace_Book3_1" xfId="435" xr:uid="{00000000-0005-0000-0000-0000B0000000}"/>
    <cellStyle name="_CurrencySpace_CNO" xfId="436" xr:uid="{00000000-0005-0000-0000-0000B1000000}"/>
    <cellStyle name="_CurrencySpace_DCF Alexander Forbes" xfId="437" xr:uid="{00000000-0005-0000-0000-0000B2000000}"/>
    <cellStyle name="_CurrencySpace_fmbi counties" xfId="438" xr:uid="{00000000-0005-0000-0000-0000B3000000}"/>
    <cellStyle name="_CurrencySpace_FMBI MBHI Graphs" xfId="439" xr:uid="{00000000-0005-0000-0000-0000B4000000}"/>
    <cellStyle name="_CurrencySpace_FMBI MBHI Graphs 07102001" xfId="440" xr:uid="{00000000-0005-0000-0000-0000B5000000}"/>
    <cellStyle name="_CurrencySpace_FMBI MBHI Graphs_7601" xfId="441" xr:uid="{00000000-0005-0000-0000-0000B6000000}"/>
    <cellStyle name="_CurrencySpace_GNW" xfId="442" xr:uid="{00000000-0005-0000-0000-0000B7000000}"/>
    <cellStyle name="_CurrencySpace_Insurance Brokerage CSC_1Q2002" xfId="443" xr:uid="{00000000-0005-0000-0000-0000B8000000}"/>
    <cellStyle name="_CurrencySpace_JP" xfId="444" xr:uid="{00000000-0005-0000-0000-0000B9000000}"/>
    <cellStyle name="_CurrencySpace_LNC" xfId="445" xr:uid="{00000000-0005-0000-0000-0000BA000000}"/>
    <cellStyle name="_CurrencySpace_MET" xfId="446" xr:uid="{00000000-0005-0000-0000-0000BB000000}"/>
    <cellStyle name="_CurrencySpace_MET04" xfId="447" xr:uid="{00000000-0005-0000-0000-0000BC000000}"/>
    <cellStyle name="_CurrencySpace_NFS" xfId="448" xr:uid="{00000000-0005-0000-0000-0000BD000000}"/>
    <cellStyle name="_CurrencySpace_Overview3" xfId="449" xr:uid="{00000000-0005-0000-0000-0000BE000000}"/>
    <cellStyle name="_CurrencySpace_phil data" xfId="450" xr:uid="{00000000-0005-0000-0000-0000BF000000}"/>
    <cellStyle name="_CurrencySpace_Price Performance Charts" xfId="451" xr:uid="{00000000-0005-0000-0000-0000C0000000}"/>
    <cellStyle name="_CurrencySpace_PRU" xfId="452" xr:uid="{00000000-0005-0000-0000-0000C1000000}"/>
    <cellStyle name="_CurrencySpace_PRU04" xfId="453" xr:uid="{00000000-0005-0000-0000-0000C2000000}"/>
    <cellStyle name="_CurrencySpace_RiskReward" xfId="454" xr:uid="{00000000-0005-0000-0000-0000C3000000}"/>
    <cellStyle name="_CurrencySpace_SFG" xfId="455" xr:uid="{00000000-0005-0000-0000-0000C4000000}"/>
    <cellStyle name="_CurrencySpace_Sheet1" xfId="456" xr:uid="{00000000-0005-0000-0000-0000C5000000}"/>
    <cellStyle name="_CurrencySpace_Stock-QTR1 FDS" xfId="457" xr:uid="{00000000-0005-0000-0000-0000C6000000}"/>
    <cellStyle name="_CurrencySpace_TMK" xfId="458" xr:uid="{00000000-0005-0000-0000-0000C7000000}"/>
    <cellStyle name="_CurrencySpace_Updated Valuation Changes" xfId="459" xr:uid="{00000000-0005-0000-0000-0000C8000000}"/>
    <cellStyle name="_CurrencySpace_Valuation Graphs" xfId="460" xr:uid="{00000000-0005-0000-0000-0000C9000000}"/>
    <cellStyle name="_CurrencySpace_xratio - historical mkt val" xfId="461" xr:uid="{00000000-0005-0000-0000-0000CA000000}"/>
    <cellStyle name="_Dollar" xfId="462" xr:uid="{00000000-0005-0000-0000-0000CB000000}"/>
    <cellStyle name="_Dollar_Jazztel model 16DP3-Exhibits" xfId="1333" xr:uid="{00000000-0005-0000-0000-0000CC000000}"/>
    <cellStyle name="_Dollar_Jazztel model 18DP-exhibits" xfId="1334" xr:uid="{00000000-0005-0000-0000-0000CD000000}"/>
    <cellStyle name="_Dollar_Jazztel model 18DP-exhibits_Book2" xfId="1335" xr:uid="{00000000-0005-0000-0000-0000CE000000}"/>
    <cellStyle name="_Dollar_Jazztel model 18DP-exhibits_Book2 2" xfId="1336" xr:uid="{00000000-0005-0000-0000-0000CF000000}"/>
    <cellStyle name="_Dollar_Jazztel model 18DP-exhibits_T_MOBIL2" xfId="1337" xr:uid="{00000000-0005-0000-0000-0000D0000000}"/>
    <cellStyle name="_Dollar_Jazztel model 18DP-exhibits_TDC-2Aug2001_UPD" xfId="1338" xr:uid="{00000000-0005-0000-0000-0000D1000000}"/>
    <cellStyle name="_Dollar_TDC-2Aug2001" xfId="1339" xr:uid="{00000000-0005-0000-0000-0000D2000000}"/>
    <cellStyle name="_Dollar_TelenorAug01" xfId="1340" xr:uid="{00000000-0005-0000-0000-0000D3000000}"/>
    <cellStyle name="—_EM_CMHKconsolidatednew_WIP.xls Chart 1" xfId="1341" xr:uid="{00000000-0005-0000-0000-0000D4000000}"/>
    <cellStyle name="—_EM_CMHKconsolidatednew_WIP.xls Chart 1 2" xfId="1342" xr:uid="{00000000-0005-0000-0000-0000D5000000}"/>
    <cellStyle name="—_EM_NZT" xfId="18" xr:uid="{00000000-0005-0000-0000-0000D6000000}"/>
    <cellStyle name="—_EM-HTI" xfId="19" xr:uid="{00000000-0005-0000-0000-0000D7000000}"/>
    <cellStyle name="—_EM-HTI 2" xfId="1343" xr:uid="{00000000-0005-0000-0000-0000D8000000}"/>
    <cellStyle name="—_EM-HTI_Book4" xfId="20" xr:uid="{00000000-0005-0000-0000-0000D9000000}"/>
    <cellStyle name="—_EM-HTI_Book7" xfId="21" xr:uid="{00000000-0005-0000-0000-0000DA000000}"/>
    <cellStyle name="—_EM-HTI_CMJMODEL" xfId="1344" xr:uid="{00000000-0005-0000-0000-0000DB000000}"/>
    <cellStyle name="—_EM-HTI_EM_NZT" xfId="22" xr:uid="{00000000-0005-0000-0000-0000DC000000}"/>
    <cellStyle name="—_EM-HTI_EM_NZT_Book7" xfId="23" xr:uid="{00000000-0005-0000-0000-0000DD000000}"/>
    <cellStyle name="—_EM-HTI_EM_NZT_Book7 2" xfId="1345" xr:uid="{00000000-0005-0000-0000-0000DE000000}"/>
    <cellStyle name="—_EM-HTI_FOXTELMODEL" xfId="1346" xr:uid="{00000000-0005-0000-0000-0000DF000000}"/>
    <cellStyle name="—_EM-HTI_SingTel consolidated" xfId="1347" xr:uid="{00000000-0005-0000-0000-0000E0000000}"/>
    <cellStyle name="—_EM-KT" xfId="24" xr:uid="{00000000-0005-0000-0000-0000E1000000}"/>
    <cellStyle name="—_EM-KT 2" xfId="1348" xr:uid="{00000000-0005-0000-0000-0000E2000000}"/>
    <cellStyle name="—_EM-KT.xls Chart 1" xfId="1349" xr:uid="{00000000-0005-0000-0000-0000E3000000}"/>
    <cellStyle name="—_EM-KT.xls Chart 1 2" xfId="1350" xr:uid="{00000000-0005-0000-0000-0000E4000000}"/>
    <cellStyle name="—_EM-KT.xls Chart 2" xfId="1351" xr:uid="{00000000-0005-0000-0000-0000E5000000}"/>
    <cellStyle name="—_EM-KT.xls Chart 2 2" xfId="1352" xr:uid="{00000000-0005-0000-0000-0000E6000000}"/>
    <cellStyle name="—_EM-KT.xls Chart 3" xfId="1353" xr:uid="{00000000-0005-0000-0000-0000E7000000}"/>
    <cellStyle name="—_EM-KT.xls Chart 3 2" xfId="1354" xr:uid="{00000000-0005-0000-0000-0000E8000000}"/>
    <cellStyle name="—_EM-Optus" xfId="25" xr:uid="{00000000-0005-0000-0000-0000E9000000}"/>
    <cellStyle name="—_EM-PLDT" xfId="1355" xr:uid="{00000000-0005-0000-0000-0000EA000000}"/>
    <cellStyle name="—_EM-PLDT 2" xfId="1356" xr:uid="{00000000-0005-0000-0000-0000EB000000}"/>
    <cellStyle name="—_EM-PLDT consolidatednew.xls Chart 1" xfId="1357" xr:uid="{00000000-0005-0000-0000-0000EC000000}"/>
    <cellStyle name="—_EM-PLDT consolidatednew.xls Chart 1 2" xfId="1358" xr:uid="{00000000-0005-0000-0000-0000ED000000}"/>
    <cellStyle name="—_EM-SKTelecom" xfId="26" xr:uid="{00000000-0005-0000-0000-0000EE000000}"/>
    <cellStyle name="—_EM-SKTelecom_old" xfId="27" xr:uid="{00000000-0005-0000-0000-0000EF000000}"/>
    <cellStyle name="—_EM-SKTelecom_old 2" xfId="1359" xr:uid="{00000000-0005-0000-0000-0000F0000000}"/>
    <cellStyle name="—_EM-SKTelecom_old_Book8" xfId="28" xr:uid="{00000000-0005-0000-0000-0000F1000000}"/>
    <cellStyle name="—_EM-SKTelecom_old_Book8 2" xfId="1360" xr:uid="{00000000-0005-0000-0000-0000F2000000}"/>
    <cellStyle name="—_EM-SKTelecom_old_CMHss" xfId="29" xr:uid="{00000000-0005-0000-0000-0000F3000000}"/>
    <cellStyle name="—_EM-SKTelecom_old_CMJMODEL" xfId="1361" xr:uid="{00000000-0005-0000-0000-0000F4000000}"/>
    <cellStyle name="—_EM-SKTelecom_old_EM-HTI" xfId="30" xr:uid="{00000000-0005-0000-0000-0000F5000000}"/>
    <cellStyle name="—_EM-SKTelecom_old_EM-HTI 2" xfId="1362" xr:uid="{00000000-0005-0000-0000-0000F6000000}"/>
    <cellStyle name="—_EM-SKTelecom_old_EM-HTI_Book4" xfId="31" xr:uid="{00000000-0005-0000-0000-0000F7000000}"/>
    <cellStyle name="—_EM-SKTelecom_old_EM-HTI_Book7" xfId="32" xr:uid="{00000000-0005-0000-0000-0000F8000000}"/>
    <cellStyle name="—_EM-SKTelecom_old_EM-HTI_CMJMODEL" xfId="1363" xr:uid="{00000000-0005-0000-0000-0000F9000000}"/>
    <cellStyle name="—_EM-SKTelecom_old_EM-HTI_EM_NZT" xfId="33" xr:uid="{00000000-0005-0000-0000-0000FA000000}"/>
    <cellStyle name="—_EM-SKTelecom_old_EM-HTI_EM_NZT_Book7" xfId="34" xr:uid="{00000000-0005-0000-0000-0000FB000000}"/>
    <cellStyle name="—_EM-SKTelecom_old_EM-HTI_EM_NZT_Book7 2" xfId="1364" xr:uid="{00000000-0005-0000-0000-0000FC000000}"/>
    <cellStyle name="—_EM-SKTelecom_old_EM-HTI_FOXTELMODEL" xfId="1365" xr:uid="{00000000-0005-0000-0000-0000FD000000}"/>
    <cellStyle name="—_EM-SKTelecom_old_EM-HTI_SingTel consolidated" xfId="1366" xr:uid="{00000000-0005-0000-0000-0000FE000000}"/>
    <cellStyle name="—_EM-SKTelecom_old_EM-KT.xls Chart 1" xfId="1367" xr:uid="{00000000-0005-0000-0000-0000FF000000}"/>
    <cellStyle name="—_EM-SKTelecom_old_EM-KT.xls Chart 1 2" xfId="1368" xr:uid="{00000000-0005-0000-0000-000000010000}"/>
    <cellStyle name="—_EM-SKTelecom_old_EM-KT.xls Chart 2" xfId="1369" xr:uid="{00000000-0005-0000-0000-000001010000}"/>
    <cellStyle name="—_EM-SKTelecom_old_EM-KT.xls Chart 2 2" xfId="1370" xr:uid="{00000000-0005-0000-0000-000002010000}"/>
    <cellStyle name="—_EM-SKTelecom_old_EM-KT.xls Chart 3" xfId="1371" xr:uid="{00000000-0005-0000-0000-000003010000}"/>
    <cellStyle name="—_EM-SKTelecom_old_EM-KT.xls Chart 3 2" xfId="1372" xr:uid="{00000000-0005-0000-0000-000004010000}"/>
    <cellStyle name="—_EM-SKTelecom_old_EM-SKTelecom" xfId="35" xr:uid="{00000000-0005-0000-0000-000005010000}"/>
    <cellStyle name="—_EM-SKTelecom_old_FOXTELMODEL" xfId="1373" xr:uid="{00000000-0005-0000-0000-000006010000}"/>
    <cellStyle name="—_EM-SKTelecom_old_hutchss" xfId="36" xr:uid="{00000000-0005-0000-0000-000007010000}"/>
    <cellStyle name="—_EM-SKTelecom_old_hutchss 2" xfId="1374" xr:uid="{00000000-0005-0000-0000-000008010000}"/>
    <cellStyle name="—_EM-SKTelecom_old_Joanne_KT_Qtrly_PnL_Jan20_20031" xfId="1375" xr:uid="{00000000-0005-0000-0000-000009010000}"/>
    <cellStyle name="—_EM-SKTelecom_old_li&amp;fungSS" xfId="37" xr:uid="{00000000-0005-0000-0000-00000A010000}"/>
    <cellStyle name="—_EM-SKTelecom_old_li&amp;fungSS 2" xfId="1376" xr:uid="{00000000-0005-0000-0000-00000B010000}"/>
    <cellStyle name="_Euro" xfId="463" xr:uid="{00000000-0005-0000-0000-00000C010000}"/>
    <cellStyle name="—_European Mktg - May99" xfId="38" xr:uid="{00000000-0005-0000-0000-00000D010000}"/>
    <cellStyle name="_Financials1" xfId="39" xr:uid="{00000000-0005-0000-0000-00000E010000}"/>
    <cellStyle name="_FNC - Model" xfId="40" xr:uid="{00000000-0005-0000-0000-00000F010000}"/>
    <cellStyle name="_FOXTELMODEL" xfId="1377" xr:uid="{00000000-0005-0000-0000-000010010000}"/>
    <cellStyle name="—_FOXTELMODEL" xfId="1378" xr:uid="{00000000-0005-0000-0000-000011010000}"/>
    <cellStyle name="—_GS Assumptions-F" xfId="41" xr:uid="{00000000-0005-0000-0000-000012010000}"/>
    <cellStyle name="—_GS Assumptions-F 2" xfId="1379" xr:uid="{00000000-0005-0000-0000-000013010000}"/>
    <cellStyle name="—_GS Assumptions-F_Book7" xfId="42" xr:uid="{00000000-0005-0000-0000-000014010000}"/>
    <cellStyle name="—_GS Assumptions-F_Book8" xfId="43" xr:uid="{00000000-0005-0000-0000-000015010000}"/>
    <cellStyle name="—_GS Assumptions-F_CMJMODEL" xfId="1380" xr:uid="{00000000-0005-0000-0000-000016010000}"/>
    <cellStyle name="—_GS Assumptions-F_EM_NZT" xfId="44" xr:uid="{00000000-0005-0000-0000-000017010000}"/>
    <cellStyle name="—_GS Assumptions-F_EM-Optus" xfId="45" xr:uid="{00000000-0005-0000-0000-000018010000}"/>
    <cellStyle name="—_GS Assumptions-F_FOXTELMODEL" xfId="1381" xr:uid="{00000000-0005-0000-0000-000019010000}"/>
    <cellStyle name="—_GS Assumptions-F_hutchss" xfId="46" xr:uid="{00000000-0005-0000-0000-00001A010000}"/>
    <cellStyle name="—_GS Assumptions-F_li&amp;fungSS" xfId="47" xr:uid="{00000000-0005-0000-0000-00001B010000}"/>
    <cellStyle name="—_GS Assumptions-F_MASTER" xfId="48" xr:uid="{00000000-0005-0000-0000-00001C010000}"/>
    <cellStyle name="—_GS Assumptions-F_WHARFSS" xfId="49" xr:uid="{00000000-0005-0000-0000-00001D010000}"/>
    <cellStyle name="—_GS_Balance" xfId="50" xr:uid="{00000000-0005-0000-0000-00001E010000}"/>
    <cellStyle name="—_GS_Balance 2" xfId="1382" xr:uid="{00000000-0005-0000-0000-00001F010000}"/>
    <cellStyle name="—_GS_Balance_Book7" xfId="51" xr:uid="{00000000-0005-0000-0000-000020010000}"/>
    <cellStyle name="—_GS_Balance_Book8" xfId="52" xr:uid="{00000000-0005-0000-0000-000021010000}"/>
    <cellStyle name="—_GS_Balance_CMJMODEL" xfId="1383" xr:uid="{00000000-0005-0000-0000-000022010000}"/>
    <cellStyle name="—_GS_Balance_EM_NZT" xfId="53" xr:uid="{00000000-0005-0000-0000-000023010000}"/>
    <cellStyle name="—_GS_Balance_EM-Optus" xfId="54" xr:uid="{00000000-0005-0000-0000-000024010000}"/>
    <cellStyle name="—_GS_Balance_FOXTELMODEL" xfId="1384" xr:uid="{00000000-0005-0000-0000-000025010000}"/>
    <cellStyle name="—_GS_Balance_hutchss" xfId="55" xr:uid="{00000000-0005-0000-0000-000026010000}"/>
    <cellStyle name="—_GS_Balance_li&amp;fungSS" xfId="56" xr:uid="{00000000-0005-0000-0000-000027010000}"/>
    <cellStyle name="—_GS_Balance_MASTER" xfId="57" xr:uid="{00000000-0005-0000-0000-000028010000}"/>
    <cellStyle name="—_GS_Balance_WHARFSS" xfId="58" xr:uid="{00000000-0005-0000-0000-000029010000}"/>
    <cellStyle name="—_GS_Cash " xfId="59" xr:uid="{00000000-0005-0000-0000-00002A010000}"/>
    <cellStyle name="—_GS_Cash  (2)" xfId="60" xr:uid="{00000000-0005-0000-0000-00002B010000}"/>
    <cellStyle name="—_GS_Cash  (2) 2" xfId="1385" xr:uid="{00000000-0005-0000-0000-00002C010000}"/>
    <cellStyle name="—_GS_Cash  (2)_Book7" xfId="61" xr:uid="{00000000-0005-0000-0000-00002D010000}"/>
    <cellStyle name="—_GS_Cash  (2)_Book8" xfId="62" xr:uid="{00000000-0005-0000-0000-00002E010000}"/>
    <cellStyle name="—_GS_Cash  (2)_CMJMODEL" xfId="1386" xr:uid="{00000000-0005-0000-0000-00002F010000}"/>
    <cellStyle name="—_GS_Cash  (2)_EM_NZT" xfId="63" xr:uid="{00000000-0005-0000-0000-000030010000}"/>
    <cellStyle name="—_GS_Cash  (2)_EM-Optus" xfId="64" xr:uid="{00000000-0005-0000-0000-000031010000}"/>
    <cellStyle name="—_GS_Cash  (2)_FOXTELMODEL" xfId="1387" xr:uid="{00000000-0005-0000-0000-000032010000}"/>
    <cellStyle name="—_GS_Cash  (2)_hutchss" xfId="65" xr:uid="{00000000-0005-0000-0000-000033010000}"/>
    <cellStyle name="—_GS_Cash  (2)_li&amp;fungSS" xfId="66" xr:uid="{00000000-0005-0000-0000-000034010000}"/>
    <cellStyle name="—_GS_Cash  (2)_MASTER" xfId="67" xr:uid="{00000000-0005-0000-0000-000035010000}"/>
    <cellStyle name="—_GS_Cash  (2)_WHARFSS" xfId="68" xr:uid="{00000000-0005-0000-0000-000036010000}"/>
    <cellStyle name="—_GS_Cash  2" xfId="1388" xr:uid="{00000000-0005-0000-0000-000037010000}"/>
    <cellStyle name="—_GS_Cash _Book7" xfId="69" xr:uid="{00000000-0005-0000-0000-000038010000}"/>
    <cellStyle name="—_GS_Cash _Book8" xfId="70" xr:uid="{00000000-0005-0000-0000-000039010000}"/>
    <cellStyle name="—_GS_Cash _CMJMODEL" xfId="1389" xr:uid="{00000000-0005-0000-0000-00003A010000}"/>
    <cellStyle name="—_GS_Cash _EM_NZT" xfId="71" xr:uid="{00000000-0005-0000-0000-00003B010000}"/>
    <cellStyle name="—_GS_Cash _EM-Optus" xfId="72" xr:uid="{00000000-0005-0000-0000-00003C010000}"/>
    <cellStyle name="—_GS_Cash _FOXTELMODEL" xfId="1390" xr:uid="{00000000-0005-0000-0000-00003D010000}"/>
    <cellStyle name="—_GS_Cash _hutchss" xfId="73" xr:uid="{00000000-0005-0000-0000-00003E010000}"/>
    <cellStyle name="—_GS_Cash _li&amp;fungSS" xfId="74" xr:uid="{00000000-0005-0000-0000-00003F010000}"/>
    <cellStyle name="—_GS_Cash _MASTER" xfId="75" xr:uid="{00000000-0005-0000-0000-000040010000}"/>
    <cellStyle name="—_GS_Cash _Q Sheets" xfId="1391" xr:uid="{00000000-0005-0000-0000-000041010000}"/>
    <cellStyle name="—_GS_Cash _WHARFSS" xfId="76" xr:uid="{00000000-0005-0000-0000-000042010000}"/>
    <cellStyle name="—_GS_DCF" xfId="77" xr:uid="{00000000-0005-0000-0000-000043010000}"/>
    <cellStyle name="—_GS_DCF 2" xfId="1392" xr:uid="{00000000-0005-0000-0000-000044010000}"/>
    <cellStyle name="—_GS_DCF_Book7" xfId="78" xr:uid="{00000000-0005-0000-0000-000045010000}"/>
    <cellStyle name="—_GS_DCF_Book8" xfId="79" xr:uid="{00000000-0005-0000-0000-000046010000}"/>
    <cellStyle name="—_GS_DCF_CMJMODEL" xfId="1393" xr:uid="{00000000-0005-0000-0000-000047010000}"/>
    <cellStyle name="—_GS_DCF_EM_NZT" xfId="80" xr:uid="{00000000-0005-0000-0000-000048010000}"/>
    <cellStyle name="—_GS_DCF_EM-Optus" xfId="81" xr:uid="{00000000-0005-0000-0000-000049010000}"/>
    <cellStyle name="—_GS_DCF_FOXTELMODEL" xfId="1394" xr:uid="{00000000-0005-0000-0000-00004A010000}"/>
    <cellStyle name="—_GS_DCF_hutchss" xfId="82" xr:uid="{00000000-0005-0000-0000-00004B010000}"/>
    <cellStyle name="—_GS_DCF_li&amp;fungSS" xfId="83" xr:uid="{00000000-0005-0000-0000-00004C010000}"/>
    <cellStyle name="—_GS_DCF_MASTER" xfId="84" xr:uid="{00000000-0005-0000-0000-00004D010000}"/>
    <cellStyle name="—_GS_DCF_WHARFSS" xfId="85" xr:uid="{00000000-0005-0000-0000-00004E010000}"/>
    <cellStyle name="_GS_EBITDA_revenue_220103" xfId="1395" xr:uid="{00000000-0005-0000-0000-00004F010000}"/>
    <cellStyle name="—_GS_PNL" xfId="86" xr:uid="{00000000-0005-0000-0000-000050010000}"/>
    <cellStyle name="—_GS_PNL 2" xfId="1396" xr:uid="{00000000-0005-0000-0000-000051010000}"/>
    <cellStyle name="—_GS_PNL_Book7" xfId="87" xr:uid="{00000000-0005-0000-0000-000052010000}"/>
    <cellStyle name="—_GS_PNL_Book8" xfId="88" xr:uid="{00000000-0005-0000-0000-000053010000}"/>
    <cellStyle name="—_GS_PNL_CMJMODEL" xfId="1397" xr:uid="{00000000-0005-0000-0000-000054010000}"/>
    <cellStyle name="—_GS_PNL_EM_NZT" xfId="89" xr:uid="{00000000-0005-0000-0000-000055010000}"/>
    <cellStyle name="—_GS_PNL_EM-Optus" xfId="90" xr:uid="{00000000-0005-0000-0000-000056010000}"/>
    <cellStyle name="—_GS_PNL_FOXTELMODEL" xfId="1398" xr:uid="{00000000-0005-0000-0000-000057010000}"/>
    <cellStyle name="—_GS_PNL_hutchss" xfId="91" xr:uid="{00000000-0005-0000-0000-000058010000}"/>
    <cellStyle name="—_GS_PNL_li&amp;fungSS" xfId="92" xr:uid="{00000000-0005-0000-0000-000059010000}"/>
    <cellStyle name="—_GS_PNL_MASTER" xfId="93" xr:uid="{00000000-0005-0000-0000-00005A010000}"/>
    <cellStyle name="—_GS_PNL_WHARFSS" xfId="94" xr:uid="{00000000-0005-0000-0000-00005B010000}"/>
    <cellStyle name="_GSJBW 250506hub1" xfId="1399" xr:uid="{00000000-0005-0000-0000-00005C010000}"/>
    <cellStyle name="_GSJBW 250506hub2" xfId="1400" xr:uid="{00000000-0005-0000-0000-00005D010000}"/>
    <cellStyle name="_GSJBW 250506hub3" xfId="1401" xr:uid="{00000000-0005-0000-0000-00005E010000}"/>
    <cellStyle name="_Heading" xfId="464" xr:uid="{00000000-0005-0000-0000-00005F010000}"/>
    <cellStyle name="_Heading_prestemp" xfId="465" xr:uid="{00000000-0005-0000-0000-000060010000}"/>
    <cellStyle name="_Heading_Q" xfId="659" xr:uid="{00000000-0005-0000-0000-000061010000}"/>
    <cellStyle name="_Heading_q - new guidance" xfId="660" xr:uid="{00000000-0005-0000-0000-000062010000}"/>
    <cellStyle name="_Highlight" xfId="466" xr:uid="{00000000-0005-0000-0000-000063010000}"/>
    <cellStyle name="—_HKT_val_delete" xfId="95" xr:uid="{00000000-0005-0000-0000-000064010000}"/>
    <cellStyle name="—_HKT_val_delete_European Mktg - May99" xfId="96" xr:uid="{00000000-0005-0000-0000-000065010000}"/>
    <cellStyle name="_HSP - Model" xfId="97" xr:uid="{00000000-0005-0000-0000-000066010000}"/>
    <cellStyle name="_Hutchison 240604" xfId="98" xr:uid="{00000000-0005-0000-0000-000067010000}"/>
    <cellStyle name="—_hutchss" xfId="99" xr:uid="{00000000-0005-0000-0000-000068010000}"/>
    <cellStyle name="—_I&amp;O Report Tables" xfId="100" xr:uid="{00000000-0005-0000-0000-000069010000}"/>
    <cellStyle name="—_I&amp;O Report Tables 2" xfId="1402" xr:uid="{00000000-0005-0000-0000-00006A010000}"/>
    <cellStyle name="—_I&amp;O Report Tables_candicetables" xfId="101" xr:uid="{00000000-0005-0000-0000-00006B010000}"/>
    <cellStyle name="—_I&amp;O Report Tables_candicetables_European Mktg - May99" xfId="102" xr:uid="{00000000-0005-0000-0000-00006C010000}"/>
    <cellStyle name="—_I&amp;O Report Tables_CMJMODEL" xfId="1403" xr:uid="{00000000-0005-0000-0000-00006D010000}"/>
    <cellStyle name="—_I&amp;O Report Tables_European Mktg - May99" xfId="103" xr:uid="{00000000-0005-0000-0000-00006E010000}"/>
    <cellStyle name="—_I&amp;O Report Tables_FOXTELMODEL" xfId="1404" xr:uid="{00000000-0005-0000-0000-00006F010000}"/>
    <cellStyle name="—_I&amp;O Report Tables_hutchss" xfId="104" xr:uid="{00000000-0005-0000-0000-000070010000}"/>
    <cellStyle name="—_I&amp;O Report Tables_MASTER" xfId="105" xr:uid="{00000000-0005-0000-0000-000071010000}"/>
    <cellStyle name="—_I&amp;O Report Tables_PLDT report Tables" xfId="106" xr:uid="{00000000-0005-0000-0000-000072010000}"/>
    <cellStyle name="—_I&amp;O Report Tables_WHARFSS" xfId="107" xr:uid="{00000000-0005-0000-0000-000073010000}"/>
    <cellStyle name="_JFCP-MAYdba" xfId="108" xr:uid="{00000000-0005-0000-0000-000074010000}"/>
    <cellStyle name="—_Joanne_KT_Qtrly_PnL_Jan20_20031" xfId="1405" xr:uid="{00000000-0005-0000-0000-000075010000}"/>
    <cellStyle name="—_li&amp;fungSS" xfId="109" xr:uid="{00000000-0005-0000-0000-000076010000}"/>
    <cellStyle name="—_MASTER" xfId="110" xr:uid="{00000000-0005-0000-0000-000077010000}"/>
    <cellStyle name="_MAY - Model" xfId="111" xr:uid="{00000000-0005-0000-0000-000078010000}"/>
    <cellStyle name="_MIA - Model.xls Chart 1" xfId="112" xr:uid="{00000000-0005-0000-0000-000079010000}"/>
    <cellStyle name="_Multiple" xfId="113" xr:uid="{00000000-0005-0000-0000-00007A010000}"/>
    <cellStyle name="_Multiple_01 adj for merger plan" xfId="467" xr:uid="{00000000-0005-0000-0000-00007B010000}"/>
    <cellStyle name="_Multiple_Ability to Pay Analysis" xfId="468" xr:uid="{00000000-0005-0000-0000-00007C010000}"/>
    <cellStyle name="_Multiple_AFL" xfId="469" xr:uid="{00000000-0005-0000-0000-00007D010000}"/>
    <cellStyle name="_Multiple_AIZ" xfId="470" xr:uid="{00000000-0005-0000-0000-00007E010000}"/>
    <cellStyle name="_Multiple_AMP" xfId="471" xr:uid="{00000000-0005-0000-0000-00007F010000}"/>
    <cellStyle name="_Multiple_Balance Sheet" xfId="472" xr:uid="{00000000-0005-0000-0000-000080010000}"/>
    <cellStyle name="_Multiple_Book1" xfId="473" xr:uid="{00000000-0005-0000-0000-000081010000}"/>
    <cellStyle name="_Multiple_Book1_Book2" xfId="1406" xr:uid="{00000000-0005-0000-0000-000082010000}"/>
    <cellStyle name="_Multiple_Book1_Jazztel model 16DP3-Exhibits" xfId="1407" xr:uid="{00000000-0005-0000-0000-000083010000}"/>
    <cellStyle name="_Multiple_Book1_Jazztel model 18DP-exhibits" xfId="1408" xr:uid="{00000000-0005-0000-0000-000084010000}"/>
    <cellStyle name="_Multiple_Book1_Jazztel model 18DP-exhibits_KPNMobileMay01" xfId="1409" xr:uid="{00000000-0005-0000-0000-000085010000}"/>
    <cellStyle name="_Multiple_Book1_Jazztel model 18DP-exhibits_T_MOBIL2" xfId="1410" xr:uid="{00000000-0005-0000-0000-000086010000}"/>
    <cellStyle name="_Multiple_Book1_Jazztel model 18DP-exhibits_T_MOBIL2_Book2" xfId="1411" xr:uid="{00000000-0005-0000-0000-000087010000}"/>
    <cellStyle name="_Multiple_Book1_Jazztel model 18DP-exhibits_T_MOBIL2_TDC-2Aug2001_UPD" xfId="1412" xr:uid="{00000000-0005-0000-0000-000088010000}"/>
    <cellStyle name="_Multiple_Book1_Jazztel model 18DP-exhibits_T_MOBIL2_TDC-2Aug2001_UPD 2" xfId="1413" xr:uid="{00000000-0005-0000-0000-000089010000}"/>
    <cellStyle name="_Multiple_Book1_Jazztel1" xfId="1414" xr:uid="{00000000-0005-0000-0000-00008A010000}"/>
    <cellStyle name="_Multiple_Book1_T_MOBIL2" xfId="1415" xr:uid="{00000000-0005-0000-0000-00008B010000}"/>
    <cellStyle name="_Multiple_Book1_T_MOBIL2 2" xfId="1416" xr:uid="{00000000-0005-0000-0000-00008C010000}"/>
    <cellStyle name="_Multiple_Book1_TDC-2Aug2001_UPD" xfId="1417" xr:uid="{00000000-0005-0000-0000-00008D010000}"/>
    <cellStyle name="_Multiple_Book11" xfId="1418" xr:uid="{00000000-0005-0000-0000-00008E010000}"/>
    <cellStyle name="_Multiple_Book11_Book2" xfId="1419" xr:uid="{00000000-0005-0000-0000-00008F010000}"/>
    <cellStyle name="_Multiple_Book11_Jazztel model 16DP3-Exhibits" xfId="1420" xr:uid="{00000000-0005-0000-0000-000090010000}"/>
    <cellStyle name="_Multiple_Book11_Jazztel model 18DP-exhibits" xfId="1421" xr:uid="{00000000-0005-0000-0000-000091010000}"/>
    <cellStyle name="_Multiple_Book11_Jazztel model 18DP-exhibits_KPNMobileMay01" xfId="1422" xr:uid="{00000000-0005-0000-0000-000092010000}"/>
    <cellStyle name="_Multiple_Book11_Jazztel model 18DP-exhibits_T_MOBIL2" xfId="1423" xr:uid="{00000000-0005-0000-0000-000093010000}"/>
    <cellStyle name="_Multiple_Book11_Jazztel model 18DP-exhibits_T_MOBIL2_Book2" xfId="1424" xr:uid="{00000000-0005-0000-0000-000094010000}"/>
    <cellStyle name="_Multiple_Book11_Jazztel model 18DP-exhibits_T_MOBIL2_TDC-2Aug2001_UPD" xfId="1425" xr:uid="{00000000-0005-0000-0000-000095010000}"/>
    <cellStyle name="_Multiple_Book11_Jazztel model 18DP-exhibits_T_MOBIL2_TDC-2Aug2001_UPD 2" xfId="1426" xr:uid="{00000000-0005-0000-0000-000096010000}"/>
    <cellStyle name="_Multiple_Book11_Jazztel1" xfId="1427" xr:uid="{00000000-0005-0000-0000-000097010000}"/>
    <cellStyle name="_Multiple_Book11_T_MOBIL2" xfId="1428" xr:uid="{00000000-0005-0000-0000-000098010000}"/>
    <cellStyle name="_Multiple_Book11_T_MOBIL2 2" xfId="1429" xr:uid="{00000000-0005-0000-0000-000099010000}"/>
    <cellStyle name="_Multiple_Book11_TDC-2Aug2001_UPD" xfId="1430" xr:uid="{00000000-0005-0000-0000-00009A010000}"/>
    <cellStyle name="_Multiple_Book12" xfId="1431" xr:uid="{00000000-0005-0000-0000-00009B010000}"/>
    <cellStyle name="_Multiple_Book12_Book2" xfId="1432" xr:uid="{00000000-0005-0000-0000-00009C010000}"/>
    <cellStyle name="_Multiple_Book12_Jazztel model 16DP3-Exhibits" xfId="1433" xr:uid="{00000000-0005-0000-0000-00009D010000}"/>
    <cellStyle name="_Multiple_Book12_Jazztel model 18DP-exhibits" xfId="1434" xr:uid="{00000000-0005-0000-0000-00009E010000}"/>
    <cellStyle name="_Multiple_Book12_Jazztel model 18DP-exhibits_KPNMobileMay01" xfId="1435" xr:uid="{00000000-0005-0000-0000-00009F010000}"/>
    <cellStyle name="_Multiple_Book12_Jazztel model 18DP-exhibits_T_MOBIL2" xfId="1436" xr:uid="{00000000-0005-0000-0000-0000A0010000}"/>
    <cellStyle name="_Multiple_Book12_Jazztel model 18DP-exhibits_T_MOBIL2_Book2" xfId="1437" xr:uid="{00000000-0005-0000-0000-0000A1010000}"/>
    <cellStyle name="_Multiple_Book12_Jazztel model 18DP-exhibits_T_MOBIL2_TDC-2Aug2001_UPD" xfId="1438" xr:uid="{00000000-0005-0000-0000-0000A2010000}"/>
    <cellStyle name="_Multiple_Book12_Jazztel model 18DP-exhibits_T_MOBIL2_TDC-2Aug2001_UPD 2" xfId="1439" xr:uid="{00000000-0005-0000-0000-0000A3010000}"/>
    <cellStyle name="_Multiple_Book12_Jazztel1" xfId="1440" xr:uid="{00000000-0005-0000-0000-0000A4010000}"/>
    <cellStyle name="_Multiple_Book12_T_MOBIL2" xfId="1441" xr:uid="{00000000-0005-0000-0000-0000A5010000}"/>
    <cellStyle name="_Multiple_Book12_T_MOBIL2 2" xfId="1442" xr:uid="{00000000-0005-0000-0000-0000A6010000}"/>
    <cellStyle name="_Multiple_Book12_TDC-2Aug2001_UPD" xfId="1443" xr:uid="{00000000-0005-0000-0000-0000A7010000}"/>
    <cellStyle name="_Multiple_Book29" xfId="474" xr:uid="{00000000-0005-0000-0000-0000A8010000}"/>
    <cellStyle name="_Multiple_Book3" xfId="475" xr:uid="{00000000-0005-0000-0000-0000A9010000}"/>
    <cellStyle name="_Multiple_Book3_1" xfId="476" xr:uid="{00000000-0005-0000-0000-0000AA010000}"/>
    <cellStyle name="_Multiple_CMJMODEL" xfId="1444" xr:uid="{00000000-0005-0000-0000-0000AB010000}"/>
    <cellStyle name="_Multiple_CNO" xfId="477" xr:uid="{00000000-0005-0000-0000-0000AC010000}"/>
    <cellStyle name="_Multiple_DCF Alexander Forbes" xfId="478" xr:uid="{00000000-0005-0000-0000-0000AD010000}"/>
    <cellStyle name="_Multiple_DCF Summary pages" xfId="1445" xr:uid="{00000000-0005-0000-0000-0000AE010000}"/>
    <cellStyle name="_Multiple_DCF Summary pages_Book2" xfId="1446" xr:uid="{00000000-0005-0000-0000-0000AF010000}"/>
    <cellStyle name="_Multiple_DCF Summary pages_Jazztel model 16DP3-Exhibits" xfId="1447" xr:uid="{00000000-0005-0000-0000-0000B0010000}"/>
    <cellStyle name="_Multiple_DCF Summary pages_Jazztel model 18DP-exhibits" xfId="1448" xr:uid="{00000000-0005-0000-0000-0000B1010000}"/>
    <cellStyle name="_Multiple_DCF Summary pages_Jazztel model 18DP-exhibits_KPNMobileMay01" xfId="1449" xr:uid="{00000000-0005-0000-0000-0000B2010000}"/>
    <cellStyle name="_Multiple_DCF Summary pages_Jazztel model 18DP-exhibits_T_MOBIL2" xfId="1450" xr:uid="{00000000-0005-0000-0000-0000B3010000}"/>
    <cellStyle name="_Multiple_DCF Summary pages_Jazztel model 18DP-exhibits_T_MOBIL2_Book2" xfId="1451" xr:uid="{00000000-0005-0000-0000-0000B4010000}"/>
    <cellStyle name="_Multiple_DCF Summary pages_Jazztel model 18DP-exhibits_T_MOBIL2_TDC-2Aug2001_UPD" xfId="1452" xr:uid="{00000000-0005-0000-0000-0000B5010000}"/>
    <cellStyle name="_Multiple_DCF Summary pages_Jazztel model 18DP-exhibits_T_MOBIL2_TDC-2Aug2001_UPD 2" xfId="1453" xr:uid="{00000000-0005-0000-0000-0000B6010000}"/>
    <cellStyle name="_Multiple_DCF Summary pages_Jazztel1" xfId="1454" xr:uid="{00000000-0005-0000-0000-0000B7010000}"/>
    <cellStyle name="_Multiple_DCF Summary pages_T_MOBIL2" xfId="1455" xr:uid="{00000000-0005-0000-0000-0000B8010000}"/>
    <cellStyle name="_Multiple_DCF Summary pages_T_MOBIL2 2" xfId="1456" xr:uid="{00000000-0005-0000-0000-0000B9010000}"/>
    <cellStyle name="_Multiple_DCF Summary pages_TDC-2Aug2001_UPD" xfId="1457" xr:uid="{00000000-0005-0000-0000-0000BA010000}"/>
    <cellStyle name="_Multiple_fmbi counties" xfId="479" xr:uid="{00000000-0005-0000-0000-0000BB010000}"/>
    <cellStyle name="_Multiple_FMBI MBHI Graphs" xfId="480" xr:uid="{00000000-0005-0000-0000-0000BC010000}"/>
    <cellStyle name="_Multiple_FMBI MBHI Graphs 07102001" xfId="481" xr:uid="{00000000-0005-0000-0000-0000BD010000}"/>
    <cellStyle name="_Multiple_FMBI MBHI Graphs_7601" xfId="482" xr:uid="{00000000-0005-0000-0000-0000BE010000}"/>
    <cellStyle name="_Multiple_FOXTELMODEL" xfId="1458" xr:uid="{00000000-0005-0000-0000-0000BF010000}"/>
    <cellStyle name="_Multiple_GNW" xfId="483" xr:uid="{00000000-0005-0000-0000-0000C0010000}"/>
    <cellStyle name="_Multiple_HWLaug2000" xfId="114" xr:uid="{00000000-0005-0000-0000-0000C1010000}"/>
    <cellStyle name="_Multiple_HWLaug2000 2" xfId="1459" xr:uid="{00000000-0005-0000-0000-0000C2010000}"/>
    <cellStyle name="_Multiple_Insurance Brokerage CSC_1Q2002" xfId="484" xr:uid="{00000000-0005-0000-0000-0000C3010000}"/>
    <cellStyle name="_Multiple_Jazztel model 15-exhibits" xfId="1460" xr:uid="{00000000-0005-0000-0000-0000C4010000}"/>
    <cellStyle name="_Multiple_Jazztel model 15-exhibits bis" xfId="1461" xr:uid="{00000000-0005-0000-0000-0000C5010000}"/>
    <cellStyle name="_Multiple_Jazztel model 15-exhibits_Book2" xfId="1462" xr:uid="{00000000-0005-0000-0000-0000C6010000}"/>
    <cellStyle name="_Multiple_Jazztel model 15-exhibits_Jazztel model 16DP3-Exhibits" xfId="1463" xr:uid="{00000000-0005-0000-0000-0000C7010000}"/>
    <cellStyle name="_Multiple_Jazztel model 15-exhibits_Jazztel model 18DP-exhibits" xfId="1464" xr:uid="{00000000-0005-0000-0000-0000C8010000}"/>
    <cellStyle name="_Multiple_Jazztel model 15-exhibits_Jazztel model 18DP-exhibits_KPNMobileMay01" xfId="1465" xr:uid="{00000000-0005-0000-0000-0000C9010000}"/>
    <cellStyle name="_Multiple_Jazztel model 15-exhibits_Jazztel model 18DP-exhibits_T_MOBIL2" xfId="1466" xr:uid="{00000000-0005-0000-0000-0000CA010000}"/>
    <cellStyle name="_Multiple_Jazztel model 15-exhibits_Jazztel model 18DP-exhibits_T_MOBIL2_Book2" xfId="1467" xr:uid="{00000000-0005-0000-0000-0000CB010000}"/>
    <cellStyle name="_Multiple_Jazztel model 15-exhibits_Jazztel model 18DP-exhibits_T_MOBIL2_TDC-2Aug2001_UPD" xfId="1468" xr:uid="{00000000-0005-0000-0000-0000CC010000}"/>
    <cellStyle name="_Multiple_Jazztel model 15-exhibits_Jazztel model 18DP-exhibits_T_MOBIL2_TDC-2Aug2001_UPD 2" xfId="1469" xr:uid="{00000000-0005-0000-0000-0000CD010000}"/>
    <cellStyle name="_Multiple_Jazztel model 15-exhibits_Jazztel1" xfId="1470" xr:uid="{00000000-0005-0000-0000-0000CE010000}"/>
    <cellStyle name="_Multiple_Jazztel model 15-exhibits_T_MOBIL2" xfId="1471" xr:uid="{00000000-0005-0000-0000-0000CF010000}"/>
    <cellStyle name="_Multiple_Jazztel model 15-exhibits_T_MOBIL2 2" xfId="1472" xr:uid="{00000000-0005-0000-0000-0000D0010000}"/>
    <cellStyle name="_Multiple_Jazztel model 15-exhibits_TDC-2Aug2001_UPD" xfId="1473" xr:uid="{00000000-0005-0000-0000-0000D1010000}"/>
    <cellStyle name="_Multiple_Jazztel model 15-exhibits-Friso2" xfId="1474" xr:uid="{00000000-0005-0000-0000-0000D2010000}"/>
    <cellStyle name="_Multiple_Jazztel model 15-exhibits-Friso2_Book2" xfId="1475" xr:uid="{00000000-0005-0000-0000-0000D3010000}"/>
    <cellStyle name="_Multiple_Jazztel model 15-exhibits-Friso2_Jazztel model 16DP3-Exhibits" xfId="1476" xr:uid="{00000000-0005-0000-0000-0000D4010000}"/>
    <cellStyle name="_Multiple_Jazztel model 15-exhibits-Friso2_Jazztel model 18DP-exhibits" xfId="1477" xr:uid="{00000000-0005-0000-0000-0000D5010000}"/>
    <cellStyle name="_Multiple_Jazztel model 15-exhibits-Friso2_Jazztel model 18DP-exhibits_KPNMobileMay01" xfId="1478" xr:uid="{00000000-0005-0000-0000-0000D6010000}"/>
    <cellStyle name="_Multiple_Jazztel model 15-exhibits-Friso2_Jazztel model 18DP-exhibits_T_MOBIL2" xfId="1479" xr:uid="{00000000-0005-0000-0000-0000D7010000}"/>
    <cellStyle name="_Multiple_Jazztel model 15-exhibits-Friso2_Jazztel model 18DP-exhibits_T_MOBIL2_Book2" xfId="1480" xr:uid="{00000000-0005-0000-0000-0000D8010000}"/>
    <cellStyle name="_Multiple_Jazztel model 15-exhibits-Friso2_Jazztel model 18DP-exhibits_T_MOBIL2_TDC-2Aug2001_UPD" xfId="1481" xr:uid="{00000000-0005-0000-0000-0000D9010000}"/>
    <cellStyle name="_Multiple_Jazztel model 15-exhibits-Friso2_Jazztel model 18DP-exhibits_T_MOBIL2_TDC-2Aug2001_UPD 2" xfId="1482" xr:uid="{00000000-0005-0000-0000-0000DA010000}"/>
    <cellStyle name="_Multiple_Jazztel model 15-exhibits-Friso2_Jazztel1" xfId="1483" xr:uid="{00000000-0005-0000-0000-0000DB010000}"/>
    <cellStyle name="_Multiple_Jazztel model 15-exhibits-Friso2_T_MOBIL2" xfId="1484" xr:uid="{00000000-0005-0000-0000-0000DC010000}"/>
    <cellStyle name="_Multiple_Jazztel model 15-exhibits-Friso2_T_MOBIL2 2" xfId="1485" xr:uid="{00000000-0005-0000-0000-0000DD010000}"/>
    <cellStyle name="_Multiple_Jazztel model 15-exhibits-Friso2_TDC-2Aug2001_UPD" xfId="1486" xr:uid="{00000000-0005-0000-0000-0000DE010000}"/>
    <cellStyle name="_Multiple_Jazztel model 16DP2-Exhibits" xfId="1487" xr:uid="{00000000-0005-0000-0000-0000DF010000}"/>
    <cellStyle name="_Multiple_Jazztel model 16DP2-Exhibits_T_MOBIL2" xfId="1488" xr:uid="{00000000-0005-0000-0000-0000E0010000}"/>
    <cellStyle name="_Multiple_Jazztel model 16DP3-Exhibits" xfId="1489" xr:uid="{00000000-0005-0000-0000-0000E1010000}"/>
    <cellStyle name="_Multiple_Jazztel model 16DP3-Exhibits_T_MOBIL2" xfId="1490" xr:uid="{00000000-0005-0000-0000-0000E2010000}"/>
    <cellStyle name="_Multiple_JP" xfId="485" xr:uid="{00000000-0005-0000-0000-0000E3010000}"/>
    <cellStyle name="_Multiple_LNC" xfId="486" xr:uid="{00000000-0005-0000-0000-0000E4010000}"/>
    <cellStyle name="_Multiple_MET" xfId="487" xr:uid="{00000000-0005-0000-0000-0000E5010000}"/>
    <cellStyle name="_Multiple_MET04" xfId="488" xr:uid="{00000000-0005-0000-0000-0000E6010000}"/>
    <cellStyle name="_Multiple_NFS" xfId="489" xr:uid="{00000000-0005-0000-0000-0000E7010000}"/>
    <cellStyle name="_Multiple_Overview3" xfId="490" xr:uid="{00000000-0005-0000-0000-0000E8010000}"/>
    <cellStyle name="_Multiple_phil data" xfId="491" xr:uid="{00000000-0005-0000-0000-0000E9010000}"/>
    <cellStyle name="_Multiple_Price Performance Charts" xfId="492" xr:uid="{00000000-0005-0000-0000-0000EA010000}"/>
    <cellStyle name="_Multiple_PRU" xfId="493" xr:uid="{00000000-0005-0000-0000-0000EB010000}"/>
    <cellStyle name="_Multiple_PRU04" xfId="494" xr:uid="{00000000-0005-0000-0000-0000EC010000}"/>
    <cellStyle name="_Multiple_RiskReward" xfId="495" xr:uid="{00000000-0005-0000-0000-0000ED010000}"/>
    <cellStyle name="_Multiple_SFG" xfId="496" xr:uid="{00000000-0005-0000-0000-0000EE010000}"/>
    <cellStyle name="_Multiple_Sheet1" xfId="497" xr:uid="{00000000-0005-0000-0000-0000EF010000}"/>
    <cellStyle name="_Multiple_Stock-QTR1 FDS" xfId="498" xr:uid="{00000000-0005-0000-0000-0000F0010000}"/>
    <cellStyle name="_Multiple_T_MOBIL2" xfId="1491" xr:uid="{00000000-0005-0000-0000-0000F1010000}"/>
    <cellStyle name="_Multiple_TMK" xfId="499" xr:uid="{00000000-0005-0000-0000-0000F2010000}"/>
    <cellStyle name="_Multiple_Updated Valuation Changes" xfId="500" xr:uid="{00000000-0005-0000-0000-0000F3010000}"/>
    <cellStyle name="_Multiple_Valuation Graphs" xfId="501" xr:uid="{00000000-0005-0000-0000-0000F4010000}"/>
    <cellStyle name="_Multiple_xratio - historical mkt val" xfId="502" xr:uid="{00000000-0005-0000-0000-0000F5010000}"/>
    <cellStyle name="_MultipleSpace" xfId="115" xr:uid="{00000000-0005-0000-0000-0000F6010000}"/>
    <cellStyle name="_MultipleSpace_01 adj for merger plan" xfId="503" xr:uid="{00000000-0005-0000-0000-0000F7010000}"/>
    <cellStyle name="_MultipleSpace_Ability to Pay Analysis" xfId="504" xr:uid="{00000000-0005-0000-0000-0000F8010000}"/>
    <cellStyle name="_MultipleSpace_AFL" xfId="505" xr:uid="{00000000-0005-0000-0000-0000F9010000}"/>
    <cellStyle name="_MultipleSpace_AIZ" xfId="506" xr:uid="{00000000-0005-0000-0000-0000FA010000}"/>
    <cellStyle name="_MultipleSpace_AMP" xfId="507" xr:uid="{00000000-0005-0000-0000-0000FB010000}"/>
    <cellStyle name="_MultipleSpace_Balance Sheet" xfId="508" xr:uid="{00000000-0005-0000-0000-0000FC010000}"/>
    <cellStyle name="_MultipleSpace_Book1" xfId="509" xr:uid="{00000000-0005-0000-0000-0000FD010000}"/>
    <cellStyle name="_MultipleSpace_Book1_Jazztel" xfId="1492" xr:uid="{00000000-0005-0000-0000-0000FE010000}"/>
    <cellStyle name="_MultipleSpace_Book1_Jazztel model 16DP3-Exhibits" xfId="1493" xr:uid="{00000000-0005-0000-0000-0000FF010000}"/>
    <cellStyle name="_MultipleSpace_Book1_Jazztel model 18DP-exhibits" xfId="1494" xr:uid="{00000000-0005-0000-0000-000000020000}"/>
    <cellStyle name="_MultipleSpace_Book1_Jazztel model 18DP-exhibits_KPNMobileMay01" xfId="1495" xr:uid="{00000000-0005-0000-0000-000001020000}"/>
    <cellStyle name="_MultipleSpace_Book1_Jazztel model 18DP-exhibits_T_MOBIL2" xfId="1496" xr:uid="{00000000-0005-0000-0000-000002020000}"/>
    <cellStyle name="_MultipleSpace_Book1_Jazztel model 18DP-exhibits_T_MOBIL2_Book2" xfId="1497" xr:uid="{00000000-0005-0000-0000-000003020000}"/>
    <cellStyle name="_MultipleSpace_Book1_Jazztel model 18DP-exhibits_T_MOBIL2_Book2 2" xfId="1498" xr:uid="{00000000-0005-0000-0000-000004020000}"/>
    <cellStyle name="_MultipleSpace_Book1_Jazztel model 18DP-exhibits_T_MOBIL2_TDC-2Aug2001_UPD" xfId="1499" xr:uid="{00000000-0005-0000-0000-000005020000}"/>
    <cellStyle name="_MultipleSpace_Book1_Jazztel1" xfId="1500" xr:uid="{00000000-0005-0000-0000-000006020000}"/>
    <cellStyle name="_MultipleSpace_Book1_Jazztel1_Book2" xfId="1501" xr:uid="{00000000-0005-0000-0000-000007020000}"/>
    <cellStyle name="_MultipleSpace_Book1_Jazztel1_TDC-2Aug2001_UPD" xfId="1502" xr:uid="{00000000-0005-0000-0000-000008020000}"/>
    <cellStyle name="_MultipleSpace_Book11" xfId="1503" xr:uid="{00000000-0005-0000-0000-000009020000}"/>
    <cellStyle name="_MultipleSpace_Book11_Jazztel" xfId="1504" xr:uid="{00000000-0005-0000-0000-00000A020000}"/>
    <cellStyle name="_MultipleSpace_Book11_Jazztel model 16DP3-Exhibits" xfId="1505" xr:uid="{00000000-0005-0000-0000-00000B020000}"/>
    <cellStyle name="_MultipleSpace_Book11_Jazztel model 18DP-exhibits" xfId="1506" xr:uid="{00000000-0005-0000-0000-00000C020000}"/>
    <cellStyle name="_MultipleSpace_Book11_Jazztel model 18DP-exhibits_KPNMobileMay01" xfId="1507" xr:uid="{00000000-0005-0000-0000-00000D020000}"/>
    <cellStyle name="_MultipleSpace_Book11_Jazztel model 18DP-exhibits_T_MOBIL2" xfId="1508" xr:uid="{00000000-0005-0000-0000-00000E020000}"/>
    <cellStyle name="_MultipleSpace_Book11_Jazztel model 18DP-exhibits_T_MOBIL2_Book2" xfId="1509" xr:uid="{00000000-0005-0000-0000-00000F020000}"/>
    <cellStyle name="_MultipleSpace_Book11_Jazztel model 18DP-exhibits_T_MOBIL2_Book2 2" xfId="1510" xr:uid="{00000000-0005-0000-0000-000010020000}"/>
    <cellStyle name="_MultipleSpace_Book11_Jazztel model 18DP-exhibits_T_MOBIL2_TDC-2Aug2001_UPD" xfId="1511" xr:uid="{00000000-0005-0000-0000-000011020000}"/>
    <cellStyle name="_MultipleSpace_Book11_Jazztel1" xfId="1512" xr:uid="{00000000-0005-0000-0000-000012020000}"/>
    <cellStyle name="_MultipleSpace_Book11_Jazztel1_Book2" xfId="1513" xr:uid="{00000000-0005-0000-0000-000013020000}"/>
    <cellStyle name="_MultipleSpace_Book11_Jazztel1_TDC-2Aug2001_UPD" xfId="1514" xr:uid="{00000000-0005-0000-0000-000014020000}"/>
    <cellStyle name="_MultipleSpace_Book12" xfId="1515" xr:uid="{00000000-0005-0000-0000-000015020000}"/>
    <cellStyle name="_MultipleSpace_Book12_Jazztel" xfId="1516" xr:uid="{00000000-0005-0000-0000-000016020000}"/>
    <cellStyle name="_MultipleSpace_Book12_Jazztel model 16DP3-Exhibits" xfId="1517" xr:uid="{00000000-0005-0000-0000-000017020000}"/>
    <cellStyle name="_MultipleSpace_Book12_Jazztel model 18DP-exhibits" xfId="1518" xr:uid="{00000000-0005-0000-0000-000018020000}"/>
    <cellStyle name="_MultipleSpace_Book12_Jazztel model 18DP-exhibits_KPNMobileMay01" xfId="1519" xr:uid="{00000000-0005-0000-0000-000019020000}"/>
    <cellStyle name="_MultipleSpace_Book12_Jazztel model 18DP-exhibits_T_MOBIL2" xfId="1520" xr:uid="{00000000-0005-0000-0000-00001A020000}"/>
    <cellStyle name="_MultipleSpace_Book12_Jazztel model 18DP-exhibits_T_MOBIL2_Book2" xfId="1521" xr:uid="{00000000-0005-0000-0000-00001B020000}"/>
    <cellStyle name="_MultipleSpace_Book12_Jazztel model 18DP-exhibits_T_MOBIL2_Book2 2" xfId="1522" xr:uid="{00000000-0005-0000-0000-00001C020000}"/>
    <cellStyle name="_MultipleSpace_Book12_Jazztel model 18DP-exhibits_T_MOBIL2_TDC-2Aug2001_UPD" xfId="1523" xr:uid="{00000000-0005-0000-0000-00001D020000}"/>
    <cellStyle name="_MultipleSpace_Book12_Jazztel1" xfId="1524" xr:uid="{00000000-0005-0000-0000-00001E020000}"/>
    <cellStyle name="_MultipleSpace_Book12_Jazztel1_Book2" xfId="1525" xr:uid="{00000000-0005-0000-0000-00001F020000}"/>
    <cellStyle name="_MultipleSpace_Book12_Jazztel1_TDC-2Aug2001_UPD" xfId="1526" xr:uid="{00000000-0005-0000-0000-000020020000}"/>
    <cellStyle name="_MultipleSpace_Book29" xfId="510" xr:uid="{00000000-0005-0000-0000-000021020000}"/>
    <cellStyle name="_MultipleSpace_Book3" xfId="511" xr:uid="{00000000-0005-0000-0000-000022020000}"/>
    <cellStyle name="_MultipleSpace_Book3_1" xfId="512" xr:uid="{00000000-0005-0000-0000-000023020000}"/>
    <cellStyle name="_MultipleSpace_CMJMODEL" xfId="1527" xr:uid="{00000000-0005-0000-0000-000024020000}"/>
    <cellStyle name="_MultipleSpace_CNO" xfId="513" xr:uid="{00000000-0005-0000-0000-000025020000}"/>
    <cellStyle name="_MultipleSpace_DCF Alexander Forbes" xfId="514" xr:uid="{00000000-0005-0000-0000-000026020000}"/>
    <cellStyle name="_MultipleSpace_DCF Summary pages" xfId="1528" xr:uid="{00000000-0005-0000-0000-000027020000}"/>
    <cellStyle name="_MultipleSpace_DCF Summary pages_Jazztel" xfId="1529" xr:uid="{00000000-0005-0000-0000-000028020000}"/>
    <cellStyle name="_MultipleSpace_DCF Summary pages_Jazztel model 16DP3-Exhibits" xfId="1530" xr:uid="{00000000-0005-0000-0000-000029020000}"/>
    <cellStyle name="_MultipleSpace_DCF Summary pages_Jazztel model 18DP-exhibits" xfId="1531" xr:uid="{00000000-0005-0000-0000-00002A020000}"/>
    <cellStyle name="_MultipleSpace_DCF Summary pages_Jazztel model 18DP-exhibits_KPNMobileMay01" xfId="1532" xr:uid="{00000000-0005-0000-0000-00002B020000}"/>
    <cellStyle name="_MultipleSpace_DCF Summary pages_Jazztel model 18DP-exhibits_T_MOBIL2" xfId="1533" xr:uid="{00000000-0005-0000-0000-00002C020000}"/>
    <cellStyle name="_MultipleSpace_DCF Summary pages_Jazztel model 18DP-exhibits_T_MOBIL2_Book2" xfId="1534" xr:uid="{00000000-0005-0000-0000-00002D020000}"/>
    <cellStyle name="_MultipleSpace_DCF Summary pages_Jazztel model 18DP-exhibits_T_MOBIL2_Book2 2" xfId="1535" xr:uid="{00000000-0005-0000-0000-00002E020000}"/>
    <cellStyle name="_MultipleSpace_DCF Summary pages_Jazztel model 18DP-exhibits_T_MOBIL2_TDC-2Aug2001_UPD" xfId="1536" xr:uid="{00000000-0005-0000-0000-00002F020000}"/>
    <cellStyle name="_MultipleSpace_DCF Summary pages_Jazztel1" xfId="1537" xr:uid="{00000000-0005-0000-0000-000030020000}"/>
    <cellStyle name="_MultipleSpace_DCF Summary pages_Jazztel1_Book2" xfId="1538" xr:uid="{00000000-0005-0000-0000-000031020000}"/>
    <cellStyle name="_MultipleSpace_DCF Summary pages_Jazztel1_TDC-2Aug2001_UPD" xfId="1539" xr:uid="{00000000-0005-0000-0000-000032020000}"/>
    <cellStyle name="_MultipleSpace_fmbi counties" xfId="515" xr:uid="{00000000-0005-0000-0000-000033020000}"/>
    <cellStyle name="_MultipleSpace_FMBI MBHI Graphs" xfId="516" xr:uid="{00000000-0005-0000-0000-000034020000}"/>
    <cellStyle name="_MultipleSpace_FMBI MBHI Graphs 07102001" xfId="517" xr:uid="{00000000-0005-0000-0000-000035020000}"/>
    <cellStyle name="_MultipleSpace_FMBI MBHI Graphs_7601" xfId="518" xr:uid="{00000000-0005-0000-0000-000036020000}"/>
    <cellStyle name="_MultipleSpace_FOXTELMODEL" xfId="1540" xr:uid="{00000000-0005-0000-0000-000037020000}"/>
    <cellStyle name="_MultipleSpace_GNW" xfId="519" xr:uid="{00000000-0005-0000-0000-000038020000}"/>
    <cellStyle name="_MultipleSpace_HWLaug2000" xfId="116" xr:uid="{00000000-0005-0000-0000-000039020000}"/>
    <cellStyle name="_MultipleSpace_HWLaug2000 2" xfId="1541" xr:uid="{00000000-0005-0000-0000-00003A020000}"/>
    <cellStyle name="_MultipleSpace_Insurance Brokerage CSC_1Q2002" xfId="520" xr:uid="{00000000-0005-0000-0000-00003B020000}"/>
    <cellStyle name="_MultipleSpace_Jazztel model 15-exhibits" xfId="1542" xr:uid="{00000000-0005-0000-0000-00003C020000}"/>
    <cellStyle name="_MultipleSpace_Jazztel model 15-exhibits bis" xfId="1543" xr:uid="{00000000-0005-0000-0000-00003D020000}"/>
    <cellStyle name="_MultipleSpace_Jazztel model 15-exhibits_Jazztel" xfId="1544" xr:uid="{00000000-0005-0000-0000-00003E020000}"/>
    <cellStyle name="_MultipleSpace_Jazztel model 15-exhibits_Jazztel model 16DP3-Exhibits" xfId="1545" xr:uid="{00000000-0005-0000-0000-00003F020000}"/>
    <cellStyle name="_MultipleSpace_Jazztel model 15-exhibits_Jazztel model 18DP-exhibits" xfId="1546" xr:uid="{00000000-0005-0000-0000-000040020000}"/>
    <cellStyle name="_MultipleSpace_Jazztel model 15-exhibits_Jazztel model 18DP-exhibits_KPNMobileMay01" xfId="1547" xr:uid="{00000000-0005-0000-0000-000041020000}"/>
    <cellStyle name="_MultipleSpace_Jazztel model 15-exhibits_Jazztel model 18DP-exhibits_T_MOBIL2" xfId="1548" xr:uid="{00000000-0005-0000-0000-000042020000}"/>
    <cellStyle name="_MultipleSpace_Jazztel model 15-exhibits_Jazztel model 18DP-exhibits_T_MOBIL2_Book2" xfId="1549" xr:uid="{00000000-0005-0000-0000-000043020000}"/>
    <cellStyle name="_MultipleSpace_Jazztel model 15-exhibits_Jazztel model 18DP-exhibits_T_MOBIL2_Book2 2" xfId="1550" xr:uid="{00000000-0005-0000-0000-000044020000}"/>
    <cellStyle name="_MultipleSpace_Jazztel model 15-exhibits_Jazztel model 18DP-exhibits_T_MOBIL2_TDC-2Aug2001_UPD" xfId="1551" xr:uid="{00000000-0005-0000-0000-000045020000}"/>
    <cellStyle name="_MultipleSpace_Jazztel model 15-exhibits_Jazztel1" xfId="1552" xr:uid="{00000000-0005-0000-0000-000046020000}"/>
    <cellStyle name="_MultipleSpace_Jazztel model 15-exhibits_Jazztel1_Book2" xfId="1553" xr:uid="{00000000-0005-0000-0000-000047020000}"/>
    <cellStyle name="_MultipleSpace_Jazztel model 15-exhibits_Jazztel1_TDC-2Aug2001_UPD" xfId="1554" xr:uid="{00000000-0005-0000-0000-000048020000}"/>
    <cellStyle name="_MultipleSpace_Jazztel model 15-exhibits-Friso2" xfId="1555" xr:uid="{00000000-0005-0000-0000-000049020000}"/>
    <cellStyle name="_MultipleSpace_Jazztel model 15-exhibits-Friso2_Jazztel" xfId="1556" xr:uid="{00000000-0005-0000-0000-00004A020000}"/>
    <cellStyle name="_MultipleSpace_Jazztel model 15-exhibits-Friso2_Jazztel model 16DP3-Exhibits" xfId="1557" xr:uid="{00000000-0005-0000-0000-00004B020000}"/>
    <cellStyle name="_MultipleSpace_Jazztel model 15-exhibits-Friso2_Jazztel model 18DP-exhibits" xfId="1558" xr:uid="{00000000-0005-0000-0000-00004C020000}"/>
    <cellStyle name="_MultipleSpace_Jazztel model 15-exhibits-Friso2_Jazztel model 18DP-exhibits_KPNMobileMay01" xfId="1559" xr:uid="{00000000-0005-0000-0000-00004D020000}"/>
    <cellStyle name="_MultipleSpace_Jazztel model 15-exhibits-Friso2_Jazztel model 18DP-exhibits_T_MOBIL2" xfId="1560" xr:uid="{00000000-0005-0000-0000-00004E020000}"/>
    <cellStyle name="_MultipleSpace_Jazztel model 15-exhibits-Friso2_Jazztel model 18DP-exhibits_T_MOBIL2_Book2" xfId="1561" xr:uid="{00000000-0005-0000-0000-00004F020000}"/>
    <cellStyle name="_MultipleSpace_Jazztel model 15-exhibits-Friso2_Jazztel model 18DP-exhibits_T_MOBIL2_Book2 2" xfId="1562" xr:uid="{00000000-0005-0000-0000-000050020000}"/>
    <cellStyle name="_MultipleSpace_Jazztel model 15-exhibits-Friso2_Jazztel model 18DP-exhibits_T_MOBIL2_TDC-2Aug2001_UPD" xfId="1563" xr:uid="{00000000-0005-0000-0000-000051020000}"/>
    <cellStyle name="_MultipleSpace_Jazztel model 15-exhibits-Friso2_Jazztel1" xfId="1564" xr:uid="{00000000-0005-0000-0000-000052020000}"/>
    <cellStyle name="_MultipleSpace_Jazztel model 15-exhibits-Friso2_Jazztel1_Book2" xfId="1565" xr:uid="{00000000-0005-0000-0000-000053020000}"/>
    <cellStyle name="_MultipleSpace_Jazztel model 15-exhibits-Friso2_Jazztel1_TDC-2Aug2001_UPD" xfId="1566" xr:uid="{00000000-0005-0000-0000-000054020000}"/>
    <cellStyle name="_MultipleSpace_Jazztel model 16DP2-Exhibits" xfId="1567" xr:uid="{00000000-0005-0000-0000-000055020000}"/>
    <cellStyle name="_MultipleSpace_Jazztel model 16DP3-Exhibits" xfId="1568" xr:uid="{00000000-0005-0000-0000-000056020000}"/>
    <cellStyle name="_MultipleSpace_JP" xfId="521" xr:uid="{00000000-0005-0000-0000-000057020000}"/>
    <cellStyle name="_MultipleSpace_LNC" xfId="522" xr:uid="{00000000-0005-0000-0000-000058020000}"/>
    <cellStyle name="_MultipleSpace_MET" xfId="523" xr:uid="{00000000-0005-0000-0000-000059020000}"/>
    <cellStyle name="_MultipleSpace_MET04" xfId="524" xr:uid="{00000000-0005-0000-0000-00005A020000}"/>
    <cellStyle name="_MultipleSpace_NFS" xfId="525" xr:uid="{00000000-0005-0000-0000-00005B020000}"/>
    <cellStyle name="_MultipleSpace_Overview3" xfId="526" xr:uid="{00000000-0005-0000-0000-00005C020000}"/>
    <cellStyle name="_MultipleSpace_phil data" xfId="527" xr:uid="{00000000-0005-0000-0000-00005D020000}"/>
    <cellStyle name="_MultipleSpace_Price Performance Charts" xfId="528" xr:uid="{00000000-0005-0000-0000-00005E020000}"/>
    <cellStyle name="_MultipleSpace_PRU" xfId="529" xr:uid="{00000000-0005-0000-0000-00005F020000}"/>
    <cellStyle name="_MultipleSpace_PRU04" xfId="530" xr:uid="{00000000-0005-0000-0000-000060020000}"/>
    <cellStyle name="_MultipleSpace_RiskReward" xfId="531" xr:uid="{00000000-0005-0000-0000-000061020000}"/>
    <cellStyle name="_MultipleSpace_SFG" xfId="532" xr:uid="{00000000-0005-0000-0000-000062020000}"/>
    <cellStyle name="_MultipleSpace_Sheet1" xfId="533" xr:uid="{00000000-0005-0000-0000-000063020000}"/>
    <cellStyle name="_MultipleSpace_Stock-QTR1 FDS" xfId="534" xr:uid="{00000000-0005-0000-0000-000064020000}"/>
    <cellStyle name="_MultipleSpace_TMK" xfId="535" xr:uid="{00000000-0005-0000-0000-000065020000}"/>
    <cellStyle name="_MultipleSpace_Updated Valuation Changes" xfId="536" xr:uid="{00000000-0005-0000-0000-000066020000}"/>
    <cellStyle name="_MultipleSpace_Valuation Graphs" xfId="537" xr:uid="{00000000-0005-0000-0000-000067020000}"/>
    <cellStyle name="_MultipleSpace_xratio - historical mkt val" xfId="538" xr:uid="{00000000-0005-0000-0000-000068020000}"/>
    <cellStyle name="—_new format1" xfId="1569" xr:uid="{00000000-0005-0000-0000-000069020000}"/>
    <cellStyle name="—_new format1 2" xfId="1570" xr:uid="{00000000-0005-0000-0000-00006A020000}"/>
    <cellStyle name="_Percent" xfId="117" xr:uid="{00000000-0005-0000-0000-00006B020000}"/>
    <cellStyle name="_Percent_Book1" xfId="1571" xr:uid="{00000000-0005-0000-0000-00006C020000}"/>
    <cellStyle name="_Percent_Book1_Jazztel model 16DP3-Exhibits" xfId="1572" xr:uid="{00000000-0005-0000-0000-00006D020000}"/>
    <cellStyle name="_Percent_Book1_Jazztel model 16DP3-Exhibits_Book2" xfId="1573" xr:uid="{00000000-0005-0000-0000-00006E020000}"/>
    <cellStyle name="_Percent_Book1_Jazztel model 16DP3-Exhibits_T_MOBIL2" xfId="1574" xr:uid="{00000000-0005-0000-0000-00006F020000}"/>
    <cellStyle name="_Percent_Book1_Jazztel model 16DP3-Exhibits_TDC-2Aug2001_UPD" xfId="1575" xr:uid="{00000000-0005-0000-0000-000070020000}"/>
    <cellStyle name="_Percent_Book1_Jazztel model 16DP3-Exhibits_TDC-2Aug2001_UPD 2" xfId="1576" xr:uid="{00000000-0005-0000-0000-000071020000}"/>
    <cellStyle name="_Percent_Book1_Jazztel model 18DP-exhibits" xfId="1577" xr:uid="{00000000-0005-0000-0000-000072020000}"/>
    <cellStyle name="_Percent_Book1_TDC-2Aug2001" xfId="1578" xr:uid="{00000000-0005-0000-0000-000073020000}"/>
    <cellStyle name="_Percent_Book1_TelenorAug01" xfId="1579" xr:uid="{00000000-0005-0000-0000-000074020000}"/>
    <cellStyle name="_Percent_Book11" xfId="1580" xr:uid="{00000000-0005-0000-0000-000075020000}"/>
    <cellStyle name="_Percent_Book11_Jazztel model 16DP3-Exhibits" xfId="1581" xr:uid="{00000000-0005-0000-0000-000076020000}"/>
    <cellStyle name="_Percent_Book11_Jazztel model 16DP3-Exhibits_Book2" xfId="1582" xr:uid="{00000000-0005-0000-0000-000077020000}"/>
    <cellStyle name="_Percent_Book11_Jazztel model 16DP3-Exhibits_T_MOBIL2" xfId="1583" xr:uid="{00000000-0005-0000-0000-000078020000}"/>
    <cellStyle name="_Percent_Book11_Jazztel model 16DP3-Exhibits_TDC-2Aug2001_UPD" xfId="1584" xr:uid="{00000000-0005-0000-0000-000079020000}"/>
    <cellStyle name="_Percent_Book11_Jazztel model 16DP3-Exhibits_TDC-2Aug2001_UPD 2" xfId="1585" xr:uid="{00000000-0005-0000-0000-00007A020000}"/>
    <cellStyle name="_Percent_Book11_Jazztel model 18DP-exhibits" xfId="1586" xr:uid="{00000000-0005-0000-0000-00007B020000}"/>
    <cellStyle name="_Percent_Book11_TDC-2Aug2001" xfId="1587" xr:uid="{00000000-0005-0000-0000-00007C020000}"/>
    <cellStyle name="_Percent_Book11_TelenorAug01" xfId="1588" xr:uid="{00000000-0005-0000-0000-00007D020000}"/>
    <cellStyle name="_Percent_Book12" xfId="1589" xr:uid="{00000000-0005-0000-0000-00007E020000}"/>
    <cellStyle name="_Percent_Book12_Jazztel model 16DP3-Exhibits" xfId="1590" xr:uid="{00000000-0005-0000-0000-00007F020000}"/>
    <cellStyle name="_Percent_Book12_Jazztel model 16DP3-Exhibits_Book2" xfId="1591" xr:uid="{00000000-0005-0000-0000-000080020000}"/>
    <cellStyle name="_Percent_Book12_Jazztel model 16DP3-Exhibits_T_MOBIL2" xfId="1592" xr:uid="{00000000-0005-0000-0000-000081020000}"/>
    <cellStyle name="_Percent_Book12_Jazztel model 16DP3-Exhibits_TDC-2Aug2001_UPD" xfId="1593" xr:uid="{00000000-0005-0000-0000-000082020000}"/>
    <cellStyle name="_Percent_Book12_Jazztel model 16DP3-Exhibits_TDC-2Aug2001_UPD 2" xfId="1594" xr:uid="{00000000-0005-0000-0000-000083020000}"/>
    <cellStyle name="_Percent_Book12_Jazztel model 18DP-exhibits" xfId="1595" xr:uid="{00000000-0005-0000-0000-000084020000}"/>
    <cellStyle name="_Percent_Book12_TDC-2Aug2001" xfId="1596" xr:uid="{00000000-0005-0000-0000-000085020000}"/>
    <cellStyle name="_Percent_Book12_TelenorAug01" xfId="1597" xr:uid="{00000000-0005-0000-0000-000086020000}"/>
    <cellStyle name="_Percent_CMJMODEL" xfId="1598" xr:uid="{00000000-0005-0000-0000-000087020000}"/>
    <cellStyle name="_Percent_DCF Alexander Forbes" xfId="539" xr:uid="{00000000-0005-0000-0000-000088020000}"/>
    <cellStyle name="_Percent_DCF Summary pages" xfId="1599" xr:uid="{00000000-0005-0000-0000-000089020000}"/>
    <cellStyle name="_Percent_DCF Summary pages_Jazztel model 16DP3-Exhibits" xfId="1600" xr:uid="{00000000-0005-0000-0000-00008A020000}"/>
    <cellStyle name="_Percent_DCF Summary pages_Jazztel model 16DP3-Exhibits_Book2" xfId="1601" xr:uid="{00000000-0005-0000-0000-00008B020000}"/>
    <cellStyle name="_Percent_DCF Summary pages_Jazztel model 16DP3-Exhibits_T_MOBIL2" xfId="1602" xr:uid="{00000000-0005-0000-0000-00008C020000}"/>
    <cellStyle name="_Percent_DCF Summary pages_Jazztel model 16DP3-Exhibits_TDC-2Aug2001_UPD" xfId="1603" xr:uid="{00000000-0005-0000-0000-00008D020000}"/>
    <cellStyle name="_Percent_DCF Summary pages_Jazztel model 16DP3-Exhibits_TDC-2Aug2001_UPD 2" xfId="1604" xr:uid="{00000000-0005-0000-0000-00008E020000}"/>
    <cellStyle name="_Percent_DCF Summary pages_Jazztel model 18DP-exhibits" xfId="1605" xr:uid="{00000000-0005-0000-0000-00008F020000}"/>
    <cellStyle name="_Percent_DCF Summary pages_TDC-2Aug2001" xfId="1606" xr:uid="{00000000-0005-0000-0000-000090020000}"/>
    <cellStyle name="_Percent_DCF Summary pages_TelenorAug01" xfId="1607" xr:uid="{00000000-0005-0000-0000-000091020000}"/>
    <cellStyle name="_Percent_FMBI MBHI Graphs" xfId="540" xr:uid="{00000000-0005-0000-0000-000092020000}"/>
    <cellStyle name="_Percent_FMBI MBHI Graphs 07102001" xfId="541" xr:uid="{00000000-0005-0000-0000-000093020000}"/>
    <cellStyle name="_Percent_FMBI MBHI Graphs_7601" xfId="542" xr:uid="{00000000-0005-0000-0000-000094020000}"/>
    <cellStyle name="_Percent_FOXTELMODEL" xfId="1608" xr:uid="{00000000-0005-0000-0000-000095020000}"/>
    <cellStyle name="_Percent_HWLaug2000" xfId="118" xr:uid="{00000000-0005-0000-0000-000096020000}"/>
    <cellStyle name="_Percent_HWLaug2000 2" xfId="1609" xr:uid="{00000000-0005-0000-0000-000097020000}"/>
    <cellStyle name="_Percent_Jazztel model 15-exhibits" xfId="1610" xr:uid="{00000000-0005-0000-0000-000098020000}"/>
    <cellStyle name="_Percent_Jazztel model 15-exhibits bis" xfId="1611" xr:uid="{00000000-0005-0000-0000-000099020000}"/>
    <cellStyle name="_Percent_Jazztel model 15-exhibits bis_Book2" xfId="1612" xr:uid="{00000000-0005-0000-0000-00009A020000}"/>
    <cellStyle name="_Percent_Jazztel model 15-exhibits bis_T_MOBIL2" xfId="1613" xr:uid="{00000000-0005-0000-0000-00009B020000}"/>
    <cellStyle name="_Percent_Jazztel model 15-exhibits bis_TDC-2Aug2001_UPD" xfId="1614" xr:uid="{00000000-0005-0000-0000-00009C020000}"/>
    <cellStyle name="_Percent_Jazztel model 15-exhibits bis_TDC-2Aug2001_UPD 2" xfId="1615" xr:uid="{00000000-0005-0000-0000-00009D020000}"/>
    <cellStyle name="_Percent_Jazztel model 15-exhibits_Jazztel model 16DP3-Exhibits" xfId="1616" xr:uid="{00000000-0005-0000-0000-00009E020000}"/>
    <cellStyle name="_Percent_Jazztel model 15-exhibits_Jazztel model 16DP3-Exhibits_Book2" xfId="1617" xr:uid="{00000000-0005-0000-0000-00009F020000}"/>
    <cellStyle name="_Percent_Jazztel model 15-exhibits_Jazztel model 16DP3-Exhibits_T_MOBIL2" xfId="1618" xr:uid="{00000000-0005-0000-0000-0000A0020000}"/>
    <cellStyle name="_Percent_Jazztel model 15-exhibits_Jazztel model 16DP3-Exhibits_TDC-2Aug2001_UPD" xfId="1619" xr:uid="{00000000-0005-0000-0000-0000A1020000}"/>
    <cellStyle name="_Percent_Jazztel model 15-exhibits_Jazztel model 16DP3-Exhibits_TDC-2Aug2001_UPD 2" xfId="1620" xr:uid="{00000000-0005-0000-0000-0000A2020000}"/>
    <cellStyle name="_Percent_Jazztel model 15-exhibits_Jazztel model 18DP-exhibits" xfId="1621" xr:uid="{00000000-0005-0000-0000-0000A3020000}"/>
    <cellStyle name="_Percent_Jazztel model 15-exhibits_TDC-2Aug2001" xfId="1622" xr:uid="{00000000-0005-0000-0000-0000A4020000}"/>
    <cellStyle name="_Percent_Jazztel model 15-exhibits_TelenorAug01" xfId="1623" xr:uid="{00000000-0005-0000-0000-0000A5020000}"/>
    <cellStyle name="_Percent_Jazztel model 15-exhibits-Friso2" xfId="1624" xr:uid="{00000000-0005-0000-0000-0000A6020000}"/>
    <cellStyle name="_Percent_Jazztel model 15-exhibits-Friso2_Jazztel model 16DP3-Exhibits" xfId="1625" xr:uid="{00000000-0005-0000-0000-0000A7020000}"/>
    <cellStyle name="_Percent_Jazztel model 15-exhibits-Friso2_Jazztel model 16DP3-Exhibits_Book2" xfId="1626" xr:uid="{00000000-0005-0000-0000-0000A8020000}"/>
    <cellStyle name="_Percent_Jazztel model 15-exhibits-Friso2_Jazztel model 16DP3-Exhibits_T_MOBIL2" xfId="1627" xr:uid="{00000000-0005-0000-0000-0000A9020000}"/>
    <cellStyle name="_Percent_Jazztel model 15-exhibits-Friso2_Jazztel model 16DP3-Exhibits_TDC-2Aug2001_UPD" xfId="1628" xr:uid="{00000000-0005-0000-0000-0000AA020000}"/>
    <cellStyle name="_Percent_Jazztel model 15-exhibits-Friso2_Jazztel model 16DP3-Exhibits_TDC-2Aug2001_UPD 2" xfId="1629" xr:uid="{00000000-0005-0000-0000-0000AB020000}"/>
    <cellStyle name="_Percent_Jazztel model 15-exhibits-Friso2_Jazztel model 18DP-exhibits" xfId="1630" xr:uid="{00000000-0005-0000-0000-0000AC020000}"/>
    <cellStyle name="_Percent_Jazztel model 15-exhibits-Friso2_TDC-2Aug2001" xfId="1631" xr:uid="{00000000-0005-0000-0000-0000AD020000}"/>
    <cellStyle name="_Percent_Jazztel model 15-exhibits-Friso2_TelenorAug01" xfId="1632" xr:uid="{00000000-0005-0000-0000-0000AE020000}"/>
    <cellStyle name="_Percent_Jazztel model 16DP2-Exhibits" xfId="1633" xr:uid="{00000000-0005-0000-0000-0000AF020000}"/>
    <cellStyle name="_Percent_Jazztel model 16DP3-Exhibits" xfId="1634" xr:uid="{00000000-0005-0000-0000-0000B0020000}"/>
    <cellStyle name="_PercentSpace" xfId="119" xr:uid="{00000000-0005-0000-0000-0000B1020000}"/>
    <cellStyle name="_PercentSpace_01 adj for merger plan" xfId="543" xr:uid="{00000000-0005-0000-0000-0000B2020000}"/>
    <cellStyle name="_PercentSpace_Book1" xfId="1635" xr:uid="{00000000-0005-0000-0000-0000B3020000}"/>
    <cellStyle name="_PercentSpace_Book1_Jazztel model 16DP3-Exhibits" xfId="1636" xr:uid="{00000000-0005-0000-0000-0000B4020000}"/>
    <cellStyle name="_PercentSpace_Book1_Jazztel model 16DP3-Exhibits_T_MOBIL2" xfId="1637" xr:uid="{00000000-0005-0000-0000-0000B5020000}"/>
    <cellStyle name="_PercentSpace_Book1_Jazztel model 16DP3-Exhibits_T_MOBIL2_Book2" xfId="1638" xr:uid="{00000000-0005-0000-0000-0000B6020000}"/>
    <cellStyle name="_PercentSpace_Book1_Jazztel model 16DP3-Exhibits_T_MOBIL2_Book2 2" xfId="1639" xr:uid="{00000000-0005-0000-0000-0000B7020000}"/>
    <cellStyle name="_PercentSpace_Book1_Jazztel model 16DP3-Exhibits_T_MOBIL2_TDC-2Aug2001_UPD" xfId="1640" xr:uid="{00000000-0005-0000-0000-0000B8020000}"/>
    <cellStyle name="_PercentSpace_Book1_Jazztel model 16DP3-Exhibits_T_MOBIL2_TDC-2Aug2001_UPD 2" xfId="1641" xr:uid="{00000000-0005-0000-0000-0000B9020000}"/>
    <cellStyle name="_PercentSpace_Book1_Jazztel model 18DP-exhibits" xfId="1642" xr:uid="{00000000-0005-0000-0000-0000BA020000}"/>
    <cellStyle name="_PercentSpace_Book11" xfId="1643" xr:uid="{00000000-0005-0000-0000-0000BB020000}"/>
    <cellStyle name="_PercentSpace_Book11_Jazztel model 16DP3-Exhibits" xfId="1644" xr:uid="{00000000-0005-0000-0000-0000BC020000}"/>
    <cellStyle name="_PercentSpace_Book11_Jazztel model 16DP3-Exhibits_T_MOBIL2" xfId="1645" xr:uid="{00000000-0005-0000-0000-0000BD020000}"/>
    <cellStyle name="_PercentSpace_Book11_Jazztel model 16DP3-Exhibits_T_MOBIL2_Book2" xfId="1646" xr:uid="{00000000-0005-0000-0000-0000BE020000}"/>
    <cellStyle name="_PercentSpace_Book11_Jazztel model 16DP3-Exhibits_T_MOBIL2_Book2 2" xfId="1647" xr:uid="{00000000-0005-0000-0000-0000BF020000}"/>
    <cellStyle name="_PercentSpace_Book11_Jazztel model 16DP3-Exhibits_T_MOBIL2_TDC-2Aug2001_UPD" xfId="1648" xr:uid="{00000000-0005-0000-0000-0000C0020000}"/>
    <cellStyle name="_PercentSpace_Book11_Jazztel model 16DP3-Exhibits_T_MOBIL2_TDC-2Aug2001_UPD 2" xfId="1649" xr:uid="{00000000-0005-0000-0000-0000C1020000}"/>
    <cellStyle name="_PercentSpace_Book11_Jazztel model 18DP-exhibits" xfId="1650" xr:uid="{00000000-0005-0000-0000-0000C2020000}"/>
    <cellStyle name="_PercentSpace_Book12" xfId="1651" xr:uid="{00000000-0005-0000-0000-0000C3020000}"/>
    <cellStyle name="_PercentSpace_Book12_Jazztel model 16DP3-Exhibits" xfId="1652" xr:uid="{00000000-0005-0000-0000-0000C4020000}"/>
    <cellStyle name="_PercentSpace_Book12_Jazztel model 16DP3-Exhibits_T_MOBIL2" xfId="1653" xr:uid="{00000000-0005-0000-0000-0000C5020000}"/>
    <cellStyle name="_PercentSpace_Book12_Jazztel model 16DP3-Exhibits_T_MOBIL2_Book2" xfId="1654" xr:uid="{00000000-0005-0000-0000-0000C6020000}"/>
    <cellStyle name="_PercentSpace_Book12_Jazztel model 16DP3-Exhibits_T_MOBIL2_Book2 2" xfId="1655" xr:uid="{00000000-0005-0000-0000-0000C7020000}"/>
    <cellStyle name="_PercentSpace_Book12_Jazztel model 16DP3-Exhibits_T_MOBIL2_TDC-2Aug2001_UPD" xfId="1656" xr:uid="{00000000-0005-0000-0000-0000C8020000}"/>
    <cellStyle name="_PercentSpace_Book12_Jazztel model 16DP3-Exhibits_T_MOBIL2_TDC-2Aug2001_UPD 2" xfId="1657" xr:uid="{00000000-0005-0000-0000-0000C9020000}"/>
    <cellStyle name="_PercentSpace_Book12_Jazztel model 18DP-exhibits" xfId="1658" xr:uid="{00000000-0005-0000-0000-0000CA020000}"/>
    <cellStyle name="_PercentSpace_CMJMODEL" xfId="1659" xr:uid="{00000000-0005-0000-0000-0000CB020000}"/>
    <cellStyle name="_PercentSpace_DCF Alexander Forbes" xfId="544" xr:uid="{00000000-0005-0000-0000-0000CC020000}"/>
    <cellStyle name="_PercentSpace_DCF Summary pages" xfId="1660" xr:uid="{00000000-0005-0000-0000-0000CD020000}"/>
    <cellStyle name="_PercentSpace_DCF Summary pages_Jazztel model 16DP3-Exhibits" xfId="1661" xr:uid="{00000000-0005-0000-0000-0000CE020000}"/>
    <cellStyle name="_PercentSpace_DCF Summary pages_Jazztel model 16DP3-Exhibits_T_MOBIL2" xfId="1662" xr:uid="{00000000-0005-0000-0000-0000CF020000}"/>
    <cellStyle name="_PercentSpace_DCF Summary pages_Jazztel model 16DP3-Exhibits_T_MOBIL2_Book2" xfId="1663" xr:uid="{00000000-0005-0000-0000-0000D0020000}"/>
    <cellStyle name="_PercentSpace_DCF Summary pages_Jazztel model 16DP3-Exhibits_T_MOBIL2_Book2 2" xfId="1664" xr:uid="{00000000-0005-0000-0000-0000D1020000}"/>
    <cellStyle name="_PercentSpace_DCF Summary pages_Jazztel model 16DP3-Exhibits_T_MOBIL2_TDC-2Aug2001_UPD" xfId="1665" xr:uid="{00000000-0005-0000-0000-0000D2020000}"/>
    <cellStyle name="_PercentSpace_DCF Summary pages_Jazztel model 16DP3-Exhibits_T_MOBIL2_TDC-2Aug2001_UPD 2" xfId="1666" xr:uid="{00000000-0005-0000-0000-0000D3020000}"/>
    <cellStyle name="_PercentSpace_DCF Summary pages_Jazztel model 18DP-exhibits" xfId="1667" xr:uid="{00000000-0005-0000-0000-0000D4020000}"/>
    <cellStyle name="_PercentSpace_FMBI MBHI Graphs" xfId="545" xr:uid="{00000000-0005-0000-0000-0000D5020000}"/>
    <cellStyle name="_PercentSpace_FMBI MBHI Graphs 07102001" xfId="546" xr:uid="{00000000-0005-0000-0000-0000D6020000}"/>
    <cellStyle name="_PercentSpace_FMBI MBHI Graphs_7601" xfId="547" xr:uid="{00000000-0005-0000-0000-0000D7020000}"/>
    <cellStyle name="_PercentSpace_FOXTELMODEL" xfId="1668" xr:uid="{00000000-0005-0000-0000-0000D8020000}"/>
    <cellStyle name="_PercentSpace_HWLaug2000" xfId="120" xr:uid="{00000000-0005-0000-0000-0000D9020000}"/>
    <cellStyle name="_PercentSpace_HWLaug2000 2" xfId="1669" xr:uid="{00000000-0005-0000-0000-0000DA020000}"/>
    <cellStyle name="_PercentSpace_Jazztel model 15-exhibits" xfId="1670" xr:uid="{00000000-0005-0000-0000-0000DB020000}"/>
    <cellStyle name="_PercentSpace_Jazztel model 15-exhibits bis" xfId="1671" xr:uid="{00000000-0005-0000-0000-0000DC020000}"/>
    <cellStyle name="_PercentSpace_Jazztel model 15-exhibits bis_T_MOBIL2" xfId="1672" xr:uid="{00000000-0005-0000-0000-0000DD020000}"/>
    <cellStyle name="_PercentSpace_Jazztel model 15-exhibits bis_T_MOBIL2_Book2" xfId="1673" xr:uid="{00000000-0005-0000-0000-0000DE020000}"/>
    <cellStyle name="_PercentSpace_Jazztel model 15-exhibits bis_T_MOBIL2_Book2 2" xfId="1674" xr:uid="{00000000-0005-0000-0000-0000DF020000}"/>
    <cellStyle name="_PercentSpace_Jazztel model 15-exhibits bis_T_MOBIL2_TDC-2Aug2001_UPD" xfId="1675" xr:uid="{00000000-0005-0000-0000-0000E0020000}"/>
    <cellStyle name="_PercentSpace_Jazztel model 15-exhibits bis_T_MOBIL2_TDC-2Aug2001_UPD 2" xfId="1676" xr:uid="{00000000-0005-0000-0000-0000E1020000}"/>
    <cellStyle name="_PercentSpace_Jazztel model 15-exhibits_Jazztel model 16DP3-Exhibits" xfId="1677" xr:uid="{00000000-0005-0000-0000-0000E2020000}"/>
    <cellStyle name="_PercentSpace_Jazztel model 15-exhibits_Jazztel model 16DP3-Exhibits_T_MOBIL2" xfId="1678" xr:uid="{00000000-0005-0000-0000-0000E3020000}"/>
    <cellStyle name="_PercentSpace_Jazztel model 15-exhibits_Jazztel model 16DP3-Exhibits_T_MOBIL2_Book2" xfId="1679" xr:uid="{00000000-0005-0000-0000-0000E4020000}"/>
    <cellStyle name="_PercentSpace_Jazztel model 15-exhibits_Jazztel model 16DP3-Exhibits_T_MOBIL2_Book2 2" xfId="1680" xr:uid="{00000000-0005-0000-0000-0000E5020000}"/>
    <cellStyle name="_PercentSpace_Jazztel model 15-exhibits_Jazztel model 16DP3-Exhibits_T_MOBIL2_TDC-2Aug2001_UPD" xfId="1681" xr:uid="{00000000-0005-0000-0000-0000E6020000}"/>
    <cellStyle name="_PercentSpace_Jazztel model 15-exhibits_Jazztel model 16DP3-Exhibits_T_MOBIL2_TDC-2Aug2001_UPD 2" xfId="1682" xr:uid="{00000000-0005-0000-0000-0000E7020000}"/>
    <cellStyle name="_PercentSpace_Jazztel model 15-exhibits_Jazztel model 18DP-exhibits" xfId="1683" xr:uid="{00000000-0005-0000-0000-0000E8020000}"/>
    <cellStyle name="_PercentSpace_Jazztel model 15-exhibits-Friso2" xfId="1684" xr:uid="{00000000-0005-0000-0000-0000E9020000}"/>
    <cellStyle name="_PercentSpace_Jazztel model 15-exhibits-Friso2_Jazztel model 16DP3-Exhibits" xfId="1685" xr:uid="{00000000-0005-0000-0000-0000EA020000}"/>
    <cellStyle name="_PercentSpace_Jazztel model 15-exhibits-Friso2_Jazztel model 16DP3-Exhibits_T_MOBIL2" xfId="1686" xr:uid="{00000000-0005-0000-0000-0000EB020000}"/>
    <cellStyle name="_PercentSpace_Jazztel model 15-exhibits-Friso2_Jazztel model 16DP3-Exhibits_T_MOBIL2_Book2" xfId="1687" xr:uid="{00000000-0005-0000-0000-0000EC020000}"/>
    <cellStyle name="_PercentSpace_Jazztel model 15-exhibits-Friso2_Jazztel model 16DP3-Exhibits_T_MOBIL2_Book2 2" xfId="1688" xr:uid="{00000000-0005-0000-0000-0000ED020000}"/>
    <cellStyle name="_PercentSpace_Jazztel model 15-exhibits-Friso2_Jazztel model 16DP3-Exhibits_T_MOBIL2_TDC-2Aug2001_UPD" xfId="1689" xr:uid="{00000000-0005-0000-0000-0000EE020000}"/>
    <cellStyle name="_PercentSpace_Jazztel model 15-exhibits-Friso2_Jazztel model 16DP3-Exhibits_T_MOBIL2_TDC-2Aug2001_UPD 2" xfId="1690" xr:uid="{00000000-0005-0000-0000-0000EF020000}"/>
    <cellStyle name="_PercentSpace_Jazztel model 15-exhibits-Friso2_Jazztel model 18DP-exhibits" xfId="1691" xr:uid="{00000000-0005-0000-0000-0000F0020000}"/>
    <cellStyle name="_PercentSpace_Jazztel model 16DP2-Exhibits" xfId="1692" xr:uid="{00000000-0005-0000-0000-0000F1020000}"/>
    <cellStyle name="_PercentSpace_Jazztel model 16DP3-Exhibits" xfId="1693" xr:uid="{00000000-0005-0000-0000-0000F2020000}"/>
    <cellStyle name="—_PLDT report Tables" xfId="121" xr:uid="{00000000-0005-0000-0000-0000F3020000}"/>
    <cellStyle name="_Post Briefing Day Analysis" xfId="1694" xr:uid="{00000000-0005-0000-0000-0000F4020000}"/>
    <cellStyle name="—_PRICE" xfId="122" xr:uid="{00000000-0005-0000-0000-0000F5020000}"/>
    <cellStyle name="_Q Sheets" xfId="1695" xr:uid="{00000000-0005-0000-0000-0000F6020000}"/>
    <cellStyle name="—_report seperate tables" xfId="123" xr:uid="{00000000-0005-0000-0000-0000F7020000}"/>
    <cellStyle name="—_report1198tables" xfId="124" xr:uid="{00000000-0005-0000-0000-0000F8020000}"/>
    <cellStyle name="—_report1198tables 2" xfId="1696" xr:uid="{00000000-0005-0000-0000-0000F9020000}"/>
    <cellStyle name="—_report1198tables_anne" xfId="125" xr:uid="{00000000-0005-0000-0000-0000FA020000}"/>
    <cellStyle name="—_report1198tables_anne 2" xfId="1697" xr:uid="{00000000-0005-0000-0000-0000FB020000}"/>
    <cellStyle name="—_report1198tables_anne_CMJMODEL" xfId="1698" xr:uid="{00000000-0005-0000-0000-0000FC020000}"/>
    <cellStyle name="—_report1198tables_anne_FOXTELMODEL" xfId="1699" xr:uid="{00000000-0005-0000-0000-0000FD020000}"/>
    <cellStyle name="—_report1198tables_CMJMODEL" xfId="1700" xr:uid="{00000000-0005-0000-0000-0000FE020000}"/>
    <cellStyle name="—_report1198tables_FOXTELMODEL" xfId="1701" xr:uid="{00000000-0005-0000-0000-0000FF020000}"/>
    <cellStyle name="—_report1198tables_tables_99" xfId="126" xr:uid="{00000000-0005-0000-0000-000000030000}"/>
    <cellStyle name="—_report1198tables_tables_99 2" xfId="1702" xr:uid="{00000000-0005-0000-0000-000001030000}"/>
    <cellStyle name="—_report1198tables_tables_99_CMJMODEL" xfId="1703" xr:uid="{00000000-0005-0000-0000-000002030000}"/>
    <cellStyle name="—_report1198tables_tables_99_FOXTELMODEL" xfId="1704" xr:uid="{00000000-0005-0000-0000-000003030000}"/>
    <cellStyle name="—_RSA" xfId="127" xr:uid="{00000000-0005-0000-0000-000004030000}"/>
    <cellStyle name="—_RSA 2" xfId="1705" xr:uid="{00000000-0005-0000-0000-000005030000}"/>
    <cellStyle name="—_RSA_CMJMODEL" xfId="1706" xr:uid="{00000000-0005-0000-0000-000006030000}"/>
    <cellStyle name="—_RSA_FOXTELMODEL" xfId="1707" xr:uid="{00000000-0005-0000-0000-000007030000}"/>
    <cellStyle name="—_RSA_hutchss" xfId="128" xr:uid="{00000000-0005-0000-0000-000008030000}"/>
    <cellStyle name="—_RSA_MASTER" xfId="129" xr:uid="{00000000-0005-0000-0000-000009030000}"/>
    <cellStyle name="—_RSA_WHARFSS" xfId="130" xr:uid="{00000000-0005-0000-0000-00000A030000}"/>
    <cellStyle name="_SHL - Model.xls Chart 1" xfId="131" xr:uid="{00000000-0005-0000-0000-00000B030000}"/>
    <cellStyle name="_SHL - Model.xls Chart 2" xfId="132" xr:uid="{00000000-0005-0000-0000-00000C030000}"/>
    <cellStyle name="_staff" xfId="1708" xr:uid="{00000000-0005-0000-0000-00000D030000}"/>
    <cellStyle name="_SubHeading" xfId="548" xr:uid="{00000000-0005-0000-0000-00000E030000}"/>
    <cellStyle name="_SubHeading_Ability to Pay Analysis" xfId="549" xr:uid="{00000000-0005-0000-0000-00000F030000}"/>
    <cellStyle name="_SubHeading_BankUnited Model" xfId="550" xr:uid="{00000000-0005-0000-0000-000010030000}"/>
    <cellStyle name="_SubHeading_fmbi counties" xfId="551" xr:uid="{00000000-0005-0000-0000-000011030000}"/>
    <cellStyle name="_SubHeading_FMBI MBHI Graphs" xfId="552" xr:uid="{00000000-0005-0000-0000-000012030000}"/>
    <cellStyle name="_SubHeading_FMBI MBHI Graphs 07102001" xfId="553" xr:uid="{00000000-0005-0000-0000-000013030000}"/>
    <cellStyle name="_SubHeading_FMBI MBHI Graphs_7601" xfId="554" xr:uid="{00000000-0005-0000-0000-000014030000}"/>
    <cellStyle name="_SubHeading_prestemp" xfId="555" xr:uid="{00000000-0005-0000-0000-000015030000}"/>
    <cellStyle name="_SubHeading_prestemp_Insurance Brokerage CSC_1Q2002" xfId="556" xr:uid="{00000000-0005-0000-0000-000016030000}"/>
    <cellStyle name="_SubHeading_prestemp_Overview3" xfId="557" xr:uid="{00000000-0005-0000-0000-000017030000}"/>
    <cellStyle name="_SubHeading_prestemp_Updated Valuation Changes" xfId="558" xr:uid="{00000000-0005-0000-0000-000018030000}"/>
    <cellStyle name="_SubHeading_Q" xfId="661" xr:uid="{00000000-0005-0000-0000-000019030000}"/>
    <cellStyle name="_SubHeading_q - new guidance" xfId="662" xr:uid="{00000000-0005-0000-0000-00001A030000}"/>
    <cellStyle name="_SubHeading_xratio - historical mkt val" xfId="559" xr:uid="{00000000-0005-0000-0000-00001B030000}"/>
    <cellStyle name="_Table" xfId="560" xr:uid="{00000000-0005-0000-0000-00001C030000}"/>
    <cellStyle name="_Table_Ability to Pay Analysis" xfId="561" xr:uid="{00000000-0005-0000-0000-00001D030000}"/>
    <cellStyle name="_Table_BankUnited Model" xfId="562" xr:uid="{00000000-0005-0000-0000-00001E030000}"/>
    <cellStyle name="_Table_fmbi counties" xfId="563" xr:uid="{00000000-0005-0000-0000-00001F030000}"/>
    <cellStyle name="_Table_Q" xfId="663" xr:uid="{00000000-0005-0000-0000-000020030000}"/>
    <cellStyle name="_Table_q - new guidance" xfId="664" xr:uid="{00000000-0005-0000-0000-000021030000}"/>
    <cellStyle name="_Table_xratio - historical mkt val" xfId="564" xr:uid="{00000000-0005-0000-0000-000022030000}"/>
    <cellStyle name="_TableHead" xfId="565" xr:uid="{00000000-0005-0000-0000-000023030000}"/>
    <cellStyle name="_TableHead_Q" xfId="665" xr:uid="{00000000-0005-0000-0000-000024030000}"/>
    <cellStyle name="_TableHead_q - new guidance" xfId="666" xr:uid="{00000000-0005-0000-0000-000025030000}"/>
    <cellStyle name="_TableRowBorder" xfId="667" xr:uid="{00000000-0005-0000-0000-000026030000}"/>
    <cellStyle name="_TableRowHead" xfId="566" xr:uid="{00000000-0005-0000-0000-000027030000}"/>
    <cellStyle name="_TableRowHead_Q" xfId="668" xr:uid="{00000000-0005-0000-0000-000028030000}"/>
    <cellStyle name="_TableRowHead_q - new guidance" xfId="669" xr:uid="{00000000-0005-0000-0000-000029030000}"/>
    <cellStyle name="—_tables_99-3" xfId="133" xr:uid="{00000000-0005-0000-0000-00002A030000}"/>
    <cellStyle name="_TableSuperHead" xfId="567" xr:uid="{00000000-0005-0000-0000-00002B030000}"/>
    <cellStyle name="_TableSuperHead_Ability to Pay Analysis" xfId="568" xr:uid="{00000000-0005-0000-0000-00002C030000}"/>
    <cellStyle name="_TableSuperHead_BankUnited Model" xfId="569" xr:uid="{00000000-0005-0000-0000-00002D030000}"/>
    <cellStyle name="_TableSuperHead_fmbi counties" xfId="570" xr:uid="{00000000-0005-0000-0000-00002E030000}"/>
    <cellStyle name="_TableSuperHead_Q" xfId="670" xr:uid="{00000000-0005-0000-0000-00002F030000}"/>
    <cellStyle name="_TableSuperHead_q - new guidance" xfId="671" xr:uid="{00000000-0005-0000-0000-000030030000}"/>
    <cellStyle name="_TableSuperHead_xratio - historical mkt val" xfId="571" xr:uid="{00000000-0005-0000-0000-000031030000}"/>
    <cellStyle name="_TEL" xfId="1709" xr:uid="{00000000-0005-0000-0000-000032030000}"/>
    <cellStyle name="_Tpw wip" xfId="1710" xr:uid="{00000000-0005-0000-0000-000033030000}"/>
    <cellStyle name="_Vct" xfId="1711" xr:uid="{00000000-0005-0000-0000-000034030000}"/>
    <cellStyle name="—_WHARFSS" xfId="134" xr:uid="{00000000-0005-0000-0000-000035030000}"/>
    <cellStyle name="’Ê‰Ý [0.00]_laroux" xfId="135" xr:uid="{00000000-0005-0000-0000-000036030000}"/>
    <cellStyle name="’Ê‰Ý_laroux" xfId="136" xr:uid="{00000000-0005-0000-0000-000037030000}"/>
    <cellStyle name="¢" xfId="1712" xr:uid="{00000000-0005-0000-0000-000038030000}"/>
    <cellStyle name="£ BP" xfId="672" xr:uid="{00000000-0005-0000-0000-000039030000}"/>
    <cellStyle name="¥ JY" xfId="673" xr:uid="{00000000-0005-0000-0000-00003A030000}"/>
    <cellStyle name="=C:\WINNT\SYSTEM32\COMMAND.COM" xfId="137" xr:uid="{00000000-0005-0000-0000-00003B030000}"/>
    <cellStyle name="§Q\?1@" xfId="138" xr:uid="{00000000-0005-0000-0000-00003C030000}"/>
    <cellStyle name="§Q\?1@ 2" xfId="1713" xr:uid="{00000000-0005-0000-0000-00003D030000}"/>
    <cellStyle name="•W€_laroux" xfId="139" xr:uid="{00000000-0005-0000-0000-00003E030000}"/>
    <cellStyle name="•W_GE 3 MINIMUM" xfId="674" xr:uid="{00000000-0005-0000-0000-00003F030000}"/>
    <cellStyle name="0%" xfId="140" xr:uid="{00000000-0005-0000-0000-000040030000}"/>
    <cellStyle name="0.0" xfId="141" xr:uid="{00000000-0005-0000-0000-000041030000}"/>
    <cellStyle name="0.0%" xfId="142" xr:uid="{00000000-0005-0000-0000-000042030000}"/>
    <cellStyle name="0.0% 2" xfId="1714" xr:uid="{00000000-0005-0000-0000-000043030000}"/>
    <cellStyle name="0.00%" xfId="143" xr:uid="{00000000-0005-0000-0000-000044030000}"/>
    <cellStyle name="0000" xfId="1715" xr:uid="{00000000-0005-0000-0000-000045030000}"/>
    <cellStyle name="0x" xfId="1716" xr:uid="{00000000-0005-0000-0000-000046030000}"/>
    <cellStyle name="0x 2" xfId="1717" xr:uid="{00000000-0005-0000-0000-000047030000}"/>
    <cellStyle name="1" xfId="144" xr:uid="{00000000-0005-0000-0000-000048030000}"/>
    <cellStyle name="1 Decimal" xfId="145" xr:uid="{00000000-0005-0000-0000-000049030000}"/>
    <cellStyle name="1,000" xfId="146" xr:uid="{00000000-0005-0000-0000-00004A030000}"/>
    <cellStyle name="1,000 2" xfId="1718" xr:uid="{00000000-0005-0000-0000-00004B030000}"/>
    <cellStyle name="1,000x" xfId="147" xr:uid="{00000000-0005-0000-0000-00004C030000}"/>
    <cellStyle name="1,000x 2" xfId="1719" xr:uid="{00000000-0005-0000-0000-00004D030000}"/>
    <cellStyle name="2 decimal" xfId="1720" xr:uid="{00000000-0005-0000-0000-00004E030000}"/>
    <cellStyle name="2 Decimals" xfId="148" xr:uid="{00000000-0005-0000-0000-00004F030000}"/>
    <cellStyle name="20% - Accent1" xfId="149" builtinId="30" customBuiltin="1"/>
    <cellStyle name="20% - Accent1 2" xfId="1721" xr:uid="{00000000-0005-0000-0000-000051030000}"/>
    <cellStyle name="20% - Accent1 3" xfId="1722" xr:uid="{00000000-0005-0000-0000-000052030000}"/>
    <cellStyle name="20% - Accent2" xfId="150" builtinId="34" customBuiltin="1"/>
    <cellStyle name="20% - Accent2 2" xfId="1723" xr:uid="{00000000-0005-0000-0000-000054030000}"/>
    <cellStyle name="20% - Accent2 3" xfId="1724" xr:uid="{00000000-0005-0000-0000-000055030000}"/>
    <cellStyle name="20% - Accent3" xfId="151" builtinId="38" customBuiltin="1"/>
    <cellStyle name="20% - Accent3 2" xfId="1725" xr:uid="{00000000-0005-0000-0000-000057030000}"/>
    <cellStyle name="20% - Accent3 3" xfId="1726" xr:uid="{00000000-0005-0000-0000-000058030000}"/>
    <cellStyle name="20% - Accent4" xfId="152" builtinId="42" customBuiltin="1"/>
    <cellStyle name="20% - Accent4 2" xfId="1727" xr:uid="{00000000-0005-0000-0000-00005A030000}"/>
    <cellStyle name="20% - Accent4 3" xfId="1728" xr:uid="{00000000-0005-0000-0000-00005B030000}"/>
    <cellStyle name="20% - Accent5" xfId="153" builtinId="46" customBuiltin="1"/>
    <cellStyle name="20% - Accent5 2" xfId="1729" xr:uid="{00000000-0005-0000-0000-00005D030000}"/>
    <cellStyle name="20% - Accent5 3" xfId="1730" xr:uid="{00000000-0005-0000-0000-00005E030000}"/>
    <cellStyle name="20% - Accent6" xfId="154" builtinId="50" customBuiltin="1"/>
    <cellStyle name="20% - Accent6 2" xfId="1731" xr:uid="{00000000-0005-0000-0000-000060030000}"/>
    <cellStyle name="20% - Accent6 3" xfId="1732" xr:uid="{00000000-0005-0000-0000-000061030000}"/>
    <cellStyle name="3 Decimals" xfId="155" xr:uid="{00000000-0005-0000-0000-000062030000}"/>
    <cellStyle name="40% - Accent1" xfId="156" builtinId="31" customBuiltin="1"/>
    <cellStyle name="40% - Accent1 2" xfId="1733" xr:uid="{00000000-0005-0000-0000-000064030000}"/>
    <cellStyle name="40% - Accent1 3" xfId="1734" xr:uid="{00000000-0005-0000-0000-000065030000}"/>
    <cellStyle name="40% - Accent2" xfId="157" builtinId="35" customBuiltin="1"/>
    <cellStyle name="40% - Accent2 2" xfId="1735" xr:uid="{00000000-0005-0000-0000-000067030000}"/>
    <cellStyle name="40% - Accent2 3" xfId="1736" xr:uid="{00000000-0005-0000-0000-000068030000}"/>
    <cellStyle name="40% - Accent3" xfId="158" builtinId="39" customBuiltin="1"/>
    <cellStyle name="40% - Accent3 2" xfId="1737" xr:uid="{00000000-0005-0000-0000-00006A030000}"/>
    <cellStyle name="40% - Accent3 3" xfId="1738" xr:uid="{00000000-0005-0000-0000-00006B030000}"/>
    <cellStyle name="40% - Accent4" xfId="159" builtinId="43" customBuiltin="1"/>
    <cellStyle name="40% - Accent4 2" xfId="1739" xr:uid="{00000000-0005-0000-0000-00006D030000}"/>
    <cellStyle name="40% - Accent4 3" xfId="1740" xr:uid="{00000000-0005-0000-0000-00006E030000}"/>
    <cellStyle name="40% - Accent5" xfId="160" builtinId="47" customBuiltin="1"/>
    <cellStyle name="40% - Accent5 2" xfId="1741" xr:uid="{00000000-0005-0000-0000-000070030000}"/>
    <cellStyle name="40% - Accent5 3" xfId="1742" xr:uid="{00000000-0005-0000-0000-000071030000}"/>
    <cellStyle name="40% - Accent6" xfId="161" builtinId="51" customBuiltin="1"/>
    <cellStyle name="40% - Accent6 2" xfId="1743" xr:uid="{00000000-0005-0000-0000-000073030000}"/>
    <cellStyle name="40% - Accent6 3" xfId="1744" xr:uid="{00000000-0005-0000-0000-000074030000}"/>
    <cellStyle name="60% - Accent1" xfId="162" builtinId="32" customBuiltin="1"/>
    <cellStyle name="60% - Accent1 2" xfId="1745" xr:uid="{00000000-0005-0000-0000-000076030000}"/>
    <cellStyle name="60% - Accent2" xfId="163" builtinId="36" customBuiltin="1"/>
    <cellStyle name="60% - Accent2 2" xfId="1746" xr:uid="{00000000-0005-0000-0000-000078030000}"/>
    <cellStyle name="60% - Accent3" xfId="164" builtinId="40" customBuiltin="1"/>
    <cellStyle name="60% - Accent3 2" xfId="1747" xr:uid="{00000000-0005-0000-0000-00007A030000}"/>
    <cellStyle name="60% - Accent4" xfId="165" builtinId="44" customBuiltin="1"/>
    <cellStyle name="60% - Accent4 2" xfId="1748" xr:uid="{00000000-0005-0000-0000-00007C030000}"/>
    <cellStyle name="60% - Accent5" xfId="166" builtinId="48" customBuiltin="1"/>
    <cellStyle name="60% - Accent5 2" xfId="1749" xr:uid="{00000000-0005-0000-0000-00007E030000}"/>
    <cellStyle name="60% - Accent6" xfId="167" builtinId="52" customBuiltin="1"/>
    <cellStyle name="60% - Accent6 2" xfId="1750" xr:uid="{00000000-0005-0000-0000-000080030000}"/>
    <cellStyle name="a" xfId="168" xr:uid="{00000000-0005-0000-0000-000081030000}"/>
    <cellStyle name="Accent1" xfId="169" builtinId="29" customBuiltin="1"/>
    <cellStyle name="Accent1 2" xfId="1751" xr:uid="{00000000-0005-0000-0000-000083030000}"/>
    <cellStyle name="Accent2" xfId="170" builtinId="33" customBuiltin="1"/>
    <cellStyle name="Accent2 2" xfId="1752" xr:uid="{00000000-0005-0000-0000-000085030000}"/>
    <cellStyle name="Accent3" xfId="171" builtinId="37" customBuiltin="1"/>
    <cellStyle name="Accent3 2" xfId="1753" xr:uid="{00000000-0005-0000-0000-000087030000}"/>
    <cellStyle name="Accent4" xfId="172" builtinId="41" customBuiltin="1"/>
    <cellStyle name="Accent4 2" xfId="1754" xr:uid="{00000000-0005-0000-0000-000089030000}"/>
    <cellStyle name="Accent5" xfId="173" builtinId="45" customBuiltin="1"/>
    <cellStyle name="Accent5 2" xfId="1755" xr:uid="{00000000-0005-0000-0000-00008B030000}"/>
    <cellStyle name="Accent6" xfId="174" builtinId="49" customBuiltin="1"/>
    <cellStyle name="Accent6 2" xfId="1756" xr:uid="{00000000-0005-0000-0000-00008D030000}"/>
    <cellStyle name="Actual data" xfId="175" xr:uid="{00000000-0005-0000-0000-00008E030000}"/>
    <cellStyle name="Actual year" xfId="176" xr:uid="{00000000-0005-0000-0000-00008F030000}"/>
    <cellStyle name="Actuals Cells" xfId="177" xr:uid="{00000000-0005-0000-0000-000090030000}"/>
    <cellStyle name="Actuals Cells 2" xfId="1757" xr:uid="{00000000-0005-0000-0000-000091030000}"/>
    <cellStyle name="AFE" xfId="572" xr:uid="{00000000-0005-0000-0000-000092030000}"/>
    <cellStyle name="afl" xfId="573" xr:uid="{00000000-0005-0000-0000-000093030000}"/>
    <cellStyle name="Analyst_Data" xfId="178" xr:uid="{00000000-0005-0000-0000-000094030000}"/>
    <cellStyle name="Andre's Title" xfId="574" xr:uid="{00000000-0005-0000-0000-000095030000}"/>
    <cellStyle name="Arial 10" xfId="179" xr:uid="{00000000-0005-0000-0000-000096030000}"/>
    <cellStyle name="ArialNormal" xfId="675" xr:uid="{00000000-0005-0000-0000-000097030000}"/>
    <cellStyle name="B" xfId="1758" xr:uid="{00000000-0005-0000-0000-000098030000}"/>
    <cellStyle name="B_2010 TEL" xfId="1759" xr:uid="{00000000-0005-0000-0000-000099030000}"/>
    <cellStyle name="B_GSJBW 250506hub3" xfId="1760" xr:uid="{00000000-0005-0000-0000-00009A030000}"/>
    <cellStyle name="Bad" xfId="180" builtinId="27" customBuiltin="1"/>
    <cellStyle name="Bad 2" xfId="356" xr:uid="{00000000-0005-0000-0000-00009C030000}"/>
    <cellStyle name="Bad 3" xfId="1761" xr:uid="{00000000-0005-0000-0000-00009D030000}"/>
    <cellStyle name="BalanceSheet" xfId="676" xr:uid="{00000000-0005-0000-0000-00009E030000}"/>
    <cellStyle name="bch" xfId="677" xr:uid="{00000000-0005-0000-0000-00009F030000}"/>
    <cellStyle name="bci" xfId="678" xr:uid="{00000000-0005-0000-0000-0000A0030000}"/>
    <cellStyle name="Black" xfId="181" xr:uid="{00000000-0005-0000-0000-0000A1030000}"/>
    <cellStyle name="Black 2" xfId="1762" xr:uid="{00000000-0005-0000-0000-0000A2030000}"/>
    <cellStyle name="Blank" xfId="182" xr:uid="{00000000-0005-0000-0000-0000A3030000}"/>
    <cellStyle name="BLUE" xfId="183" xr:uid="{00000000-0005-0000-0000-0000A4030000}"/>
    <cellStyle name="Blue heading" xfId="1763" xr:uid="{00000000-0005-0000-0000-0000A5030000}"/>
    <cellStyle name="Blue Title" xfId="575" xr:uid="{00000000-0005-0000-0000-0000A6030000}"/>
    <cellStyle name="Blue Title 2" xfId="679" xr:uid="{00000000-0005-0000-0000-0000A7030000}"/>
    <cellStyle name="Blue Title 2 2" xfId="680" xr:uid="{00000000-0005-0000-0000-0000A8030000}"/>
    <cellStyle name="BLUE_CMJMODEL" xfId="1764" xr:uid="{00000000-0005-0000-0000-0000A9030000}"/>
    <cellStyle name="Bold" xfId="681" xr:uid="{00000000-0005-0000-0000-0000AA030000}"/>
    <cellStyle name="Bold/Border" xfId="682" xr:uid="{00000000-0005-0000-0000-0000AB030000}"/>
    <cellStyle name="Bold/Border 2" xfId="683" xr:uid="{00000000-0005-0000-0000-0000AC030000}"/>
    <cellStyle name="Bold12" xfId="684" xr:uid="{00000000-0005-0000-0000-0000AD030000}"/>
    <cellStyle name="BoldItal12" xfId="685" xr:uid="{00000000-0005-0000-0000-0000AE030000}"/>
    <cellStyle name="Border" xfId="1765" xr:uid="{00000000-0005-0000-0000-0000AF030000}"/>
    <cellStyle name="Bottom bold border" xfId="686" xr:uid="{00000000-0005-0000-0000-0000B0030000}"/>
    <cellStyle name="Bottom bold border 2" xfId="687" xr:uid="{00000000-0005-0000-0000-0000B1030000}"/>
    <cellStyle name="Bottom Border Line" xfId="688" xr:uid="{00000000-0005-0000-0000-0000B2030000}"/>
    <cellStyle name="Bottom single border" xfId="689" xr:uid="{00000000-0005-0000-0000-0000B3030000}"/>
    <cellStyle name="Bottom single border 2" xfId="690" xr:uid="{00000000-0005-0000-0000-0000B4030000}"/>
    <cellStyle name="BRACKET" xfId="184" xr:uid="{00000000-0005-0000-0000-0000B5030000}"/>
    <cellStyle name="Brackets" xfId="1766" xr:uid="{00000000-0005-0000-0000-0000B6030000}"/>
    <cellStyle name="Brackets [0]" xfId="1767" xr:uid="{00000000-0005-0000-0000-0000B7030000}"/>
    <cellStyle name="buck" xfId="691" xr:uid="{00000000-0005-0000-0000-0000B8030000}"/>
    <cellStyle name="Bullet" xfId="692" xr:uid="{00000000-0005-0000-0000-0000B9030000}"/>
    <cellStyle name="Calc Cells" xfId="185" xr:uid="{00000000-0005-0000-0000-0000BA030000}"/>
    <cellStyle name="Calc Cells 2" xfId="1768" xr:uid="{00000000-0005-0000-0000-0000BB030000}"/>
    <cellStyle name="Calc Currency (0)" xfId="186" xr:uid="{00000000-0005-0000-0000-0000BC030000}"/>
    <cellStyle name="Calc Currency (2)" xfId="187" xr:uid="{00000000-0005-0000-0000-0000BD030000}"/>
    <cellStyle name="Calc Percent (0)" xfId="188" xr:uid="{00000000-0005-0000-0000-0000BE030000}"/>
    <cellStyle name="Calc Percent (1)" xfId="189" xr:uid="{00000000-0005-0000-0000-0000BF030000}"/>
    <cellStyle name="Calc Percent (2)" xfId="190" xr:uid="{00000000-0005-0000-0000-0000C0030000}"/>
    <cellStyle name="Calc Units (0)" xfId="191" xr:uid="{00000000-0005-0000-0000-0000C1030000}"/>
    <cellStyle name="Calc Units (1)" xfId="192" xr:uid="{00000000-0005-0000-0000-0000C2030000}"/>
    <cellStyle name="Calc Units (2)" xfId="193" xr:uid="{00000000-0005-0000-0000-0000C3030000}"/>
    <cellStyle name="Calculation" xfId="194" builtinId="22" customBuiltin="1"/>
    <cellStyle name="Calculation 2" xfId="1769" xr:uid="{00000000-0005-0000-0000-0000C5030000}"/>
    <cellStyle name="Case" xfId="576" xr:uid="{00000000-0005-0000-0000-0000C6030000}"/>
    <cellStyle name="CashFlow" xfId="693" xr:uid="{00000000-0005-0000-0000-0000C7030000}"/>
    <cellStyle name="CATV Total" xfId="1770" xr:uid="{00000000-0005-0000-0000-0000C8030000}"/>
    <cellStyle name="cell" xfId="694" xr:uid="{00000000-0005-0000-0000-0000C9030000}"/>
    <cellStyle name="ch" xfId="695" xr:uid="{00000000-0005-0000-0000-0000CA030000}"/>
    <cellStyle name="Changeable" xfId="696" xr:uid="{00000000-0005-0000-0000-0000CB030000}"/>
    <cellStyle name="Check" xfId="1771" xr:uid="{00000000-0005-0000-0000-0000CC030000}"/>
    <cellStyle name="Check Cell" xfId="195" builtinId="23" customBuiltin="1"/>
    <cellStyle name="Check Cell 2" xfId="1772" xr:uid="{00000000-0005-0000-0000-0000CE030000}"/>
    <cellStyle name="Co. Names" xfId="577" xr:uid="{00000000-0005-0000-0000-0000CF030000}"/>
    <cellStyle name="Co. Names - Bold" xfId="578" xr:uid="{00000000-0005-0000-0000-0000D0030000}"/>
    <cellStyle name="Co. Names_Blend" xfId="579" xr:uid="{00000000-0005-0000-0000-0000D1030000}"/>
    <cellStyle name="Col Head" xfId="580" xr:uid="{00000000-0005-0000-0000-0000D2030000}"/>
    <cellStyle name="Col head bold" xfId="196" xr:uid="{00000000-0005-0000-0000-0000D3030000}"/>
    <cellStyle name="Col head light" xfId="197" xr:uid="{00000000-0005-0000-0000-0000D4030000}"/>
    <cellStyle name="COL HEADINGS" xfId="697" xr:uid="{00000000-0005-0000-0000-0000D5030000}"/>
    <cellStyle name="COL HEADINGS 2" xfId="698" xr:uid="{00000000-0005-0000-0000-0000D6030000}"/>
    <cellStyle name="ColGap" xfId="198" xr:uid="{00000000-0005-0000-0000-0000D7030000}"/>
    <cellStyle name="ColGap 2" xfId="1773" xr:uid="{00000000-0005-0000-0000-0000D8030000}"/>
    <cellStyle name="Colhead" xfId="699" xr:uid="{00000000-0005-0000-0000-0000D9030000}"/>
    <cellStyle name="Colhead 2" xfId="700" xr:uid="{00000000-0005-0000-0000-0000DA030000}"/>
    <cellStyle name="ColHeadEntry" xfId="199" xr:uid="{00000000-0005-0000-0000-0000DB030000}"/>
    <cellStyle name="ColHeading" xfId="701" xr:uid="{00000000-0005-0000-0000-0000DC030000}"/>
    <cellStyle name="colheadleft" xfId="702" xr:uid="{00000000-0005-0000-0000-0000DD030000}"/>
    <cellStyle name="colheadright" xfId="703" xr:uid="{00000000-0005-0000-0000-0000DE030000}"/>
    <cellStyle name="colheadright 2" xfId="704" xr:uid="{00000000-0005-0000-0000-0000DF030000}"/>
    <cellStyle name="ColHeadYear" xfId="200" xr:uid="{00000000-0005-0000-0000-0000E0030000}"/>
    <cellStyle name="ColHeadYear 2" xfId="1774" xr:uid="{00000000-0005-0000-0000-0000E1030000}"/>
    <cellStyle name="columns" xfId="705" xr:uid="{00000000-0005-0000-0000-0000E2030000}"/>
    <cellStyle name="Comma  - Style1" xfId="706" xr:uid="{00000000-0005-0000-0000-0000E3030000}"/>
    <cellStyle name="Comma  - Style2" xfId="707" xr:uid="{00000000-0005-0000-0000-0000E4030000}"/>
    <cellStyle name="Comma  - Style3" xfId="708" xr:uid="{00000000-0005-0000-0000-0000E5030000}"/>
    <cellStyle name="Comma  - Style4" xfId="709" xr:uid="{00000000-0005-0000-0000-0000E6030000}"/>
    <cellStyle name="Comma  - Style5" xfId="710" xr:uid="{00000000-0005-0000-0000-0000E7030000}"/>
    <cellStyle name="Comma  - Style6" xfId="711" xr:uid="{00000000-0005-0000-0000-0000E8030000}"/>
    <cellStyle name="Comma  - Style7" xfId="712" xr:uid="{00000000-0005-0000-0000-0000E9030000}"/>
    <cellStyle name="Comma  - Style8" xfId="713" xr:uid="{00000000-0005-0000-0000-0000EA030000}"/>
    <cellStyle name="comma (0)" xfId="714" xr:uid="{00000000-0005-0000-0000-0000EB030000}"/>
    <cellStyle name="comma (0) 2" xfId="715" xr:uid="{00000000-0005-0000-0000-0000EC030000}"/>
    <cellStyle name="Comma [0.0]" xfId="716" xr:uid="{00000000-0005-0000-0000-0000ED030000}"/>
    <cellStyle name="Comma [00]" xfId="201" xr:uid="{00000000-0005-0000-0000-0000EE030000}"/>
    <cellStyle name="Comma [1]" xfId="202" xr:uid="{00000000-0005-0000-0000-0000EF030000}"/>
    <cellStyle name="Comma 0" xfId="1775" xr:uid="{00000000-0005-0000-0000-0000F0030000}"/>
    <cellStyle name="Comma 2" xfId="632" xr:uid="{00000000-0005-0000-0000-0000F1030000}"/>
    <cellStyle name="Comma 2 2" xfId="1981" xr:uid="{00000000-0005-0000-0000-0000F2030000}"/>
    <cellStyle name="Comma 2 3" xfId="1996" xr:uid="{B3040738-23E4-4CC4-BAC4-745EA907CDF0}"/>
    <cellStyle name="Comma 3" xfId="639" xr:uid="{00000000-0005-0000-0000-0000F3030000}"/>
    <cellStyle name="Comma 3 2" xfId="1266" xr:uid="{00000000-0005-0000-0000-0000F4030000}"/>
    <cellStyle name="Comma 3 3" xfId="1268" xr:uid="{00000000-0005-0000-0000-0000F5030000}"/>
    <cellStyle name="Comma 4" xfId="1776" xr:uid="{00000000-0005-0000-0000-0000F6030000}"/>
    <cellStyle name="Comma 5" xfId="1777" xr:uid="{00000000-0005-0000-0000-0000F7030000}"/>
    <cellStyle name="Comma 6" xfId="1778" xr:uid="{00000000-0005-0000-0000-0000F8030000}"/>
    <cellStyle name="Comma 7" xfId="1994" xr:uid="{7D75BFC1-4A84-42D9-9A02-2AB5459DA32B}"/>
    <cellStyle name="Comma(1)" xfId="203" xr:uid="{00000000-0005-0000-0000-0000F9030000}"/>
    <cellStyle name="Comma, 1dec" xfId="1779" xr:uid="{00000000-0005-0000-0000-0000FA030000}"/>
    <cellStyle name="comma[1]" xfId="717" xr:uid="{00000000-0005-0000-0000-0000FB030000}"/>
    <cellStyle name="comma[2]" xfId="718" xr:uid="{00000000-0005-0000-0000-0000FC030000}"/>
    <cellStyle name="Comma_PBLMODEL" xfId="204" xr:uid="{00000000-0005-0000-0000-0000FD030000}"/>
    <cellStyle name="Comma0" xfId="581" xr:uid="{00000000-0005-0000-0000-0000FE030000}"/>
    <cellStyle name="Comma0 2" xfId="1780" xr:uid="{00000000-0005-0000-0000-0000FF030000}"/>
    <cellStyle name="Comma1" xfId="1781" xr:uid="{00000000-0005-0000-0000-000000040000}"/>
    <cellStyle name="Company" xfId="719" xr:uid="{00000000-0005-0000-0000-000001040000}"/>
    <cellStyle name="Company name" xfId="205" xr:uid="{00000000-0005-0000-0000-000002040000}"/>
    <cellStyle name="CompanyTitle" xfId="582" xr:uid="{00000000-0005-0000-0000-000003040000}"/>
    <cellStyle name="Cur" xfId="1782" xr:uid="{00000000-0005-0000-0000-000004040000}"/>
    <cellStyle name="curr" xfId="720" xr:uid="{00000000-0005-0000-0000-000005040000}"/>
    <cellStyle name="curr 2" xfId="721" xr:uid="{00000000-0005-0000-0000-000006040000}"/>
    <cellStyle name="CurRatio" xfId="722" xr:uid="{00000000-0005-0000-0000-000007040000}"/>
    <cellStyle name="Currency [00]" xfId="206" xr:uid="{00000000-0005-0000-0000-000008040000}"/>
    <cellStyle name="Currency [1]" xfId="723" xr:uid="{00000000-0005-0000-0000-000009040000}"/>
    <cellStyle name="Currency [2]" xfId="583" xr:uid="{00000000-0005-0000-0000-00000A040000}"/>
    <cellStyle name="Currency 0" xfId="1783" xr:uid="{00000000-0005-0000-0000-00000B040000}"/>
    <cellStyle name="Currency 0.0" xfId="207" xr:uid="{00000000-0005-0000-0000-00000C040000}"/>
    <cellStyle name="Currency 0.0 2" xfId="1784" xr:uid="{00000000-0005-0000-0000-00000D040000}"/>
    <cellStyle name="Currency 2" xfId="724" xr:uid="{00000000-0005-0000-0000-00000E040000}"/>
    <cellStyle name="Currency 2 2" xfId="725" xr:uid="{00000000-0005-0000-0000-00000F040000}"/>
    <cellStyle name="Currency 3" xfId="1785" xr:uid="{00000000-0005-0000-0000-000010040000}"/>
    <cellStyle name="Currency 4" xfId="1786" xr:uid="{00000000-0005-0000-0000-000011040000}"/>
    <cellStyle name="Currency 5" xfId="1787" xr:uid="{00000000-0005-0000-0000-000012040000}"/>
    <cellStyle name="Currency 6" xfId="1997" xr:uid="{578FE003-E2FC-4C1B-96DB-9DFBB21A0FA9}"/>
    <cellStyle name="Currency0" xfId="584" xr:uid="{00000000-0005-0000-0000-000013040000}"/>
    <cellStyle name="custom" xfId="208" xr:uid="{00000000-0005-0000-0000-000014040000}"/>
    <cellStyle name="CustomStyle1" xfId="726" xr:uid="{00000000-0005-0000-0000-000015040000}"/>
    <cellStyle name="d" xfId="1788" xr:uid="{00000000-0005-0000-0000-000016040000}"/>
    <cellStyle name="d_yield" xfId="727" xr:uid="{00000000-0005-0000-0000-000017040000}"/>
    <cellStyle name="d_yield_EBAYearn" xfId="728" xr:uid="{00000000-0005-0000-0000-000018040000}"/>
    <cellStyle name="d_yield_NFLXearn" xfId="729" xr:uid="{00000000-0005-0000-0000-000019040000}"/>
    <cellStyle name="dah" xfId="730" xr:uid="{00000000-0005-0000-0000-00001A040000}"/>
    <cellStyle name="dan" xfId="731" xr:uid="{00000000-0005-0000-0000-00001B040000}"/>
    <cellStyle name="Dash" xfId="732" xr:uid="{00000000-0005-0000-0000-00001C040000}"/>
    <cellStyle name="date" xfId="585" xr:uid="{00000000-0005-0000-0000-00001D040000}"/>
    <cellStyle name="DATE 2" xfId="1789" xr:uid="{00000000-0005-0000-0000-00001E040000}"/>
    <cellStyle name="Date Aligned" xfId="1790" xr:uid="{00000000-0005-0000-0000-00001F040000}"/>
    <cellStyle name="Date Line" xfId="209" xr:uid="{00000000-0005-0000-0000-000020040000}"/>
    <cellStyle name="Date Short" xfId="210" xr:uid="{00000000-0005-0000-0000-000021040000}"/>
    <cellStyle name="Date Short 2" xfId="1791" xr:uid="{00000000-0005-0000-0000-000022040000}"/>
    <cellStyle name="DATE_Output 0406" xfId="1792" xr:uid="{00000000-0005-0000-0000-000023040000}"/>
    <cellStyle name="Dates" xfId="733" xr:uid="{00000000-0005-0000-0000-000024040000}"/>
    <cellStyle name="DateYear" xfId="734" xr:uid="{00000000-0005-0000-0000-000025040000}"/>
    <cellStyle name="Dec" xfId="1793" xr:uid="{00000000-0005-0000-0000-000026040000}"/>
    <cellStyle name="Decimal Number" xfId="735" xr:uid="{00000000-0005-0000-0000-000027040000}"/>
    <cellStyle name="default" xfId="586" xr:uid="{00000000-0005-0000-0000-000028040000}"/>
    <cellStyle name="default 2" xfId="1794" xr:uid="{00000000-0005-0000-0000-000029040000}"/>
    <cellStyle name="default 3" xfId="1795" xr:uid="{00000000-0005-0000-0000-00002A040000}"/>
    <cellStyle name="DELTA" xfId="211" xr:uid="{00000000-0005-0000-0000-00002B040000}"/>
    <cellStyle name="Detail GL" xfId="736" xr:uid="{00000000-0005-0000-0000-00002C040000}"/>
    <cellStyle name="Dex Doub Line" xfId="737" xr:uid="{00000000-0005-0000-0000-00002D040000}"/>
    <cellStyle name="div" xfId="738" xr:uid="{00000000-0005-0000-0000-00002E040000}"/>
    <cellStyle name="Dollar" xfId="212" xr:uid="{00000000-0005-0000-0000-00002F040000}"/>
    <cellStyle name="Dollars" xfId="739" xr:uid="{00000000-0005-0000-0000-000030040000}"/>
    <cellStyle name="DollarWhole" xfId="740" xr:uid="{00000000-0005-0000-0000-000031040000}"/>
    <cellStyle name="Dotted Line" xfId="1796" xr:uid="{00000000-0005-0000-0000-000032040000}"/>
    <cellStyle name="Driver" xfId="741" xr:uid="{00000000-0005-0000-0000-000033040000}"/>
    <cellStyle name="Driver Lable" xfId="742" xr:uid="{00000000-0005-0000-0000-000034040000}"/>
    <cellStyle name="Driver_ATIval-matrix" xfId="743" xr:uid="{00000000-0005-0000-0000-000035040000}"/>
    <cellStyle name="emp" xfId="587" xr:uid="{00000000-0005-0000-0000-000036040000}"/>
    <cellStyle name="Enter Currency (0)" xfId="213" xr:uid="{00000000-0005-0000-0000-000037040000}"/>
    <cellStyle name="Enter Currency (2)" xfId="214" xr:uid="{00000000-0005-0000-0000-000038040000}"/>
    <cellStyle name="Enter Units (0)" xfId="215" xr:uid="{00000000-0005-0000-0000-000039040000}"/>
    <cellStyle name="Enter Units (1)" xfId="216" xr:uid="{00000000-0005-0000-0000-00003A040000}"/>
    <cellStyle name="Enter Units (2)" xfId="217" xr:uid="{00000000-0005-0000-0000-00003B040000}"/>
    <cellStyle name="EntryDesc" xfId="218" xr:uid="{00000000-0005-0000-0000-00003C040000}"/>
    <cellStyle name="EntryValue" xfId="219" xr:uid="{00000000-0005-0000-0000-00003D040000}"/>
    <cellStyle name="EntryValue 2" xfId="1797" xr:uid="{00000000-0005-0000-0000-00003E040000}"/>
    <cellStyle name="EP title bar" xfId="1798" xr:uid="{00000000-0005-0000-0000-00003F040000}"/>
    <cellStyle name="eps" xfId="744" xr:uid="{00000000-0005-0000-0000-000040040000}"/>
    <cellStyle name="eps$" xfId="745" xr:uid="{00000000-0005-0000-0000-000041040000}"/>
    <cellStyle name="eps$A" xfId="746" xr:uid="{00000000-0005-0000-0000-000042040000}"/>
    <cellStyle name="eps$E" xfId="747" xr:uid="{00000000-0005-0000-0000-000043040000}"/>
    <cellStyle name="EPS_Charts" xfId="748" xr:uid="{00000000-0005-0000-0000-000044040000}"/>
    <cellStyle name="epsA" xfId="749" xr:uid="{00000000-0005-0000-0000-000045040000}"/>
    <cellStyle name="EPSActual" xfId="750" xr:uid="{00000000-0005-0000-0000-000046040000}"/>
    <cellStyle name="epsE" xfId="751" xr:uid="{00000000-0005-0000-0000-000047040000}"/>
    <cellStyle name="EPSEstimate" xfId="752" xr:uid="{00000000-0005-0000-0000-000048040000}"/>
    <cellStyle name="Euro" xfId="753" xr:uid="{00000000-0005-0000-0000-000049040000}"/>
    <cellStyle name="Explanatory Text" xfId="220" builtinId="53" customBuiltin="1"/>
    <cellStyle name="Explanatory Text 2" xfId="1799" xr:uid="{00000000-0005-0000-0000-00004B040000}"/>
    <cellStyle name="External File Cells" xfId="221" xr:uid="{00000000-0005-0000-0000-00004C040000}"/>
    <cellStyle name="ExtStyle 0" xfId="754" xr:uid="{00000000-0005-0000-0000-00004D040000}"/>
    <cellStyle name="ExtStyle 16" xfId="755" xr:uid="{00000000-0005-0000-0000-00004E040000}"/>
    <cellStyle name="ExtStyle 17" xfId="756" xr:uid="{00000000-0005-0000-0000-00004F040000}"/>
    <cellStyle name="ExtStyle 19" xfId="757" xr:uid="{00000000-0005-0000-0000-000050040000}"/>
    <cellStyle name="ExtStyle 20" xfId="758" xr:uid="{00000000-0005-0000-0000-000051040000}"/>
    <cellStyle name="ExtStyle 21" xfId="759" xr:uid="{00000000-0005-0000-0000-000052040000}"/>
    <cellStyle name="ExtStyle 22" xfId="760" xr:uid="{00000000-0005-0000-0000-000053040000}"/>
    <cellStyle name="ExtStyle 23" xfId="761" xr:uid="{00000000-0005-0000-0000-000054040000}"/>
    <cellStyle name="ExtStyle 29" xfId="762" xr:uid="{00000000-0005-0000-0000-000055040000}"/>
    <cellStyle name="ExtStyle 30" xfId="763" xr:uid="{00000000-0005-0000-0000-000056040000}"/>
    <cellStyle name="ExtStyle 31" xfId="764" xr:uid="{00000000-0005-0000-0000-000057040000}"/>
    <cellStyle name="fcpc" xfId="1800" xr:uid="{00000000-0005-0000-0000-000058040000}"/>
    <cellStyle name="FILE" xfId="1801" xr:uid="{00000000-0005-0000-0000-000059040000}"/>
    <cellStyle name="FILEHEADER" xfId="1802" xr:uid="{00000000-0005-0000-0000-00005A040000}"/>
    <cellStyle name="Financials" xfId="765" xr:uid="{00000000-0005-0000-0000-00005B040000}"/>
    <cellStyle name="Fit" xfId="588" xr:uid="{00000000-0005-0000-0000-00005C040000}"/>
    <cellStyle name="Fixed" xfId="589" xr:uid="{00000000-0005-0000-0000-00005D040000}"/>
    <cellStyle name="fo]_x000d__x000a_UserName=Murat Zelef_x000d__x000a_UserCompany=Bumerang_x000d__x000a__x000d__x000a_[File Paths]_x000d__x000a_WorkingDirectory=C:\EQUIS\DLWIN_x000d__x000a_DownLoader=C" xfId="1803" xr:uid="{00000000-0005-0000-0000-00005E040000}"/>
    <cellStyle name="folio" xfId="222" xr:uid="{00000000-0005-0000-0000-00005F040000}"/>
    <cellStyle name="Font_Actual" xfId="223" xr:uid="{00000000-0005-0000-0000-000060040000}"/>
    <cellStyle name="Footnote" xfId="766" xr:uid="{00000000-0005-0000-0000-000061040000}"/>
    <cellStyle name="Footnotes" xfId="590" xr:uid="{00000000-0005-0000-0000-000062040000}"/>
    <cellStyle name="forecast" xfId="1804" xr:uid="{00000000-0005-0000-0000-000063040000}"/>
    <cellStyle name="Forecast Cells" xfId="224" xr:uid="{00000000-0005-0000-0000-000064040000}"/>
    <cellStyle name="Forecast Cells 2" xfId="1805" xr:uid="{00000000-0005-0000-0000-000065040000}"/>
    <cellStyle name="fourdecplace_Global 1 " xfId="1806" xr:uid="{00000000-0005-0000-0000-000066040000}"/>
    <cellStyle name="Fraction" xfId="225" xr:uid="{00000000-0005-0000-0000-000067040000}"/>
    <cellStyle name="frv" xfId="1807" xr:uid="{00000000-0005-0000-0000-000068040000}"/>
    <cellStyle name="Full" xfId="226" xr:uid="{00000000-0005-0000-0000-000069040000}"/>
    <cellStyle name="fy_eps$" xfId="767" xr:uid="{00000000-0005-0000-0000-00006A040000}"/>
    <cellStyle name="Fyear" xfId="227" xr:uid="{00000000-0005-0000-0000-00006B040000}"/>
    <cellStyle name="g" xfId="1808" xr:uid="{00000000-0005-0000-0000-00006C040000}"/>
    <cellStyle name="g_GSJBW 24Oct05hub3" xfId="1809" xr:uid="{00000000-0005-0000-0000-00006D040000}"/>
    <cellStyle name="g_rate" xfId="768" xr:uid="{00000000-0005-0000-0000-00006E040000}"/>
    <cellStyle name="g_rate_EBAYearn" xfId="769" xr:uid="{00000000-0005-0000-0000-00006F040000}"/>
    <cellStyle name="g_rate_NFLXearn" xfId="770" xr:uid="{00000000-0005-0000-0000-000070040000}"/>
    <cellStyle name="G1_1999 figures" xfId="228" xr:uid="{00000000-0005-0000-0000-000071040000}"/>
    <cellStyle name="G10" xfId="771" xr:uid="{00000000-0005-0000-0000-000072040000}"/>
    <cellStyle name="General" xfId="229" xr:uid="{00000000-0005-0000-0000-000073040000}"/>
    <cellStyle name="General 2" xfId="1810" xr:uid="{00000000-0005-0000-0000-000074040000}"/>
    <cellStyle name="Good" xfId="230" builtinId="26" customBuiltin="1"/>
    <cellStyle name="Good 2" xfId="354" xr:uid="{00000000-0005-0000-0000-000076040000}"/>
    <cellStyle name="Good 3" xfId="1811" xr:uid="{00000000-0005-0000-0000-000077040000}"/>
    <cellStyle name="Grey" xfId="231" xr:uid="{00000000-0005-0000-0000-000078040000}"/>
    <cellStyle name="GrowthRate" xfId="772" xr:uid="{00000000-0005-0000-0000-000079040000}"/>
    <cellStyle name="GrowthSeq" xfId="773" xr:uid="{00000000-0005-0000-0000-00007A040000}"/>
    <cellStyle name="gs]_x000a__x000a_Window=0,0,648,600, , ,1_x000a__x000a_dir1=0,239,640,478,-1,-1,1,30,204,1808,176,G:\SHARED\HUMRES\LYNN\*.*_x000a__x000a_AddOns=_x000a__x000a_" xfId="1812" xr:uid="{00000000-0005-0000-0000-00007B040000}"/>
    <cellStyle name="gs]_x000d__x000a_Window=0,0,648,600, , ,1_x000d__x000a_dir1=0,239,640,478,-1,-1,1,30,204,1808,176,G:\SHARED\HUMRES\LYNN\*.*_x000d__x000a_AddOns=_x000d__x000a_" xfId="1813" xr:uid="{00000000-0005-0000-0000-00007C040000}"/>
    <cellStyle name="H_1998_col_head" xfId="232" xr:uid="{00000000-0005-0000-0000-00007D040000}"/>
    <cellStyle name="H_1998_col_head_GS Banks Sector tables 2006-2008" xfId="1814" xr:uid="{00000000-0005-0000-0000-00007E040000}"/>
    <cellStyle name="H_1998_col_head_GS Banks Sector tables 2006-2008 2" xfId="1815" xr:uid="{00000000-0005-0000-0000-00007F040000}"/>
    <cellStyle name="H_1998_col_head_GS Banks Sector tables 2006-2008_Quantum global val" xfId="1816" xr:uid="{00000000-0005-0000-0000-000080040000}"/>
    <cellStyle name="H_1998_col_head_GS Banks Sector tables 2006-2008_Quantum global val 2" xfId="1817" xr:uid="{00000000-0005-0000-0000-000081040000}"/>
    <cellStyle name="H_1998_col_head_Output 0406" xfId="1818" xr:uid="{00000000-0005-0000-0000-000082040000}"/>
    <cellStyle name="H_1998_col_head_Output 0406 2" xfId="1819" xr:uid="{00000000-0005-0000-0000-000083040000}"/>
    <cellStyle name="H_1998_col_head_output 0504" xfId="1820" xr:uid="{00000000-0005-0000-0000-000084040000}"/>
    <cellStyle name="H_1998_col_head_output 0504 2" xfId="1821" xr:uid="{00000000-0005-0000-0000-000085040000}"/>
    <cellStyle name="H_1999_col_head" xfId="233" xr:uid="{00000000-0005-0000-0000-000086040000}"/>
    <cellStyle name="H1_1998 figures" xfId="234" xr:uid="{00000000-0005-0000-0000-000087040000}"/>
    <cellStyle name="HALF" xfId="235" xr:uid="{00000000-0005-0000-0000-000088040000}"/>
    <cellStyle name="hard no." xfId="1822" xr:uid="{00000000-0005-0000-0000-000089040000}"/>
    <cellStyle name="Hard Percent" xfId="1823" xr:uid="{00000000-0005-0000-0000-00008A040000}"/>
    <cellStyle name="Hardplug bold" xfId="1824" xr:uid="{00000000-0005-0000-0000-00008B040000}"/>
    <cellStyle name="Head 1" xfId="236" xr:uid="{00000000-0005-0000-0000-00008C040000}"/>
    <cellStyle name="Head 2" xfId="237" xr:uid="{00000000-0005-0000-0000-00008D040000}"/>
    <cellStyle name="Head 3" xfId="238" xr:uid="{00000000-0005-0000-0000-00008E040000}"/>
    <cellStyle name="head1" xfId="774" xr:uid="{00000000-0005-0000-0000-00008F040000}"/>
    <cellStyle name="head2" xfId="775" xr:uid="{00000000-0005-0000-0000-000090040000}"/>
    <cellStyle name="Header" xfId="239" xr:uid="{00000000-0005-0000-0000-000091040000}"/>
    <cellStyle name="Header1" xfId="240" xr:uid="{00000000-0005-0000-0000-000092040000}"/>
    <cellStyle name="Header2" xfId="241" xr:uid="{00000000-0005-0000-0000-000093040000}"/>
    <cellStyle name="Heading" xfId="242" xr:uid="{00000000-0005-0000-0000-000094040000}"/>
    <cellStyle name="Heading 1" xfId="243" builtinId="16" customBuiltin="1"/>
    <cellStyle name="Heading 1 2" xfId="1825" xr:uid="{00000000-0005-0000-0000-000096040000}"/>
    <cellStyle name="Heading 2" xfId="244" builtinId="17" customBuiltin="1"/>
    <cellStyle name="Heading 2 2" xfId="1826" xr:uid="{00000000-0005-0000-0000-000098040000}"/>
    <cellStyle name="Heading 3" xfId="245" builtinId="18" customBuiltin="1"/>
    <cellStyle name="Heading 3 2" xfId="1827" xr:uid="{00000000-0005-0000-0000-00009A040000}"/>
    <cellStyle name="Heading 4" xfId="246" builtinId="19" customBuiltin="1"/>
    <cellStyle name="Heading 4 2" xfId="1828" xr:uid="{00000000-0005-0000-0000-00009C040000}"/>
    <cellStyle name="Heading 5" xfId="1829" xr:uid="{00000000-0005-0000-0000-00009D040000}"/>
    <cellStyle name="Heading1" xfId="247" xr:uid="{00000000-0005-0000-0000-00009E040000}"/>
    <cellStyle name="Heading2" xfId="248" xr:uid="{00000000-0005-0000-0000-00009F040000}"/>
    <cellStyle name="HeadlineStyle" xfId="776" xr:uid="{00000000-0005-0000-0000-0000A0040000}"/>
    <cellStyle name="HeadlineStyleJustified" xfId="777" xr:uid="{00000000-0005-0000-0000-0000A1040000}"/>
    <cellStyle name="Heavy Top Line" xfId="778" xr:uid="{00000000-0005-0000-0000-0000A2040000}"/>
    <cellStyle name="Helv" xfId="249" xr:uid="{00000000-0005-0000-0000-0000A3040000}"/>
    <cellStyle name="hidden" xfId="1830" xr:uid="{00000000-0005-0000-0000-0000A4040000}"/>
    <cellStyle name="Hyperlink" xfId="1986" builtinId="8"/>
    <cellStyle name="Hyperlink 2" xfId="1988" xr:uid="{00000000-0005-0000-0000-0000A6040000}"/>
    <cellStyle name="Hyperlink 2 2" xfId="1990" xr:uid="{0A58095C-7E6D-435C-A48B-24B7E1840B81}"/>
    <cellStyle name="iannumber" xfId="1831" xr:uid="{00000000-0005-0000-0000-0000A7040000}"/>
    <cellStyle name="ianpercent" xfId="1832" xr:uid="{00000000-0005-0000-0000-0000A8040000}"/>
    <cellStyle name="Income" xfId="250" xr:uid="{00000000-0005-0000-0000-0000A9040000}"/>
    <cellStyle name="IncomeStatement" xfId="779" xr:uid="{00000000-0005-0000-0000-0000AA040000}"/>
    <cellStyle name="Infometrics" xfId="1833" xr:uid="{00000000-0005-0000-0000-0000AB040000}"/>
    <cellStyle name="Input" xfId="251" builtinId="20" customBuiltin="1"/>
    <cellStyle name="Input [yellow]" xfId="252" xr:uid="{00000000-0005-0000-0000-0000AD040000}"/>
    <cellStyle name="Input 2" xfId="1834" xr:uid="{00000000-0005-0000-0000-0000AE040000}"/>
    <cellStyle name="Input 3" xfId="1835" xr:uid="{00000000-0005-0000-0000-0000AF040000}"/>
    <cellStyle name="Input 4" xfId="1836" xr:uid="{00000000-0005-0000-0000-0000B0040000}"/>
    <cellStyle name="Input Cells" xfId="253" xr:uid="{00000000-0005-0000-0000-0000B1040000}"/>
    <cellStyle name="input percent" xfId="1837" xr:uid="{00000000-0005-0000-0000-0000B2040000}"/>
    <cellStyle name="Inputs" xfId="254" xr:uid="{00000000-0005-0000-0000-0000B3040000}"/>
    <cellStyle name="Integer" xfId="780" xr:uid="{00000000-0005-0000-0000-0000B4040000}"/>
    <cellStyle name="ITALICS" xfId="255" xr:uid="{00000000-0005-0000-0000-0000B5040000}"/>
    <cellStyle name="Item" xfId="781" xr:uid="{00000000-0005-0000-0000-0000B6040000}"/>
    <cellStyle name="Item Descriptions" xfId="591" xr:uid="{00000000-0005-0000-0000-0000B7040000}"/>
    <cellStyle name="Items_Optional" xfId="782" xr:uid="{00000000-0005-0000-0000-0000B8040000}"/>
    <cellStyle name="ItemTypeClass" xfId="783" xr:uid="{00000000-0005-0000-0000-0000B9040000}"/>
    <cellStyle name="Joe" xfId="1838" xr:uid="{00000000-0005-0000-0000-0000BA040000}"/>
    <cellStyle name="KP_Normal" xfId="784" xr:uid="{00000000-0005-0000-0000-0000BB040000}"/>
    <cellStyle name="leger" xfId="1839" xr:uid="{00000000-0005-0000-0000-0000BC040000}"/>
    <cellStyle name="Line" xfId="592" xr:uid="{00000000-0005-0000-0000-0000BD040000}"/>
    <cellStyle name="Link" xfId="256" xr:uid="{00000000-0005-0000-0000-0000BE040000}"/>
    <cellStyle name="Link Currency (0)" xfId="257" xr:uid="{00000000-0005-0000-0000-0000BF040000}"/>
    <cellStyle name="Link Currency (2)" xfId="258" xr:uid="{00000000-0005-0000-0000-0000C0040000}"/>
    <cellStyle name="Link Units (0)" xfId="259" xr:uid="{00000000-0005-0000-0000-0000C1040000}"/>
    <cellStyle name="Link Units (1)" xfId="260" xr:uid="{00000000-0005-0000-0000-0000C2040000}"/>
    <cellStyle name="Link Units (2)" xfId="261" xr:uid="{00000000-0005-0000-0000-0000C3040000}"/>
    <cellStyle name="Linked Cell" xfId="262" builtinId="24" customBuiltin="1"/>
    <cellStyle name="Linked Cell 2" xfId="1840" xr:uid="{00000000-0005-0000-0000-0000C5040000}"/>
    <cellStyle name="m" xfId="785" xr:uid="{00000000-0005-0000-0000-0000C6040000}"/>
    <cellStyle name="m 2" xfId="1841" xr:uid="{00000000-0005-0000-0000-0000C7040000}"/>
    <cellStyle name="m$" xfId="786" xr:uid="{00000000-0005-0000-0000-0000C8040000}"/>
    <cellStyle name="Macro Heading" xfId="1842" xr:uid="{00000000-0005-0000-0000-0000C9040000}"/>
    <cellStyle name="Macro Text" xfId="1843" xr:uid="{00000000-0005-0000-0000-0000CA040000}"/>
    <cellStyle name="Macro Text 2" xfId="1844" xr:uid="{00000000-0005-0000-0000-0000CB040000}"/>
    <cellStyle name="Macrobutton" xfId="1845" xr:uid="{00000000-0005-0000-0000-0000CC040000}"/>
    <cellStyle name="MAG" xfId="263" xr:uid="{00000000-0005-0000-0000-0000CD040000}"/>
    <cellStyle name="Mainhead" xfId="264" xr:uid="{00000000-0005-0000-0000-0000CE040000}"/>
    <cellStyle name="MainHeading" xfId="787" xr:uid="{00000000-0005-0000-0000-0000CF040000}"/>
    <cellStyle name="Margin" xfId="788" xr:uid="{00000000-0005-0000-0000-0000D0040000}"/>
    <cellStyle name="Margins" xfId="789" xr:uid="{00000000-0005-0000-0000-0000D1040000}"/>
    <cellStyle name="Merrill" xfId="593" xr:uid="{00000000-0005-0000-0000-0000D2040000}"/>
    <cellStyle name="Millares [0]_AUDIO" xfId="1846" xr:uid="{00000000-0005-0000-0000-0000D3040000}"/>
    <cellStyle name="Millares_AIRTEL08" xfId="1847" xr:uid="{00000000-0005-0000-0000-0000D4040000}"/>
    <cellStyle name="Milliers [0]_laroux" xfId="790" xr:uid="{00000000-0005-0000-0000-0000D5040000}"/>
    <cellStyle name="Milliers_laroux" xfId="791" xr:uid="{00000000-0005-0000-0000-0000D6040000}"/>
    <cellStyle name="Mix" xfId="594" xr:uid="{00000000-0005-0000-0000-0000D7040000}"/>
    <cellStyle name="mm" xfId="792" xr:uid="{00000000-0005-0000-0000-0000D8040000}"/>
    <cellStyle name="mmm-yy" xfId="1848" xr:uid="{00000000-0005-0000-0000-0000D9040000}"/>
    <cellStyle name="Moneda [0]_AUDIO" xfId="1849" xr:uid="{00000000-0005-0000-0000-0000DA040000}"/>
    <cellStyle name="Moneda_AIRTEL08" xfId="1850" xr:uid="{00000000-0005-0000-0000-0000DB040000}"/>
    <cellStyle name="Monétaire [0]_laroux" xfId="793" xr:uid="{00000000-0005-0000-0000-0000DC040000}"/>
    <cellStyle name="Monétaire_laroux" xfId="794" xr:uid="{00000000-0005-0000-0000-0000DD040000}"/>
    <cellStyle name="Monitor" xfId="595" xr:uid="{00000000-0005-0000-0000-0000DE040000}"/>
    <cellStyle name="Multiple" xfId="596" xr:uid="{00000000-0005-0000-0000-0000DF040000}"/>
    <cellStyle name="Multiple [0]" xfId="795" xr:uid="{00000000-0005-0000-0000-0000E0040000}"/>
    <cellStyle name="Multiple_AMZNearn" xfId="796" xr:uid="{00000000-0005-0000-0000-0000E1040000}"/>
    <cellStyle name="MultipleBelow" xfId="1851" xr:uid="{00000000-0005-0000-0000-0000E2040000}"/>
    <cellStyle name="Name" xfId="265" xr:uid="{00000000-0005-0000-0000-0000E3040000}"/>
    <cellStyle name="ncurrency" xfId="797" xr:uid="{00000000-0005-0000-0000-0000E4040000}"/>
    <cellStyle name="negativ" xfId="798" xr:uid="{00000000-0005-0000-0000-0000E5040000}"/>
    <cellStyle name="negativ 2" xfId="799" xr:uid="{00000000-0005-0000-0000-0000E6040000}"/>
    <cellStyle name="Neutral" xfId="266" builtinId="28" customBuiltin="1"/>
    <cellStyle name="Neutral 2" xfId="355" xr:uid="{00000000-0005-0000-0000-0000E8040000}"/>
    <cellStyle name="Neutral 3" xfId="1852" xr:uid="{00000000-0005-0000-0000-0000E9040000}"/>
    <cellStyle name="new" xfId="267" xr:uid="{00000000-0005-0000-0000-0000EA040000}"/>
    <cellStyle name="NewAcct" xfId="268" xr:uid="{00000000-0005-0000-0000-0000EB040000}"/>
    <cellStyle name="ninput" xfId="800" xr:uid="{00000000-0005-0000-0000-0000EC040000}"/>
    <cellStyle name="nnnn" xfId="801" xr:uid="{00000000-0005-0000-0000-0000ED040000}"/>
    <cellStyle name="No Border" xfId="802" xr:uid="{00000000-0005-0000-0000-0000EE040000}"/>
    <cellStyle name="No comma" xfId="269" xr:uid="{00000000-0005-0000-0000-0000EF040000}"/>
    <cellStyle name="no dec" xfId="270" xr:uid="{00000000-0005-0000-0000-0000F0040000}"/>
    <cellStyle name="No Decimal" xfId="271" xr:uid="{00000000-0005-0000-0000-0000F1040000}"/>
    <cellStyle name="No Decimal 2" xfId="1853" xr:uid="{00000000-0005-0000-0000-0000F2040000}"/>
    <cellStyle name="Nodec" xfId="1854" xr:uid="{00000000-0005-0000-0000-0000F3040000}"/>
    <cellStyle name="nodollars" xfId="803" xr:uid="{00000000-0005-0000-0000-0000F4040000}"/>
    <cellStyle name="non-input" xfId="272" xr:uid="{00000000-0005-0000-0000-0000F5040000}"/>
    <cellStyle name="nonmultiple" xfId="1855" xr:uid="{00000000-0005-0000-0000-0000F6040000}"/>
    <cellStyle name="nonmultiple 2" xfId="1856" xr:uid="{00000000-0005-0000-0000-0000F7040000}"/>
    <cellStyle name="Norm" xfId="273" xr:uid="{00000000-0005-0000-0000-0000F8040000}"/>
    <cellStyle name="Normal" xfId="0" builtinId="0"/>
    <cellStyle name="Normal - Style1" xfId="274" xr:uid="{00000000-0005-0000-0000-0000FA040000}"/>
    <cellStyle name="Normal 0.0" xfId="275" xr:uid="{00000000-0005-0000-0000-0000FB040000}"/>
    <cellStyle name="Normal 2" xfId="353" xr:uid="{00000000-0005-0000-0000-0000FC040000}"/>
    <cellStyle name="Normal 2 2" xfId="630" xr:uid="{00000000-0005-0000-0000-0000FD040000}"/>
    <cellStyle name="Normal 2 2 2" xfId="1857" xr:uid="{00000000-0005-0000-0000-0000FE040000}"/>
    <cellStyle name="Normal 2 3" xfId="636" xr:uid="{00000000-0005-0000-0000-0000FF040000}"/>
    <cellStyle name="Normal 2 4" xfId="1987" xr:uid="{00000000-0005-0000-0000-000000050000}"/>
    <cellStyle name="Normal 2 4 2" xfId="1991" xr:uid="{199082AB-B5B0-493F-BF14-0B63CB0188DD}"/>
    <cellStyle name="Normal 3" xfId="597" xr:uid="{00000000-0005-0000-0000-000001050000}"/>
    <cellStyle name="Normal 3 2" xfId="1858" xr:uid="{00000000-0005-0000-0000-000002050000}"/>
    <cellStyle name="Normal 3 2 2" xfId="1859" xr:uid="{00000000-0005-0000-0000-000003050000}"/>
    <cellStyle name="Normal 3 3" xfId="1860" xr:uid="{00000000-0005-0000-0000-000004050000}"/>
    <cellStyle name="Normal 3 4" xfId="1995" xr:uid="{A2FEC954-9BE8-4B85-A859-80461286BDE0}"/>
    <cellStyle name="Normal 4" xfId="633" xr:uid="{00000000-0005-0000-0000-000005050000}"/>
    <cellStyle name="Normal 4 2" xfId="1267" xr:uid="{00000000-0005-0000-0000-000006050000}"/>
    <cellStyle name="Normal 4 3" xfId="1980" xr:uid="{00000000-0005-0000-0000-000007050000}"/>
    <cellStyle name="Normal 5" xfId="637" xr:uid="{00000000-0005-0000-0000-000008050000}"/>
    <cellStyle name="Normal 5 2" xfId="1264" xr:uid="{00000000-0005-0000-0000-000009050000}"/>
    <cellStyle name="Normal 5 3" xfId="1989" xr:uid="{00000000-0005-0000-0000-00000A050000}"/>
    <cellStyle name="Normal 6" xfId="1861" xr:uid="{00000000-0005-0000-0000-00000B050000}"/>
    <cellStyle name="Normal 7" xfId="1862" xr:uid="{00000000-0005-0000-0000-00000C050000}"/>
    <cellStyle name="Normal 8" xfId="1863" xr:uid="{00000000-0005-0000-0000-00000D050000}"/>
    <cellStyle name="Normal Cells" xfId="276" xr:uid="{00000000-0005-0000-0000-00000E050000}"/>
    <cellStyle name="Normal Number" xfId="804" xr:uid="{00000000-0005-0000-0000-00000F050000}"/>
    <cellStyle name="Normal(0)" xfId="805" xr:uid="{00000000-0005-0000-0000-000010050000}"/>
    <cellStyle name="Normal_ccic model LATEST18 in GS Exhibit Format" xfId="1992" xr:uid="{3DA7D1B9-69A6-489A-985F-7227452116FB}"/>
    <cellStyle name="Normal_INDUST_TPLATE" xfId="277" xr:uid="{00000000-0005-0000-0000-000011050000}"/>
    <cellStyle name="Normal_JCP (cleared)" xfId="1985" xr:uid="{00000000-0005-0000-0000-000012050000}"/>
    <cellStyle name="Normal_PBLMODEL" xfId="278" xr:uid="{00000000-0005-0000-0000-000013050000}"/>
    <cellStyle name="Normal_PBLMODEL 2" xfId="629" xr:uid="{00000000-0005-0000-0000-000014050000}"/>
    <cellStyle name="Normal_Q" xfId="1984" xr:uid="{00000000-0005-0000-0000-000015050000}"/>
    <cellStyle name="Normal_sbcestimate" xfId="279" xr:uid="{00000000-0005-0000-0000-000016050000}"/>
    <cellStyle name="Normalny_SAQ_NEW" xfId="1864" xr:uid="{00000000-0005-0000-0000-000018050000}"/>
    <cellStyle name="Note" xfId="280" builtinId="10" customBuiltin="1"/>
    <cellStyle name="Note 2" xfId="1865" xr:uid="{00000000-0005-0000-0000-00001A050000}"/>
    <cellStyle name="Note 3" xfId="1866" xr:uid="{00000000-0005-0000-0000-00001B050000}"/>
    <cellStyle name="Notes" xfId="281" xr:uid="{00000000-0005-0000-0000-00001C050000}"/>
    <cellStyle name="npercent" xfId="806" xr:uid="{00000000-0005-0000-0000-00001D050000}"/>
    <cellStyle name="Num_Date" xfId="282" xr:uid="{00000000-0005-0000-0000-00001E050000}"/>
    <cellStyle name="Number" xfId="283" xr:uid="{00000000-0005-0000-0000-00001F050000}"/>
    <cellStyle name="Numbers" xfId="598" xr:uid="{00000000-0005-0000-0000-000020050000}"/>
    <cellStyle name="Numbers - Bold" xfId="599" xr:uid="{00000000-0005-0000-0000-000021050000}"/>
    <cellStyle name="Numbers - Bold - Italic" xfId="600" xr:uid="{00000000-0005-0000-0000-000022050000}"/>
    <cellStyle name="Numbers - Bold_Blend" xfId="601" xr:uid="{00000000-0005-0000-0000-000023050000}"/>
    <cellStyle name="Numbers - Large" xfId="602" xr:uid="{00000000-0005-0000-0000-000024050000}"/>
    <cellStyle name="Numbers Bold" xfId="284" xr:uid="{00000000-0005-0000-0000-000025050000}"/>
    <cellStyle name="Numbers Bold (0)" xfId="285" xr:uid="{00000000-0005-0000-0000-000026050000}"/>
    <cellStyle name="Numbers Bold (no point)" xfId="286" xr:uid="{00000000-0005-0000-0000-000027050000}"/>
    <cellStyle name="Numbers Light" xfId="287" xr:uid="{00000000-0005-0000-0000-000028050000}"/>
    <cellStyle name="Numbers_Comps" xfId="603" xr:uid="{00000000-0005-0000-0000-000029050000}"/>
    <cellStyle name="numero input" xfId="1867" xr:uid="{00000000-0005-0000-0000-00002A050000}"/>
    <cellStyle name="numero normal" xfId="1868" xr:uid="{00000000-0005-0000-0000-00002B050000}"/>
    <cellStyle name="Œ…‹æØ‚è [0.00]_GE 3 MINIMUM" xfId="807" xr:uid="{00000000-0005-0000-0000-00002C050000}"/>
    <cellStyle name="Œ…‹æØ‚è_GE 3 MINIMUM" xfId="808" xr:uid="{00000000-0005-0000-0000-00002D050000}"/>
    <cellStyle name="oft Excel]_x000a__x000a_Comment=The open=/f lines load custom functions into the Paste Function list._x000a__x000a_Maximized=3_x000a__x000a_Basics=1_x000a__x000a_D" xfId="1869" xr:uid="{00000000-0005-0000-0000-00002E050000}"/>
    <cellStyle name="oft Excel]_x000a__x000a_Options5=18331_x000a__x000a_Basics=1_x000a__x000a_USER=TELECOM NZ LTD_x000a__x000a_CBTLOCATION=C:\APPS\MSOFFICE\EXCEL5\EXCELCBT_x000a__x000a_Font=Arial" xfId="1870" xr:uid="{00000000-0005-0000-0000-00002F050000}"/>
    <cellStyle name="oft Excel]_x000d__x000a_Comment=The open=/f lines load custom functions into the Paste Function list._x000d__x000a_Maximized=3_x000d__x000a_Basics=1_x000d__x000a_D" xfId="1871" xr:uid="{00000000-0005-0000-0000-000030050000}"/>
    <cellStyle name="oft Excel]_x000d__x000a_Options5=18331_x000d__x000a_Basics=1_x000d__x000a_USER=TELECOM NZ LTD_x000d__x000a_CBTLOCATION=C:\APPS\MSOFFICE\EXCEL5\EXCELCBT_x000d__x000a_Font=Arial" xfId="1872" xr:uid="{00000000-0005-0000-0000-000031050000}"/>
    <cellStyle name="oft Word]_x000a__x000a_WPHelp=0_x000a__x000a_NoLongNetNames=Yes_x000a__x000a_USER-DOT-PATH=C:\MSOFFICE\WINWORD6\TEMPLATE_x000a__x000a_WORKGROUP-DOT-PATH=C:\MSOFFIC" xfId="1873" xr:uid="{00000000-0005-0000-0000-000032050000}"/>
    <cellStyle name="oft Word]_x000d__x000a_WPHelp=0_x000d__x000a_NoLongNetNames=Yes_x000d__x000a_USER-DOT-PATH=C:\MSOFFICE\WINWORD6\TEMPLATE_x000d__x000a_WORKGROUP-DOT-PATH=C:\MSOFFIC" xfId="1874" xr:uid="{00000000-0005-0000-0000-000033050000}"/>
    <cellStyle name="Onedec" xfId="1875" xr:uid="{00000000-0005-0000-0000-000034050000}"/>
    <cellStyle name="orh" xfId="809" xr:uid="{00000000-0005-0000-0000-000035050000}"/>
    <cellStyle name="OSW_ColumnLabels" xfId="604" xr:uid="{00000000-0005-0000-0000-000036050000}"/>
    <cellStyle name="Output" xfId="288" builtinId="21" customBuiltin="1"/>
    <cellStyle name="Output 2" xfId="357" xr:uid="{00000000-0005-0000-0000-000038050000}"/>
    <cellStyle name="Output 3" xfId="1876" xr:uid="{00000000-0005-0000-0000-000039050000}"/>
    <cellStyle name="over" xfId="810" xr:uid="{00000000-0005-0000-0000-00003A050000}"/>
    <cellStyle name="p" xfId="811" xr:uid="{00000000-0005-0000-0000-00003B050000}"/>
    <cellStyle name="Page" xfId="605" xr:uid="{00000000-0005-0000-0000-00003C050000}"/>
    <cellStyle name="Page Head" xfId="289" xr:uid="{00000000-0005-0000-0000-00003D050000}"/>
    <cellStyle name="Page header" xfId="290" xr:uid="{00000000-0005-0000-0000-00003E050000}"/>
    <cellStyle name="Page Number" xfId="1877" xr:uid="{00000000-0005-0000-0000-00003F050000}"/>
    <cellStyle name="Pattern" xfId="1878" xr:uid="{00000000-0005-0000-0000-000040050000}"/>
    <cellStyle name="patterns" xfId="291" xr:uid="{00000000-0005-0000-0000-000041050000}"/>
    <cellStyle name="PB Table Heading" xfId="812" xr:uid="{00000000-0005-0000-0000-000042050000}"/>
    <cellStyle name="PB Table Highlight1" xfId="813" xr:uid="{00000000-0005-0000-0000-000043050000}"/>
    <cellStyle name="PB Table Highlight2" xfId="814" xr:uid="{00000000-0005-0000-0000-000044050000}"/>
    <cellStyle name="PB Table Highlight3" xfId="815" xr:uid="{00000000-0005-0000-0000-000045050000}"/>
    <cellStyle name="PB Table Standard Row" xfId="816" xr:uid="{00000000-0005-0000-0000-000046050000}"/>
    <cellStyle name="PB Table Subtotal Row" xfId="817" xr:uid="{00000000-0005-0000-0000-000047050000}"/>
    <cellStyle name="PB Table Subtotal Row 2" xfId="818" xr:uid="{00000000-0005-0000-0000-000048050000}"/>
    <cellStyle name="PB Table Subtotal Row 2 2" xfId="819" xr:uid="{00000000-0005-0000-0000-000049050000}"/>
    <cellStyle name="PB Table Subtotal Row 2 3" xfId="820" xr:uid="{00000000-0005-0000-0000-00004A050000}"/>
    <cellStyle name="PB Table Subtotal Row 3" xfId="821" xr:uid="{00000000-0005-0000-0000-00004B050000}"/>
    <cellStyle name="PB Table Subtotal Row 3 2" xfId="822" xr:uid="{00000000-0005-0000-0000-00004C050000}"/>
    <cellStyle name="PB Table Subtotal Row 3 3" xfId="823" xr:uid="{00000000-0005-0000-0000-00004D050000}"/>
    <cellStyle name="PB Table Subtotal Row 4" xfId="824" xr:uid="{00000000-0005-0000-0000-00004E050000}"/>
    <cellStyle name="PB Table Subtotal Row 4 2" xfId="825" xr:uid="{00000000-0005-0000-0000-00004F050000}"/>
    <cellStyle name="PB Table Subtotal Row 4 3" xfId="826" xr:uid="{00000000-0005-0000-0000-000050050000}"/>
    <cellStyle name="PB Table Total Row" xfId="827" xr:uid="{00000000-0005-0000-0000-000051050000}"/>
    <cellStyle name="pe" xfId="828" xr:uid="{00000000-0005-0000-0000-000052050000}"/>
    <cellStyle name="PEG" xfId="829" xr:uid="{00000000-0005-0000-0000-000053050000}"/>
    <cellStyle name="Per" xfId="1879" xr:uid="{00000000-0005-0000-0000-000054050000}"/>
    <cellStyle name="Percent" xfId="292" builtinId="5"/>
    <cellStyle name="percent (0)" xfId="830" xr:uid="{00000000-0005-0000-0000-000056050000}"/>
    <cellStyle name="Percent [0]" xfId="293" xr:uid="{00000000-0005-0000-0000-000057050000}"/>
    <cellStyle name="Percent [00]" xfId="294" xr:uid="{00000000-0005-0000-0000-000058050000}"/>
    <cellStyle name="Percent [1]" xfId="295" xr:uid="{00000000-0005-0000-0000-000059050000}"/>
    <cellStyle name="Percent [2]" xfId="296" xr:uid="{00000000-0005-0000-0000-00005A050000}"/>
    <cellStyle name="Percent 0.0" xfId="297" xr:uid="{00000000-0005-0000-0000-00005B050000}"/>
    <cellStyle name="Percent 1" xfId="831" xr:uid="{00000000-0005-0000-0000-00005C050000}"/>
    <cellStyle name="Percent 2" xfId="631" xr:uid="{00000000-0005-0000-0000-00005D050000}"/>
    <cellStyle name="Percent 2 2" xfId="640" xr:uid="{00000000-0005-0000-0000-00005E050000}"/>
    <cellStyle name="Percent 2 3" xfId="1982" xr:uid="{00000000-0005-0000-0000-00005F050000}"/>
    <cellStyle name="Percent 3" xfId="634" xr:uid="{00000000-0005-0000-0000-000060050000}"/>
    <cellStyle name="Percent 3 2" xfId="1265" xr:uid="{00000000-0005-0000-0000-000061050000}"/>
    <cellStyle name="Percent 3 3" xfId="1269" xr:uid="{00000000-0005-0000-0000-000062050000}"/>
    <cellStyle name="Percent 3 3 2" xfId="1983" xr:uid="{00000000-0005-0000-0000-000063050000}"/>
    <cellStyle name="Percent 4" xfId="638" xr:uid="{00000000-0005-0000-0000-000064050000}"/>
    <cellStyle name="Percent 5" xfId="1880" xr:uid="{00000000-0005-0000-0000-000065050000}"/>
    <cellStyle name="Percent 6" xfId="1993" xr:uid="{23B84CAD-E232-4BA4-B086-F9A918D00DA3}"/>
    <cellStyle name="Percent(1)" xfId="298" xr:uid="{00000000-0005-0000-0000-000066050000}"/>
    <cellStyle name="Percent(1) 2" xfId="1881" xr:uid="{00000000-0005-0000-0000-000067050000}"/>
    <cellStyle name="Percentage" xfId="606" xr:uid="{00000000-0005-0000-0000-000068050000}"/>
    <cellStyle name="PercentChange" xfId="832" xr:uid="{00000000-0005-0000-0000-000069050000}"/>
    <cellStyle name="PercentPresentation" xfId="833" xr:uid="{00000000-0005-0000-0000-00006A050000}"/>
    <cellStyle name="PerShare" xfId="834" xr:uid="{00000000-0005-0000-0000-00006B050000}"/>
    <cellStyle name="PlainDollar" xfId="299" xr:uid="{00000000-0005-0000-0000-00006C050000}"/>
    <cellStyle name="POPS" xfId="835" xr:uid="{00000000-0005-0000-0000-00006D050000}"/>
    <cellStyle name="Porcentual_Macro2" xfId="1882" xr:uid="{00000000-0005-0000-0000-00006E050000}"/>
    <cellStyle name="posit" xfId="836" xr:uid="{00000000-0005-0000-0000-00006F050000}"/>
    <cellStyle name="Preffered" xfId="300" xr:uid="{00000000-0005-0000-0000-000070050000}"/>
    <cellStyle name="PrePop Currency (0)" xfId="301" xr:uid="{00000000-0005-0000-0000-000071050000}"/>
    <cellStyle name="PrePop Currency (2)" xfId="302" xr:uid="{00000000-0005-0000-0000-000072050000}"/>
    <cellStyle name="PrePop Units (0)" xfId="303" xr:uid="{00000000-0005-0000-0000-000073050000}"/>
    <cellStyle name="PrePop Units (1)" xfId="304" xr:uid="{00000000-0005-0000-0000-000074050000}"/>
    <cellStyle name="PrePop Units (2)" xfId="305" xr:uid="{00000000-0005-0000-0000-000075050000}"/>
    <cellStyle name="Presentation" xfId="837" xr:uid="{00000000-0005-0000-0000-000076050000}"/>
    <cellStyle name="PresentationZero" xfId="838" xr:uid="{00000000-0005-0000-0000-000077050000}"/>
    <cellStyle name="Price" xfId="306" xr:uid="{00000000-0005-0000-0000-000078050000}"/>
    <cellStyle name="prot" xfId="607" xr:uid="{00000000-0005-0000-0000-000079050000}"/>
    <cellStyle name="PSChar" xfId="839" xr:uid="{00000000-0005-0000-0000-00007A050000}"/>
    <cellStyle name="PSDate" xfId="840" xr:uid="{00000000-0005-0000-0000-00007B050000}"/>
    <cellStyle name="PSDec" xfId="841" xr:uid="{00000000-0005-0000-0000-00007C050000}"/>
    <cellStyle name="PSHeading" xfId="842" xr:uid="{00000000-0005-0000-0000-00007D050000}"/>
    <cellStyle name="PSHeading 2" xfId="843" xr:uid="{00000000-0005-0000-0000-00007E050000}"/>
    <cellStyle name="PSInt" xfId="844" xr:uid="{00000000-0005-0000-0000-00007F050000}"/>
    <cellStyle name="PSSpacer" xfId="845" xr:uid="{00000000-0005-0000-0000-000080050000}"/>
    <cellStyle name="Publication_style" xfId="307" xr:uid="{00000000-0005-0000-0000-000081050000}"/>
    <cellStyle name="Punto" xfId="608" xr:uid="{00000000-0005-0000-0000-000082050000}"/>
    <cellStyle name="q" xfId="846" xr:uid="{00000000-0005-0000-0000-000083050000}"/>
    <cellStyle name="r" xfId="609" xr:uid="{00000000-0005-0000-0000-000084050000}"/>
    <cellStyle name="range" xfId="847" xr:uid="{00000000-0005-0000-0000-000085050000}"/>
    <cellStyle name="RangeBelow" xfId="848" xr:uid="{00000000-0005-0000-0000-000086050000}"/>
    <cellStyle name="RatioX" xfId="849" xr:uid="{00000000-0005-0000-0000-000087050000}"/>
    <cellStyle name="RED" xfId="308" xr:uid="{00000000-0005-0000-0000-000088050000}"/>
    <cellStyle name="Report" xfId="850" xr:uid="{00000000-0005-0000-0000-000089050000}"/>
    <cellStyle name="Reuters Cells" xfId="309" xr:uid="{00000000-0005-0000-0000-00008A050000}"/>
    <cellStyle name="rh" xfId="851" xr:uid="{00000000-0005-0000-0000-00008B050000}"/>
    <cellStyle name="Right" xfId="852" xr:uid="{00000000-0005-0000-0000-00008C050000}"/>
    <cellStyle name="s" xfId="610" xr:uid="{00000000-0005-0000-0000-00008D050000}"/>
    <cellStyle name="s]_x000a__x000a_spooler=yes_x000a__x000a_NetWarn=1_x000a__x000a_NetMessage=Yes_x000a__x000a_;load=nwpopup.exe hpsrdman hpdjsw_x000a__x000a_load=_x000a__x000a_run=_x000a__x000a_Beep=yes_x000a__x000a_NullPort=None_x000a__x000a_Bo" xfId="1883" xr:uid="{00000000-0005-0000-0000-00008E050000}"/>
    <cellStyle name="s]_x000a__x000a_UsePmlPs=1_x000a__x000a_Location=17,528_x000a__x000a__x000a__x000a_[PDF]_x000a__x000a_HP DeskJet 1600C=hp16cqp.dll_x000a__x000a_HP DeskJet 1600CM=hp16cqp.dll_x000a__x000a__x000a__x000a_[Help" xfId="1884" xr:uid="{00000000-0005-0000-0000-00008F050000}"/>
    <cellStyle name="s]_x000d__x000a_spooler=yes_x000d__x000a_NetWarn=1_x000d__x000a_NetMessage=Yes_x000d__x000a_;load=nwpopup.exe hpsrdman hpdjsw_x000d__x000a_load=_x000d__x000a_run=_x000d__x000a_Beep=yes_x000d__x000a_NullPort=None_x000d__x000a_Bo" xfId="1885" xr:uid="{00000000-0005-0000-0000-000090050000}"/>
    <cellStyle name="s]_x000d__x000a_UsePmlPs=1_x000d__x000a_Location=17,528_x000d__x000a__x000d__x000a_[PDF]_x000d__x000a_HP DeskJet 1600C=hp16cqp.dll_x000d__x000a_HP DeskJet 1600CM=hp16cqp.dll_x000d__x000a__x000d__x000a_[Help" xfId="1886" xr:uid="{00000000-0005-0000-0000-000091050000}"/>
    <cellStyle name="SAPBEXaggData" xfId="1887" xr:uid="{00000000-0005-0000-0000-000092050000}"/>
    <cellStyle name="SAPBEXaggDataEmph" xfId="1888" xr:uid="{00000000-0005-0000-0000-000093050000}"/>
    <cellStyle name="SAPBEXaggItem" xfId="1889" xr:uid="{00000000-0005-0000-0000-000094050000}"/>
    <cellStyle name="SAPBEXaggItemX" xfId="1890" xr:uid="{00000000-0005-0000-0000-000095050000}"/>
    <cellStyle name="SAPBEXchaText" xfId="1891" xr:uid="{00000000-0005-0000-0000-000096050000}"/>
    <cellStyle name="SAPBEXexcBad7" xfId="1892" xr:uid="{00000000-0005-0000-0000-000097050000}"/>
    <cellStyle name="SAPBEXexcBad8" xfId="1893" xr:uid="{00000000-0005-0000-0000-000098050000}"/>
    <cellStyle name="SAPBEXexcBad9" xfId="1894" xr:uid="{00000000-0005-0000-0000-000099050000}"/>
    <cellStyle name="SAPBEXexcCritical4" xfId="1895" xr:uid="{00000000-0005-0000-0000-00009A050000}"/>
    <cellStyle name="SAPBEXexcCritical5" xfId="1896" xr:uid="{00000000-0005-0000-0000-00009B050000}"/>
    <cellStyle name="SAPBEXexcCritical6" xfId="1897" xr:uid="{00000000-0005-0000-0000-00009C050000}"/>
    <cellStyle name="SAPBEXexcGood1" xfId="1898" xr:uid="{00000000-0005-0000-0000-00009D050000}"/>
    <cellStyle name="SAPBEXexcGood2" xfId="1899" xr:uid="{00000000-0005-0000-0000-00009E050000}"/>
    <cellStyle name="SAPBEXexcGood3" xfId="1900" xr:uid="{00000000-0005-0000-0000-00009F050000}"/>
    <cellStyle name="SAPBEXfilterDrill" xfId="1901" xr:uid="{00000000-0005-0000-0000-0000A0050000}"/>
    <cellStyle name="SAPBEXfilterItem" xfId="1902" xr:uid="{00000000-0005-0000-0000-0000A1050000}"/>
    <cellStyle name="SAPBEXfilterText" xfId="1903" xr:uid="{00000000-0005-0000-0000-0000A2050000}"/>
    <cellStyle name="SAPBEXformats" xfId="1904" xr:uid="{00000000-0005-0000-0000-0000A3050000}"/>
    <cellStyle name="SAPBEXheaderItem" xfId="1905" xr:uid="{00000000-0005-0000-0000-0000A4050000}"/>
    <cellStyle name="SAPBEXheaderItem 2" xfId="1906" xr:uid="{00000000-0005-0000-0000-0000A5050000}"/>
    <cellStyle name="SAPBEXheaderText" xfId="1907" xr:uid="{00000000-0005-0000-0000-0000A6050000}"/>
    <cellStyle name="SAPBEXheaderText 2" xfId="1908" xr:uid="{00000000-0005-0000-0000-0000A7050000}"/>
    <cellStyle name="SAPBEXHLevel0" xfId="1909" xr:uid="{00000000-0005-0000-0000-0000A8050000}"/>
    <cellStyle name="SAPBEXHLevel0X" xfId="1910" xr:uid="{00000000-0005-0000-0000-0000A9050000}"/>
    <cellStyle name="SAPBEXHLevel1" xfId="1911" xr:uid="{00000000-0005-0000-0000-0000AA050000}"/>
    <cellStyle name="SAPBEXHLevel1X" xfId="1912" xr:uid="{00000000-0005-0000-0000-0000AB050000}"/>
    <cellStyle name="SAPBEXHLevel2" xfId="1913" xr:uid="{00000000-0005-0000-0000-0000AC050000}"/>
    <cellStyle name="SAPBEXHLevel2X" xfId="1914" xr:uid="{00000000-0005-0000-0000-0000AD050000}"/>
    <cellStyle name="SAPBEXHLevel3" xfId="1915" xr:uid="{00000000-0005-0000-0000-0000AE050000}"/>
    <cellStyle name="SAPBEXHLevel3X" xfId="1916" xr:uid="{00000000-0005-0000-0000-0000AF050000}"/>
    <cellStyle name="SAPBEXresData" xfId="1917" xr:uid="{00000000-0005-0000-0000-0000B0050000}"/>
    <cellStyle name="SAPBEXresDataEmph" xfId="1918" xr:uid="{00000000-0005-0000-0000-0000B1050000}"/>
    <cellStyle name="SAPBEXresItem" xfId="1919" xr:uid="{00000000-0005-0000-0000-0000B2050000}"/>
    <cellStyle name="SAPBEXresItemX" xfId="1920" xr:uid="{00000000-0005-0000-0000-0000B3050000}"/>
    <cellStyle name="SAPBEXstdData" xfId="1921" xr:uid="{00000000-0005-0000-0000-0000B4050000}"/>
    <cellStyle name="SAPBEXstdDataEmph" xfId="1922" xr:uid="{00000000-0005-0000-0000-0000B5050000}"/>
    <cellStyle name="SAPBEXstdItem" xfId="1923" xr:uid="{00000000-0005-0000-0000-0000B6050000}"/>
    <cellStyle name="SAPBEXstdItemX" xfId="1924" xr:uid="{00000000-0005-0000-0000-0000B7050000}"/>
    <cellStyle name="SAPBEXtitle" xfId="1925" xr:uid="{00000000-0005-0000-0000-0000B8050000}"/>
    <cellStyle name="SAPBEXundefined" xfId="1926" xr:uid="{00000000-0005-0000-0000-0000B9050000}"/>
    <cellStyle name="SAPError" xfId="1927" xr:uid="{00000000-0005-0000-0000-0000BA050000}"/>
    <cellStyle name="SAPKey" xfId="1928" xr:uid="{00000000-0005-0000-0000-0000BB050000}"/>
    <cellStyle name="SAPLocked" xfId="1929" xr:uid="{00000000-0005-0000-0000-0000BC050000}"/>
    <cellStyle name="SAPOutput" xfId="1930" xr:uid="{00000000-0005-0000-0000-0000BD050000}"/>
    <cellStyle name="SAPSpace" xfId="1931" xr:uid="{00000000-0005-0000-0000-0000BE050000}"/>
    <cellStyle name="SAPText" xfId="1932" xr:uid="{00000000-0005-0000-0000-0000BF050000}"/>
    <cellStyle name="SAPUnLocked" xfId="1933" xr:uid="{00000000-0005-0000-0000-0000C0050000}"/>
    <cellStyle name="ScripFactor" xfId="853" xr:uid="{00000000-0005-0000-0000-0000C1050000}"/>
    <cellStyle name="SectionHeading" xfId="854" xr:uid="{00000000-0005-0000-0000-0000C2050000}"/>
    <cellStyle name="Shade" xfId="310" xr:uid="{00000000-0005-0000-0000-0000C3050000}"/>
    <cellStyle name="Shade 2" xfId="1934" xr:uid="{00000000-0005-0000-0000-0000C4050000}"/>
    <cellStyle name="shade bold" xfId="311" xr:uid="{00000000-0005-0000-0000-0000C5050000}"/>
    <cellStyle name="Shade_AMC_fin1b" xfId="312" xr:uid="{00000000-0005-0000-0000-0000C6050000}"/>
    <cellStyle name="ShadedCells_Database" xfId="313" xr:uid="{00000000-0005-0000-0000-0000C7050000}"/>
    <cellStyle name="shading" xfId="314" xr:uid="{00000000-0005-0000-0000-0000C8050000}"/>
    <cellStyle name="Shares" xfId="855" xr:uid="{00000000-0005-0000-0000-0000C9050000}"/>
    <cellStyle name="Sheet Title" xfId="611" xr:uid="{00000000-0005-0000-0000-0000CA050000}"/>
    <cellStyle name="ShOut" xfId="612" xr:uid="{00000000-0005-0000-0000-0000CB050000}"/>
    <cellStyle name="sin nada" xfId="1935" xr:uid="{00000000-0005-0000-0000-0000CC050000}"/>
    <cellStyle name="Single Border" xfId="856" xr:uid="{00000000-0005-0000-0000-0000CD050000}"/>
    <cellStyle name="Single Border 2" xfId="857" xr:uid="{00000000-0005-0000-0000-0000CE050000}"/>
    <cellStyle name="SingleTopDoubleBott" xfId="858" xr:uid="{00000000-0005-0000-0000-0000CF050000}"/>
    <cellStyle name="srh" xfId="859" xr:uid="{00000000-0005-0000-0000-0000D0050000}"/>
    <cellStyle name="SS1000" xfId="860" xr:uid="{00000000-0005-0000-0000-0000D1050000}"/>
    <cellStyle name="SSComma0" xfId="315" xr:uid="{00000000-0005-0000-0000-0000D2050000}"/>
    <cellStyle name="SSComma0 2" xfId="1936" xr:uid="{00000000-0005-0000-0000-0000D3050000}"/>
    <cellStyle name="SSComma2" xfId="316" xr:uid="{00000000-0005-0000-0000-0000D4050000}"/>
    <cellStyle name="SSComma2 2" xfId="1937" xr:uid="{00000000-0005-0000-0000-0000D5050000}"/>
    <cellStyle name="SSDecs3" xfId="317" xr:uid="{00000000-0005-0000-0000-0000D6050000}"/>
    <cellStyle name="SSDflt" xfId="318" xr:uid="{00000000-0005-0000-0000-0000D7050000}"/>
    <cellStyle name="SSDflt 2" xfId="1938" xr:uid="{00000000-0005-0000-0000-0000D8050000}"/>
    <cellStyle name="SSDfltPct" xfId="319" xr:uid="{00000000-0005-0000-0000-0000D9050000}"/>
    <cellStyle name="SSDfltPct 2" xfId="1939" xr:uid="{00000000-0005-0000-0000-0000DA050000}"/>
    <cellStyle name="SSDfltPct0" xfId="320" xr:uid="{00000000-0005-0000-0000-0000DB050000}"/>
    <cellStyle name="SSDfltPct0 2" xfId="1940" xr:uid="{00000000-0005-0000-0000-0000DC050000}"/>
    <cellStyle name="SSFixed2" xfId="321" xr:uid="{00000000-0005-0000-0000-0000DD050000}"/>
    <cellStyle name="SSFixed2 2" xfId="1941" xr:uid="{00000000-0005-0000-0000-0000DE050000}"/>
    <cellStyle name="Standard" xfId="1942" xr:uid="{00000000-0005-0000-0000-0000DF050000}"/>
    <cellStyle name="STYL1 - Style1" xfId="861" xr:uid="{00000000-0005-0000-0000-0000E0050000}"/>
    <cellStyle name="STYL2 - Style2" xfId="862" xr:uid="{00000000-0005-0000-0000-0000E1050000}"/>
    <cellStyle name="STYL3 - Style3" xfId="863" xr:uid="{00000000-0005-0000-0000-0000E2050000}"/>
    <cellStyle name="STYL4 - Style4" xfId="864" xr:uid="{00000000-0005-0000-0000-0000E3050000}"/>
    <cellStyle name="STYL5 - Style5" xfId="865" xr:uid="{00000000-0005-0000-0000-0000E4050000}"/>
    <cellStyle name="Style 1" xfId="322" xr:uid="{00000000-0005-0000-0000-0000E5050000}"/>
    <cellStyle name="Style 1 2" xfId="1943" xr:uid="{00000000-0005-0000-0000-0000E6050000}"/>
    <cellStyle name="Style 1090" xfId="866" xr:uid="{00000000-0005-0000-0000-0000E7050000}"/>
    <cellStyle name="Style 1094" xfId="867" xr:uid="{00000000-0005-0000-0000-0000E8050000}"/>
    <cellStyle name="Style 1256" xfId="868" xr:uid="{00000000-0005-0000-0000-0000E9050000}"/>
    <cellStyle name="Style 1261" xfId="869" xr:uid="{00000000-0005-0000-0000-0000EA050000}"/>
    <cellStyle name="Style 1263" xfId="870" xr:uid="{00000000-0005-0000-0000-0000EB050000}"/>
    <cellStyle name="Style 1265" xfId="871" xr:uid="{00000000-0005-0000-0000-0000EC050000}"/>
    <cellStyle name="Style 1267" xfId="872" xr:uid="{00000000-0005-0000-0000-0000ED050000}"/>
    <cellStyle name="Style 1269" xfId="873" xr:uid="{00000000-0005-0000-0000-0000EE050000}"/>
    <cellStyle name="Style 1271" xfId="874" xr:uid="{00000000-0005-0000-0000-0000EF050000}"/>
    <cellStyle name="Style 2" xfId="613" xr:uid="{00000000-0005-0000-0000-0000F0050000}"/>
    <cellStyle name="Style 21" xfId="875" xr:uid="{00000000-0005-0000-0000-0000F1050000}"/>
    <cellStyle name="Style 212" xfId="876" xr:uid="{00000000-0005-0000-0000-0000F2050000}"/>
    <cellStyle name="Style 213" xfId="877" xr:uid="{00000000-0005-0000-0000-0000F3050000}"/>
    <cellStyle name="Style 22" xfId="878" xr:uid="{00000000-0005-0000-0000-0000F4050000}"/>
    <cellStyle name="Style 227" xfId="879" xr:uid="{00000000-0005-0000-0000-0000F5050000}"/>
    <cellStyle name="Style 228" xfId="880" xr:uid="{00000000-0005-0000-0000-0000F6050000}"/>
    <cellStyle name="Style 229" xfId="881" xr:uid="{00000000-0005-0000-0000-0000F7050000}"/>
    <cellStyle name="Style 23" xfId="882" xr:uid="{00000000-0005-0000-0000-0000F8050000}"/>
    <cellStyle name="Style 230" xfId="883" xr:uid="{00000000-0005-0000-0000-0000F9050000}"/>
    <cellStyle name="Style 231" xfId="884" xr:uid="{00000000-0005-0000-0000-0000FA050000}"/>
    <cellStyle name="Style 232" xfId="885" xr:uid="{00000000-0005-0000-0000-0000FB050000}"/>
    <cellStyle name="Style 233" xfId="886" xr:uid="{00000000-0005-0000-0000-0000FC050000}"/>
    <cellStyle name="Style 234" xfId="887" xr:uid="{00000000-0005-0000-0000-0000FD050000}"/>
    <cellStyle name="Style 235" xfId="888" xr:uid="{00000000-0005-0000-0000-0000FE050000}"/>
    <cellStyle name="Style 236" xfId="889" xr:uid="{00000000-0005-0000-0000-0000FF050000}"/>
    <cellStyle name="Style 237" xfId="890" xr:uid="{00000000-0005-0000-0000-000000060000}"/>
    <cellStyle name="Style 238" xfId="891" xr:uid="{00000000-0005-0000-0000-000001060000}"/>
    <cellStyle name="Style 239" xfId="892" xr:uid="{00000000-0005-0000-0000-000002060000}"/>
    <cellStyle name="Style 24" xfId="893" xr:uid="{00000000-0005-0000-0000-000003060000}"/>
    <cellStyle name="Style 240" xfId="894" xr:uid="{00000000-0005-0000-0000-000004060000}"/>
    <cellStyle name="Style 241" xfId="895" xr:uid="{00000000-0005-0000-0000-000005060000}"/>
    <cellStyle name="Style 242" xfId="896" xr:uid="{00000000-0005-0000-0000-000006060000}"/>
    <cellStyle name="Style 243" xfId="897" xr:uid="{00000000-0005-0000-0000-000007060000}"/>
    <cellStyle name="Style 244" xfId="898" xr:uid="{00000000-0005-0000-0000-000008060000}"/>
    <cellStyle name="Style 245" xfId="899" xr:uid="{00000000-0005-0000-0000-000009060000}"/>
    <cellStyle name="Style 246" xfId="900" xr:uid="{00000000-0005-0000-0000-00000A060000}"/>
    <cellStyle name="Style 247" xfId="901" xr:uid="{00000000-0005-0000-0000-00000B060000}"/>
    <cellStyle name="Style 248" xfId="902" xr:uid="{00000000-0005-0000-0000-00000C060000}"/>
    <cellStyle name="Style 249" xfId="903" xr:uid="{00000000-0005-0000-0000-00000D060000}"/>
    <cellStyle name="Style 25" xfId="904" xr:uid="{00000000-0005-0000-0000-00000E060000}"/>
    <cellStyle name="Style 250" xfId="905" xr:uid="{00000000-0005-0000-0000-00000F060000}"/>
    <cellStyle name="Style 251" xfId="906" xr:uid="{00000000-0005-0000-0000-000010060000}"/>
    <cellStyle name="Style 252" xfId="907" xr:uid="{00000000-0005-0000-0000-000011060000}"/>
    <cellStyle name="Style 253" xfId="908" xr:uid="{00000000-0005-0000-0000-000012060000}"/>
    <cellStyle name="Style 254" xfId="909" xr:uid="{00000000-0005-0000-0000-000013060000}"/>
    <cellStyle name="Style 255" xfId="910" xr:uid="{00000000-0005-0000-0000-000014060000}"/>
    <cellStyle name="Style 256" xfId="911" xr:uid="{00000000-0005-0000-0000-000015060000}"/>
    <cellStyle name="Style 257" xfId="912" xr:uid="{00000000-0005-0000-0000-000016060000}"/>
    <cellStyle name="Style 258" xfId="913" xr:uid="{00000000-0005-0000-0000-000017060000}"/>
    <cellStyle name="Style 259" xfId="914" xr:uid="{00000000-0005-0000-0000-000018060000}"/>
    <cellStyle name="Style 26" xfId="915" xr:uid="{00000000-0005-0000-0000-000019060000}"/>
    <cellStyle name="Style 260" xfId="916" xr:uid="{00000000-0005-0000-0000-00001A060000}"/>
    <cellStyle name="Style 27" xfId="917" xr:uid="{00000000-0005-0000-0000-00001B060000}"/>
    <cellStyle name="Style 28" xfId="918" xr:uid="{00000000-0005-0000-0000-00001C060000}"/>
    <cellStyle name="Style 29" xfId="919" xr:uid="{00000000-0005-0000-0000-00001D060000}"/>
    <cellStyle name="Style 3" xfId="614" xr:uid="{00000000-0005-0000-0000-00001E060000}"/>
    <cellStyle name="Style 30" xfId="920" xr:uid="{00000000-0005-0000-0000-00001F060000}"/>
    <cellStyle name="Style 307" xfId="921" xr:uid="{00000000-0005-0000-0000-000020060000}"/>
    <cellStyle name="Style 308" xfId="922" xr:uid="{00000000-0005-0000-0000-000021060000}"/>
    <cellStyle name="Style 309" xfId="923" xr:uid="{00000000-0005-0000-0000-000022060000}"/>
    <cellStyle name="Style 31" xfId="924" xr:uid="{00000000-0005-0000-0000-000023060000}"/>
    <cellStyle name="Style 310" xfId="925" xr:uid="{00000000-0005-0000-0000-000024060000}"/>
    <cellStyle name="Style 311" xfId="926" xr:uid="{00000000-0005-0000-0000-000025060000}"/>
    <cellStyle name="Style 312" xfId="927" xr:uid="{00000000-0005-0000-0000-000026060000}"/>
    <cellStyle name="Style 313" xfId="928" xr:uid="{00000000-0005-0000-0000-000027060000}"/>
    <cellStyle name="Style 314" xfId="929" xr:uid="{00000000-0005-0000-0000-000028060000}"/>
    <cellStyle name="Style 315" xfId="930" xr:uid="{00000000-0005-0000-0000-000029060000}"/>
    <cellStyle name="Style 316" xfId="931" xr:uid="{00000000-0005-0000-0000-00002A060000}"/>
    <cellStyle name="Style 317" xfId="932" xr:uid="{00000000-0005-0000-0000-00002B060000}"/>
    <cellStyle name="Style 318" xfId="933" xr:uid="{00000000-0005-0000-0000-00002C060000}"/>
    <cellStyle name="Style 319" xfId="934" xr:uid="{00000000-0005-0000-0000-00002D060000}"/>
    <cellStyle name="Style 32" xfId="935" xr:uid="{00000000-0005-0000-0000-00002E060000}"/>
    <cellStyle name="Style 320" xfId="936" xr:uid="{00000000-0005-0000-0000-00002F060000}"/>
    <cellStyle name="Style 321" xfId="937" xr:uid="{00000000-0005-0000-0000-000030060000}"/>
    <cellStyle name="Style 322" xfId="938" xr:uid="{00000000-0005-0000-0000-000031060000}"/>
    <cellStyle name="Style 33" xfId="939" xr:uid="{00000000-0005-0000-0000-000032060000}"/>
    <cellStyle name="Style 34" xfId="940" xr:uid="{00000000-0005-0000-0000-000033060000}"/>
    <cellStyle name="Style 35" xfId="941" xr:uid="{00000000-0005-0000-0000-000034060000}"/>
    <cellStyle name="Style 351" xfId="942" xr:uid="{00000000-0005-0000-0000-000035060000}"/>
    <cellStyle name="Style 352" xfId="943" xr:uid="{00000000-0005-0000-0000-000036060000}"/>
    <cellStyle name="Style 353" xfId="944" xr:uid="{00000000-0005-0000-0000-000037060000}"/>
    <cellStyle name="Style 354" xfId="945" xr:uid="{00000000-0005-0000-0000-000038060000}"/>
    <cellStyle name="Style 355" xfId="946" xr:uid="{00000000-0005-0000-0000-000039060000}"/>
    <cellStyle name="Style 356" xfId="947" xr:uid="{00000000-0005-0000-0000-00003A060000}"/>
    <cellStyle name="Style 357" xfId="948" xr:uid="{00000000-0005-0000-0000-00003B060000}"/>
    <cellStyle name="Style 358" xfId="949" xr:uid="{00000000-0005-0000-0000-00003C060000}"/>
    <cellStyle name="Style 359" xfId="950" xr:uid="{00000000-0005-0000-0000-00003D060000}"/>
    <cellStyle name="Style 36" xfId="951" xr:uid="{00000000-0005-0000-0000-00003E060000}"/>
    <cellStyle name="Style 360" xfId="952" xr:uid="{00000000-0005-0000-0000-00003F060000}"/>
    <cellStyle name="Style 361" xfId="953" xr:uid="{00000000-0005-0000-0000-000040060000}"/>
    <cellStyle name="Style 362" xfId="954" xr:uid="{00000000-0005-0000-0000-000041060000}"/>
    <cellStyle name="Style 363" xfId="955" xr:uid="{00000000-0005-0000-0000-000042060000}"/>
    <cellStyle name="Style 364" xfId="956" xr:uid="{00000000-0005-0000-0000-000043060000}"/>
    <cellStyle name="Style 365" xfId="957" xr:uid="{00000000-0005-0000-0000-000044060000}"/>
    <cellStyle name="Style 366" xfId="958" xr:uid="{00000000-0005-0000-0000-000045060000}"/>
    <cellStyle name="Style 367" xfId="959" xr:uid="{00000000-0005-0000-0000-000046060000}"/>
    <cellStyle name="Style 368" xfId="960" xr:uid="{00000000-0005-0000-0000-000047060000}"/>
    <cellStyle name="Style 369" xfId="961" xr:uid="{00000000-0005-0000-0000-000048060000}"/>
    <cellStyle name="Style 370" xfId="962" xr:uid="{00000000-0005-0000-0000-000049060000}"/>
    <cellStyle name="Style 371" xfId="963" xr:uid="{00000000-0005-0000-0000-00004A060000}"/>
    <cellStyle name="Style 372" xfId="964" xr:uid="{00000000-0005-0000-0000-00004B060000}"/>
    <cellStyle name="Style 373" xfId="965" xr:uid="{00000000-0005-0000-0000-00004C060000}"/>
    <cellStyle name="Style 374" xfId="966" xr:uid="{00000000-0005-0000-0000-00004D060000}"/>
    <cellStyle name="Style 375" xfId="967" xr:uid="{00000000-0005-0000-0000-00004E060000}"/>
    <cellStyle name="Style 376" xfId="968" xr:uid="{00000000-0005-0000-0000-00004F060000}"/>
    <cellStyle name="Style 377" xfId="969" xr:uid="{00000000-0005-0000-0000-000050060000}"/>
    <cellStyle name="Style 378" xfId="970" xr:uid="{00000000-0005-0000-0000-000051060000}"/>
    <cellStyle name="Style 379" xfId="971" xr:uid="{00000000-0005-0000-0000-000052060000}"/>
    <cellStyle name="Style 380" xfId="972" xr:uid="{00000000-0005-0000-0000-000053060000}"/>
    <cellStyle name="Style 381" xfId="973" xr:uid="{00000000-0005-0000-0000-000054060000}"/>
    <cellStyle name="Style 382" xfId="974" xr:uid="{00000000-0005-0000-0000-000055060000}"/>
    <cellStyle name="Style 383" xfId="975" xr:uid="{00000000-0005-0000-0000-000056060000}"/>
    <cellStyle name="Style 384" xfId="976" xr:uid="{00000000-0005-0000-0000-000057060000}"/>
    <cellStyle name="Style 385" xfId="977" xr:uid="{00000000-0005-0000-0000-000058060000}"/>
    <cellStyle name="Style 386" xfId="978" xr:uid="{00000000-0005-0000-0000-000059060000}"/>
    <cellStyle name="Style 387" xfId="979" xr:uid="{00000000-0005-0000-0000-00005A060000}"/>
    <cellStyle name="Style 388" xfId="980" xr:uid="{00000000-0005-0000-0000-00005B060000}"/>
    <cellStyle name="Style 389" xfId="981" xr:uid="{00000000-0005-0000-0000-00005C060000}"/>
    <cellStyle name="Style 39" xfId="982" xr:uid="{00000000-0005-0000-0000-00005D060000}"/>
    <cellStyle name="Style 39 2" xfId="983" xr:uid="{00000000-0005-0000-0000-00005E060000}"/>
    <cellStyle name="Style 390" xfId="984" xr:uid="{00000000-0005-0000-0000-00005F060000}"/>
    <cellStyle name="Style 391" xfId="985" xr:uid="{00000000-0005-0000-0000-000060060000}"/>
    <cellStyle name="Style 392" xfId="986" xr:uid="{00000000-0005-0000-0000-000061060000}"/>
    <cellStyle name="Style 393" xfId="987" xr:uid="{00000000-0005-0000-0000-000062060000}"/>
    <cellStyle name="Style 394" xfId="988" xr:uid="{00000000-0005-0000-0000-000063060000}"/>
    <cellStyle name="Style 395" xfId="989" xr:uid="{00000000-0005-0000-0000-000064060000}"/>
    <cellStyle name="Style 396" xfId="990" xr:uid="{00000000-0005-0000-0000-000065060000}"/>
    <cellStyle name="Style 397" xfId="991" xr:uid="{00000000-0005-0000-0000-000066060000}"/>
    <cellStyle name="Style 398" xfId="992" xr:uid="{00000000-0005-0000-0000-000067060000}"/>
    <cellStyle name="Style 399" xfId="993" xr:uid="{00000000-0005-0000-0000-000068060000}"/>
    <cellStyle name="Style 400" xfId="994" xr:uid="{00000000-0005-0000-0000-000069060000}"/>
    <cellStyle name="Style 401" xfId="995" xr:uid="{00000000-0005-0000-0000-00006A060000}"/>
    <cellStyle name="Style 402" xfId="996" xr:uid="{00000000-0005-0000-0000-00006B060000}"/>
    <cellStyle name="Style 403" xfId="997" xr:uid="{00000000-0005-0000-0000-00006C060000}"/>
    <cellStyle name="Style 404" xfId="998" xr:uid="{00000000-0005-0000-0000-00006D060000}"/>
    <cellStyle name="Style 405" xfId="999" xr:uid="{00000000-0005-0000-0000-00006E060000}"/>
    <cellStyle name="Style 406" xfId="1000" xr:uid="{00000000-0005-0000-0000-00006F060000}"/>
    <cellStyle name="Style 407" xfId="1001" xr:uid="{00000000-0005-0000-0000-000070060000}"/>
    <cellStyle name="Style 408" xfId="1002" xr:uid="{00000000-0005-0000-0000-000071060000}"/>
    <cellStyle name="Style 409" xfId="1003" xr:uid="{00000000-0005-0000-0000-000072060000}"/>
    <cellStyle name="Style 410" xfId="1004" xr:uid="{00000000-0005-0000-0000-000073060000}"/>
    <cellStyle name="Style 411" xfId="1005" xr:uid="{00000000-0005-0000-0000-000074060000}"/>
    <cellStyle name="Style 438" xfId="1006" xr:uid="{00000000-0005-0000-0000-000075060000}"/>
    <cellStyle name="Style 439" xfId="1007" xr:uid="{00000000-0005-0000-0000-000076060000}"/>
    <cellStyle name="Style 440" xfId="1008" xr:uid="{00000000-0005-0000-0000-000077060000}"/>
    <cellStyle name="Style 441" xfId="1009" xr:uid="{00000000-0005-0000-0000-000078060000}"/>
    <cellStyle name="Style 442" xfId="1010" xr:uid="{00000000-0005-0000-0000-000079060000}"/>
    <cellStyle name="Style 443" xfId="1011" xr:uid="{00000000-0005-0000-0000-00007A060000}"/>
    <cellStyle name="Style 444" xfId="1012" xr:uid="{00000000-0005-0000-0000-00007B060000}"/>
    <cellStyle name="Style 445" xfId="1013" xr:uid="{00000000-0005-0000-0000-00007C060000}"/>
    <cellStyle name="Style 446" xfId="1014" xr:uid="{00000000-0005-0000-0000-00007D060000}"/>
    <cellStyle name="Style 447" xfId="1015" xr:uid="{00000000-0005-0000-0000-00007E060000}"/>
    <cellStyle name="Style 448" xfId="1016" xr:uid="{00000000-0005-0000-0000-00007F060000}"/>
    <cellStyle name="Style 449" xfId="1017" xr:uid="{00000000-0005-0000-0000-000080060000}"/>
    <cellStyle name="Style 450" xfId="1018" xr:uid="{00000000-0005-0000-0000-000081060000}"/>
    <cellStyle name="Style 451" xfId="1019" xr:uid="{00000000-0005-0000-0000-000082060000}"/>
    <cellStyle name="Style 452" xfId="1020" xr:uid="{00000000-0005-0000-0000-000083060000}"/>
    <cellStyle name="Style 453" xfId="1021" xr:uid="{00000000-0005-0000-0000-000084060000}"/>
    <cellStyle name="Style 454" xfId="1022" xr:uid="{00000000-0005-0000-0000-000085060000}"/>
    <cellStyle name="Style 459" xfId="1023" xr:uid="{00000000-0005-0000-0000-000086060000}"/>
    <cellStyle name="Style 460" xfId="1024" xr:uid="{00000000-0005-0000-0000-000087060000}"/>
    <cellStyle name="Style 461" xfId="1025" xr:uid="{00000000-0005-0000-0000-000088060000}"/>
    <cellStyle name="Style 462" xfId="1026" xr:uid="{00000000-0005-0000-0000-000089060000}"/>
    <cellStyle name="Style 463" xfId="1027" xr:uid="{00000000-0005-0000-0000-00008A060000}"/>
    <cellStyle name="Style 464" xfId="1028" xr:uid="{00000000-0005-0000-0000-00008B060000}"/>
    <cellStyle name="Style 465" xfId="1029" xr:uid="{00000000-0005-0000-0000-00008C060000}"/>
    <cellStyle name="Style 466" xfId="1030" xr:uid="{00000000-0005-0000-0000-00008D060000}"/>
    <cellStyle name="Style 467" xfId="1031" xr:uid="{00000000-0005-0000-0000-00008E060000}"/>
    <cellStyle name="Style 468" xfId="1032" xr:uid="{00000000-0005-0000-0000-00008F060000}"/>
    <cellStyle name="Style 469" xfId="1033" xr:uid="{00000000-0005-0000-0000-000090060000}"/>
    <cellStyle name="Style 470" xfId="1034" xr:uid="{00000000-0005-0000-0000-000091060000}"/>
    <cellStyle name="Style 471" xfId="1035" xr:uid="{00000000-0005-0000-0000-000092060000}"/>
    <cellStyle name="Style 482" xfId="1036" xr:uid="{00000000-0005-0000-0000-000093060000}"/>
    <cellStyle name="Style 483" xfId="1037" xr:uid="{00000000-0005-0000-0000-000094060000}"/>
    <cellStyle name="Style 484" xfId="1038" xr:uid="{00000000-0005-0000-0000-000095060000}"/>
    <cellStyle name="Style 485" xfId="1039" xr:uid="{00000000-0005-0000-0000-000096060000}"/>
    <cellStyle name="Style 486" xfId="1040" xr:uid="{00000000-0005-0000-0000-000097060000}"/>
    <cellStyle name="Style 487" xfId="1041" xr:uid="{00000000-0005-0000-0000-000098060000}"/>
    <cellStyle name="Style 488" xfId="1042" xr:uid="{00000000-0005-0000-0000-000099060000}"/>
    <cellStyle name="Style 489" xfId="1043" xr:uid="{00000000-0005-0000-0000-00009A060000}"/>
    <cellStyle name="Style 490" xfId="1044" xr:uid="{00000000-0005-0000-0000-00009B060000}"/>
    <cellStyle name="Style 491" xfId="1045" xr:uid="{00000000-0005-0000-0000-00009C060000}"/>
    <cellStyle name="Style 492" xfId="1046" xr:uid="{00000000-0005-0000-0000-00009D060000}"/>
    <cellStyle name="Style 493" xfId="1047" xr:uid="{00000000-0005-0000-0000-00009E060000}"/>
    <cellStyle name="Style 494" xfId="1048" xr:uid="{00000000-0005-0000-0000-00009F060000}"/>
    <cellStyle name="Style 495" xfId="1049" xr:uid="{00000000-0005-0000-0000-0000A0060000}"/>
    <cellStyle name="Style 496" xfId="1050" xr:uid="{00000000-0005-0000-0000-0000A1060000}"/>
    <cellStyle name="Style 497" xfId="1051" xr:uid="{00000000-0005-0000-0000-0000A2060000}"/>
    <cellStyle name="Style 498" xfId="1052" xr:uid="{00000000-0005-0000-0000-0000A3060000}"/>
    <cellStyle name="Style 499" xfId="1053" xr:uid="{00000000-0005-0000-0000-0000A4060000}"/>
    <cellStyle name="Style 500" xfId="1054" xr:uid="{00000000-0005-0000-0000-0000A5060000}"/>
    <cellStyle name="Style 501" xfId="1055" xr:uid="{00000000-0005-0000-0000-0000A6060000}"/>
    <cellStyle name="Style 502" xfId="1056" xr:uid="{00000000-0005-0000-0000-0000A7060000}"/>
    <cellStyle name="Style 503" xfId="1057" xr:uid="{00000000-0005-0000-0000-0000A8060000}"/>
    <cellStyle name="Style 504" xfId="1058" xr:uid="{00000000-0005-0000-0000-0000A9060000}"/>
    <cellStyle name="Style 514" xfId="1059" xr:uid="{00000000-0005-0000-0000-0000AA060000}"/>
    <cellStyle name="Style 515" xfId="1060" xr:uid="{00000000-0005-0000-0000-0000AB060000}"/>
    <cellStyle name="Style 516" xfId="1061" xr:uid="{00000000-0005-0000-0000-0000AC060000}"/>
    <cellStyle name="Style 517" xfId="1062" xr:uid="{00000000-0005-0000-0000-0000AD060000}"/>
    <cellStyle name="Style 518" xfId="1063" xr:uid="{00000000-0005-0000-0000-0000AE060000}"/>
    <cellStyle name="Style 519" xfId="1064" xr:uid="{00000000-0005-0000-0000-0000AF060000}"/>
    <cellStyle name="Style 520" xfId="1065" xr:uid="{00000000-0005-0000-0000-0000B0060000}"/>
    <cellStyle name="Style 521" xfId="1066" xr:uid="{00000000-0005-0000-0000-0000B1060000}"/>
    <cellStyle name="Style 522" xfId="1067" xr:uid="{00000000-0005-0000-0000-0000B2060000}"/>
    <cellStyle name="Style 523" xfId="1068" xr:uid="{00000000-0005-0000-0000-0000B3060000}"/>
    <cellStyle name="Style 524" xfId="1069" xr:uid="{00000000-0005-0000-0000-0000B4060000}"/>
    <cellStyle name="Style 525" xfId="1070" xr:uid="{00000000-0005-0000-0000-0000B5060000}"/>
    <cellStyle name="Style 526" xfId="1071" xr:uid="{00000000-0005-0000-0000-0000B6060000}"/>
    <cellStyle name="Style 527" xfId="1072" xr:uid="{00000000-0005-0000-0000-0000B7060000}"/>
    <cellStyle name="Style 528" xfId="1073" xr:uid="{00000000-0005-0000-0000-0000B8060000}"/>
    <cellStyle name="Style 529" xfId="1074" xr:uid="{00000000-0005-0000-0000-0000B9060000}"/>
    <cellStyle name="Style 530" xfId="1075" xr:uid="{00000000-0005-0000-0000-0000BA060000}"/>
    <cellStyle name="Style 531" xfId="1076" xr:uid="{00000000-0005-0000-0000-0000BB060000}"/>
    <cellStyle name="Style 532" xfId="1077" xr:uid="{00000000-0005-0000-0000-0000BC060000}"/>
    <cellStyle name="Style 533" xfId="1078" xr:uid="{00000000-0005-0000-0000-0000BD060000}"/>
    <cellStyle name="Style 534" xfId="1079" xr:uid="{00000000-0005-0000-0000-0000BE060000}"/>
    <cellStyle name="Style 535" xfId="1080" xr:uid="{00000000-0005-0000-0000-0000BF060000}"/>
    <cellStyle name="Style 536" xfId="1081" xr:uid="{00000000-0005-0000-0000-0000C0060000}"/>
    <cellStyle name="Style 537" xfId="1082" xr:uid="{00000000-0005-0000-0000-0000C1060000}"/>
    <cellStyle name="Style 538" xfId="1083" xr:uid="{00000000-0005-0000-0000-0000C2060000}"/>
    <cellStyle name="Style 539" xfId="1084" xr:uid="{00000000-0005-0000-0000-0000C3060000}"/>
    <cellStyle name="Style 541" xfId="1085" xr:uid="{00000000-0005-0000-0000-0000C4060000}"/>
    <cellStyle name="Style 543" xfId="1086" xr:uid="{00000000-0005-0000-0000-0000C5060000}"/>
    <cellStyle name="Style 545" xfId="1087" xr:uid="{00000000-0005-0000-0000-0000C6060000}"/>
    <cellStyle name="Style 547" xfId="1088" xr:uid="{00000000-0005-0000-0000-0000C7060000}"/>
    <cellStyle name="Style 548" xfId="1089" xr:uid="{00000000-0005-0000-0000-0000C8060000}"/>
    <cellStyle name="Style 549" xfId="1090" xr:uid="{00000000-0005-0000-0000-0000C9060000}"/>
    <cellStyle name="Style 550" xfId="1091" xr:uid="{00000000-0005-0000-0000-0000CA060000}"/>
    <cellStyle name="Style 551" xfId="1092" xr:uid="{00000000-0005-0000-0000-0000CB060000}"/>
    <cellStyle name="Style 552" xfId="1093" xr:uid="{00000000-0005-0000-0000-0000CC060000}"/>
    <cellStyle name="Style 553" xfId="1094" xr:uid="{00000000-0005-0000-0000-0000CD060000}"/>
    <cellStyle name="Style 554" xfId="1095" xr:uid="{00000000-0005-0000-0000-0000CE060000}"/>
    <cellStyle name="Style 555" xfId="1096" xr:uid="{00000000-0005-0000-0000-0000CF060000}"/>
    <cellStyle name="Style 556" xfId="1097" xr:uid="{00000000-0005-0000-0000-0000D0060000}"/>
    <cellStyle name="Style 557" xfId="1098" xr:uid="{00000000-0005-0000-0000-0000D1060000}"/>
    <cellStyle name="Style 558" xfId="1099" xr:uid="{00000000-0005-0000-0000-0000D2060000}"/>
    <cellStyle name="Style 559" xfId="1100" xr:uid="{00000000-0005-0000-0000-0000D3060000}"/>
    <cellStyle name="Style 560" xfId="1101" xr:uid="{00000000-0005-0000-0000-0000D4060000}"/>
    <cellStyle name="Style 561" xfId="1102" xr:uid="{00000000-0005-0000-0000-0000D5060000}"/>
    <cellStyle name="Style 562" xfId="1103" xr:uid="{00000000-0005-0000-0000-0000D6060000}"/>
    <cellStyle name="Style 563" xfId="1104" xr:uid="{00000000-0005-0000-0000-0000D7060000}"/>
    <cellStyle name="Style 564" xfId="1105" xr:uid="{00000000-0005-0000-0000-0000D8060000}"/>
    <cellStyle name="Style 565" xfId="1106" xr:uid="{00000000-0005-0000-0000-0000D9060000}"/>
    <cellStyle name="Style 566" xfId="1107" xr:uid="{00000000-0005-0000-0000-0000DA060000}"/>
    <cellStyle name="Style 567" xfId="1108" xr:uid="{00000000-0005-0000-0000-0000DB060000}"/>
    <cellStyle name="Style 568" xfId="1109" xr:uid="{00000000-0005-0000-0000-0000DC060000}"/>
    <cellStyle name="Style 569" xfId="1110" xr:uid="{00000000-0005-0000-0000-0000DD060000}"/>
    <cellStyle name="Style 570" xfId="1111" xr:uid="{00000000-0005-0000-0000-0000DE060000}"/>
    <cellStyle name="Style 582" xfId="1112" xr:uid="{00000000-0005-0000-0000-0000DF060000}"/>
    <cellStyle name="Style 583" xfId="1113" xr:uid="{00000000-0005-0000-0000-0000E0060000}"/>
    <cellStyle name="Style 584" xfId="1114" xr:uid="{00000000-0005-0000-0000-0000E1060000}"/>
    <cellStyle name="Style 585" xfId="1115" xr:uid="{00000000-0005-0000-0000-0000E2060000}"/>
    <cellStyle name="Style 586" xfId="1116" xr:uid="{00000000-0005-0000-0000-0000E3060000}"/>
    <cellStyle name="Style 587" xfId="1117" xr:uid="{00000000-0005-0000-0000-0000E4060000}"/>
    <cellStyle name="Style 588" xfId="1118" xr:uid="{00000000-0005-0000-0000-0000E5060000}"/>
    <cellStyle name="Style 589" xfId="1119" xr:uid="{00000000-0005-0000-0000-0000E6060000}"/>
    <cellStyle name="Style 590" xfId="1120" xr:uid="{00000000-0005-0000-0000-0000E7060000}"/>
    <cellStyle name="Style 591" xfId="1121" xr:uid="{00000000-0005-0000-0000-0000E8060000}"/>
    <cellStyle name="Style 592" xfId="1122" xr:uid="{00000000-0005-0000-0000-0000E9060000}"/>
    <cellStyle name="Style 593" xfId="1123" xr:uid="{00000000-0005-0000-0000-0000EA060000}"/>
    <cellStyle name="Style 594" xfId="1124" xr:uid="{00000000-0005-0000-0000-0000EB060000}"/>
    <cellStyle name="Style 595" xfId="1125" xr:uid="{00000000-0005-0000-0000-0000EC060000}"/>
    <cellStyle name="Style 596" xfId="1126" xr:uid="{00000000-0005-0000-0000-0000ED060000}"/>
    <cellStyle name="Style 597" xfId="1127" xr:uid="{00000000-0005-0000-0000-0000EE060000}"/>
    <cellStyle name="Style 598" xfId="1128" xr:uid="{00000000-0005-0000-0000-0000EF060000}"/>
    <cellStyle name="Style 599" xfId="1129" xr:uid="{00000000-0005-0000-0000-0000F0060000}"/>
    <cellStyle name="Style 609" xfId="1130" xr:uid="{00000000-0005-0000-0000-0000F1060000}"/>
    <cellStyle name="Style 610" xfId="1131" xr:uid="{00000000-0005-0000-0000-0000F2060000}"/>
    <cellStyle name="Style 611" xfId="1132" xr:uid="{00000000-0005-0000-0000-0000F3060000}"/>
    <cellStyle name="Style 612" xfId="1133" xr:uid="{00000000-0005-0000-0000-0000F4060000}"/>
    <cellStyle name="Style 613" xfId="1134" xr:uid="{00000000-0005-0000-0000-0000F5060000}"/>
    <cellStyle name="Style 614" xfId="1135" xr:uid="{00000000-0005-0000-0000-0000F6060000}"/>
    <cellStyle name="Style 615" xfId="1136" xr:uid="{00000000-0005-0000-0000-0000F7060000}"/>
    <cellStyle name="Style 616" xfId="1137" xr:uid="{00000000-0005-0000-0000-0000F8060000}"/>
    <cellStyle name="Style 617" xfId="1138" xr:uid="{00000000-0005-0000-0000-0000F9060000}"/>
    <cellStyle name="Style 618" xfId="1139" xr:uid="{00000000-0005-0000-0000-0000FA060000}"/>
    <cellStyle name="Style 619" xfId="1140" xr:uid="{00000000-0005-0000-0000-0000FB060000}"/>
    <cellStyle name="Style 620" xfId="1141" xr:uid="{00000000-0005-0000-0000-0000FC060000}"/>
    <cellStyle name="Style 621" xfId="1142" xr:uid="{00000000-0005-0000-0000-0000FD060000}"/>
    <cellStyle name="Style 622" xfId="1143" xr:uid="{00000000-0005-0000-0000-0000FE060000}"/>
    <cellStyle name="Style 623" xfId="1144" xr:uid="{00000000-0005-0000-0000-0000FF060000}"/>
    <cellStyle name="Style 624" xfId="1145" xr:uid="{00000000-0005-0000-0000-000000070000}"/>
    <cellStyle name="Style 625" xfId="1146" xr:uid="{00000000-0005-0000-0000-000001070000}"/>
    <cellStyle name="Style 626" xfId="1147" xr:uid="{00000000-0005-0000-0000-000002070000}"/>
    <cellStyle name="Style 627" xfId="1148" xr:uid="{00000000-0005-0000-0000-000003070000}"/>
    <cellStyle name="Style 628" xfId="1149" xr:uid="{00000000-0005-0000-0000-000004070000}"/>
    <cellStyle name="Style 629" xfId="1150" xr:uid="{00000000-0005-0000-0000-000005070000}"/>
    <cellStyle name="Style 630" xfId="1151" xr:uid="{00000000-0005-0000-0000-000006070000}"/>
    <cellStyle name="Style 631" xfId="1152" xr:uid="{00000000-0005-0000-0000-000007070000}"/>
    <cellStyle name="Style 643" xfId="1153" xr:uid="{00000000-0005-0000-0000-000008070000}"/>
    <cellStyle name="Style 644" xfId="1154" xr:uid="{00000000-0005-0000-0000-000009070000}"/>
    <cellStyle name="Style 645" xfId="1155" xr:uid="{00000000-0005-0000-0000-00000A070000}"/>
    <cellStyle name="Style 646" xfId="1156" xr:uid="{00000000-0005-0000-0000-00000B070000}"/>
    <cellStyle name="Style 647" xfId="1157" xr:uid="{00000000-0005-0000-0000-00000C070000}"/>
    <cellStyle name="Style 648" xfId="1158" xr:uid="{00000000-0005-0000-0000-00000D070000}"/>
    <cellStyle name="Style 649" xfId="1159" xr:uid="{00000000-0005-0000-0000-00000E070000}"/>
    <cellStyle name="Style 650" xfId="1160" xr:uid="{00000000-0005-0000-0000-00000F070000}"/>
    <cellStyle name="Style 651" xfId="1161" xr:uid="{00000000-0005-0000-0000-000010070000}"/>
    <cellStyle name="Style 652" xfId="1162" xr:uid="{00000000-0005-0000-0000-000011070000}"/>
    <cellStyle name="Style 653" xfId="1163" xr:uid="{00000000-0005-0000-0000-000012070000}"/>
    <cellStyle name="Style 654" xfId="1164" xr:uid="{00000000-0005-0000-0000-000013070000}"/>
    <cellStyle name="Style 655" xfId="1165" xr:uid="{00000000-0005-0000-0000-000014070000}"/>
    <cellStyle name="Style 656" xfId="1166" xr:uid="{00000000-0005-0000-0000-000015070000}"/>
    <cellStyle name="Style 657" xfId="1167" xr:uid="{00000000-0005-0000-0000-000016070000}"/>
    <cellStyle name="Style 658" xfId="1168" xr:uid="{00000000-0005-0000-0000-000017070000}"/>
    <cellStyle name="Style 659" xfId="1169" xr:uid="{00000000-0005-0000-0000-000018070000}"/>
    <cellStyle name="Style 660" xfId="1170" xr:uid="{00000000-0005-0000-0000-000019070000}"/>
    <cellStyle name="Style 661" xfId="1171" xr:uid="{00000000-0005-0000-0000-00001A070000}"/>
    <cellStyle name="Style 662" xfId="1172" xr:uid="{00000000-0005-0000-0000-00001B070000}"/>
    <cellStyle name="Style 663" xfId="1173" xr:uid="{00000000-0005-0000-0000-00001C070000}"/>
    <cellStyle name="Style 664" xfId="1174" xr:uid="{00000000-0005-0000-0000-00001D070000}"/>
    <cellStyle name="Style 666" xfId="1175" xr:uid="{00000000-0005-0000-0000-00001E070000}"/>
    <cellStyle name="Style 673" xfId="1176" xr:uid="{00000000-0005-0000-0000-00001F070000}"/>
    <cellStyle name="Style 675" xfId="1177" xr:uid="{00000000-0005-0000-0000-000020070000}"/>
    <cellStyle name="Style 677" xfId="1178" xr:uid="{00000000-0005-0000-0000-000021070000}"/>
    <cellStyle name="Style 679" xfId="1179" xr:uid="{00000000-0005-0000-0000-000022070000}"/>
    <cellStyle name="Style 681" xfId="1180" xr:uid="{00000000-0005-0000-0000-000023070000}"/>
    <cellStyle name="Style 682" xfId="1181" xr:uid="{00000000-0005-0000-0000-000024070000}"/>
    <cellStyle name="Style 683" xfId="1182" xr:uid="{00000000-0005-0000-0000-000025070000}"/>
    <cellStyle name="Style 684" xfId="1183" xr:uid="{00000000-0005-0000-0000-000026070000}"/>
    <cellStyle name="Style 685" xfId="1184" xr:uid="{00000000-0005-0000-0000-000027070000}"/>
    <cellStyle name="Style 686" xfId="1185" xr:uid="{00000000-0005-0000-0000-000028070000}"/>
    <cellStyle name="Style 687" xfId="1186" xr:uid="{00000000-0005-0000-0000-000029070000}"/>
    <cellStyle name="Style 688" xfId="1187" xr:uid="{00000000-0005-0000-0000-00002A070000}"/>
    <cellStyle name="Style 689" xfId="1188" xr:uid="{00000000-0005-0000-0000-00002B070000}"/>
    <cellStyle name="Style 690" xfId="1189" xr:uid="{00000000-0005-0000-0000-00002C070000}"/>
    <cellStyle name="Style 691" xfId="1190" xr:uid="{00000000-0005-0000-0000-00002D070000}"/>
    <cellStyle name="Style 692" xfId="1191" xr:uid="{00000000-0005-0000-0000-00002E070000}"/>
    <cellStyle name="Style 693" xfId="1192" xr:uid="{00000000-0005-0000-0000-00002F070000}"/>
    <cellStyle name="Style 694" xfId="1193" xr:uid="{00000000-0005-0000-0000-000030070000}"/>
    <cellStyle name="Style 695" xfId="1194" xr:uid="{00000000-0005-0000-0000-000031070000}"/>
    <cellStyle name="Style 696" xfId="1195" xr:uid="{00000000-0005-0000-0000-000032070000}"/>
    <cellStyle name="Style 697" xfId="1196" xr:uid="{00000000-0005-0000-0000-000033070000}"/>
    <cellStyle name="Style 698" xfId="1197" xr:uid="{00000000-0005-0000-0000-000034070000}"/>
    <cellStyle name="Style 699" xfId="1198" xr:uid="{00000000-0005-0000-0000-000035070000}"/>
    <cellStyle name="Style 700" xfId="1199" xr:uid="{00000000-0005-0000-0000-000036070000}"/>
    <cellStyle name="Style 702" xfId="1200" xr:uid="{00000000-0005-0000-0000-000037070000}"/>
    <cellStyle name="Style 704" xfId="1201" xr:uid="{00000000-0005-0000-0000-000038070000}"/>
    <cellStyle name="Style 713" xfId="1202" xr:uid="{00000000-0005-0000-0000-000039070000}"/>
    <cellStyle name="Style 714" xfId="1203" xr:uid="{00000000-0005-0000-0000-00003A070000}"/>
    <cellStyle name="Style 715" xfId="1204" xr:uid="{00000000-0005-0000-0000-00003B070000}"/>
    <cellStyle name="Style 716" xfId="1205" xr:uid="{00000000-0005-0000-0000-00003C070000}"/>
    <cellStyle name="Style 717" xfId="1206" xr:uid="{00000000-0005-0000-0000-00003D070000}"/>
    <cellStyle name="Style 718" xfId="1207" xr:uid="{00000000-0005-0000-0000-00003E070000}"/>
    <cellStyle name="Style 719" xfId="1208" xr:uid="{00000000-0005-0000-0000-00003F070000}"/>
    <cellStyle name="Style 720" xfId="1209" xr:uid="{00000000-0005-0000-0000-000040070000}"/>
    <cellStyle name="Style 721" xfId="1210" xr:uid="{00000000-0005-0000-0000-000041070000}"/>
    <cellStyle name="Style 735" xfId="1211" xr:uid="{00000000-0005-0000-0000-000042070000}"/>
    <cellStyle name="Style 736" xfId="1212" xr:uid="{00000000-0005-0000-0000-000043070000}"/>
    <cellStyle name="Style 737" xfId="1213" xr:uid="{00000000-0005-0000-0000-000044070000}"/>
    <cellStyle name="Style 738" xfId="1214" xr:uid="{00000000-0005-0000-0000-000045070000}"/>
    <cellStyle name="Style 739" xfId="1215" xr:uid="{00000000-0005-0000-0000-000046070000}"/>
    <cellStyle name="Style 740" xfId="1216" xr:uid="{00000000-0005-0000-0000-000047070000}"/>
    <cellStyle name="Style 741" xfId="1217" xr:uid="{00000000-0005-0000-0000-000048070000}"/>
    <cellStyle name="Style 742" xfId="1218" xr:uid="{00000000-0005-0000-0000-000049070000}"/>
    <cellStyle name="Style 743" xfId="1219" xr:uid="{00000000-0005-0000-0000-00004A070000}"/>
    <cellStyle name="Style 773" xfId="1220" xr:uid="{00000000-0005-0000-0000-00004B070000}"/>
    <cellStyle name="Style 775" xfId="1221" xr:uid="{00000000-0005-0000-0000-00004C070000}"/>
    <cellStyle name="Style 777" xfId="1222" xr:uid="{00000000-0005-0000-0000-00004D070000}"/>
    <cellStyle name="Style 779" xfId="1223" xr:uid="{00000000-0005-0000-0000-00004E070000}"/>
    <cellStyle name="Style 80" xfId="1224" xr:uid="{00000000-0005-0000-0000-00004F070000}"/>
    <cellStyle name="Style 81" xfId="1225" xr:uid="{00000000-0005-0000-0000-000050070000}"/>
    <cellStyle name="Style 818" xfId="1226" xr:uid="{00000000-0005-0000-0000-000051070000}"/>
    <cellStyle name="Style 824" xfId="1227" xr:uid="{00000000-0005-0000-0000-000052070000}"/>
    <cellStyle name="Style 826" xfId="1228" xr:uid="{00000000-0005-0000-0000-000053070000}"/>
    <cellStyle name="Style 829" xfId="1229" xr:uid="{00000000-0005-0000-0000-000054070000}"/>
    <cellStyle name="Style 831" xfId="1230" xr:uid="{00000000-0005-0000-0000-000055070000}"/>
    <cellStyle name="Style 833" xfId="1231" xr:uid="{00000000-0005-0000-0000-000056070000}"/>
    <cellStyle name="Style 835" xfId="1232" xr:uid="{00000000-0005-0000-0000-000057070000}"/>
    <cellStyle name="Style 837" xfId="1233" xr:uid="{00000000-0005-0000-0000-000058070000}"/>
    <cellStyle name="Style 839" xfId="1234" xr:uid="{00000000-0005-0000-0000-000059070000}"/>
    <cellStyle name="Style D green" xfId="323" xr:uid="{00000000-0005-0000-0000-00005A070000}"/>
    <cellStyle name="Style E" xfId="324" xr:uid="{00000000-0005-0000-0000-00005B070000}"/>
    <cellStyle name="Style H" xfId="325" xr:uid="{00000000-0005-0000-0000-00005C070000}"/>
    <cellStyle name="Sub total" xfId="326" xr:uid="{00000000-0005-0000-0000-00005D070000}"/>
    <cellStyle name="SubCats" xfId="1944" xr:uid="{00000000-0005-0000-0000-00005E070000}"/>
    <cellStyle name="Subhead" xfId="1235" xr:uid="{00000000-0005-0000-0000-00005F070000}"/>
    <cellStyle name="subheading" xfId="327" xr:uid="{00000000-0005-0000-0000-000060070000}"/>
    <cellStyle name="SubRoutine" xfId="1236" xr:uid="{00000000-0005-0000-0000-000061070000}"/>
    <cellStyle name="Subtotal_left" xfId="1237" xr:uid="{00000000-0005-0000-0000-000062070000}"/>
    <cellStyle name="Sum" xfId="615" xr:uid="{00000000-0005-0000-0000-000063070000}"/>
    <cellStyle name="Swiss" xfId="616" xr:uid="{00000000-0005-0000-0000-000064070000}"/>
    <cellStyle name="swisses" xfId="1945" xr:uid="{00000000-0005-0000-0000-000065070000}"/>
    <cellStyle name="t" xfId="617" xr:uid="{00000000-0005-0000-0000-000066070000}"/>
    <cellStyle name="Table end" xfId="328" xr:uid="{00000000-0005-0000-0000-000067070000}"/>
    <cellStyle name="Table head" xfId="329" xr:uid="{00000000-0005-0000-0000-000068070000}"/>
    <cellStyle name="Table head 2" xfId="1238" xr:uid="{00000000-0005-0000-0000-000069070000}"/>
    <cellStyle name="Table Head Aligned" xfId="1946" xr:uid="{00000000-0005-0000-0000-00006A070000}"/>
    <cellStyle name="Table Head Blue" xfId="1947" xr:uid="{00000000-0005-0000-0000-00006B070000}"/>
    <cellStyle name="Table Head Green" xfId="1948" xr:uid="{00000000-0005-0000-0000-00006C070000}"/>
    <cellStyle name="Table Head_2010 TEL" xfId="1949" xr:uid="{00000000-0005-0000-0000-00006D070000}"/>
    <cellStyle name="Table Label" xfId="1239" xr:uid="{00000000-0005-0000-0000-00006E070000}"/>
    <cellStyle name="table text bold" xfId="330" xr:uid="{00000000-0005-0000-0000-00006F070000}"/>
    <cellStyle name="table text bold green" xfId="331" xr:uid="{00000000-0005-0000-0000-000070070000}"/>
    <cellStyle name="table text bold_GS Banks Sector tables 2006-2008" xfId="1950" xr:uid="{00000000-0005-0000-0000-000071070000}"/>
    <cellStyle name="table text light" xfId="332" xr:uid="{00000000-0005-0000-0000-000072070000}"/>
    <cellStyle name="Table Title" xfId="618" xr:uid="{00000000-0005-0000-0000-000073070000}"/>
    <cellStyle name="Table Units" xfId="619" xr:uid="{00000000-0005-0000-0000-000074070000}"/>
    <cellStyle name="TableTitle" xfId="333" xr:uid="{00000000-0005-0000-0000-000075070000}"/>
    <cellStyle name="tcn" xfId="1240" xr:uid="{00000000-0005-0000-0000-000076070000}"/>
    <cellStyle name="TEXT" xfId="1951" xr:uid="{00000000-0005-0000-0000-000077070000}"/>
    <cellStyle name="Text Bold" xfId="334" xr:uid="{00000000-0005-0000-0000-000078070000}"/>
    <cellStyle name="Text Indent A" xfId="335" xr:uid="{00000000-0005-0000-0000-000079070000}"/>
    <cellStyle name="Text Indent A 2" xfId="1952" xr:uid="{00000000-0005-0000-0000-00007A070000}"/>
    <cellStyle name="Text Indent B" xfId="336" xr:uid="{00000000-0005-0000-0000-00007B070000}"/>
    <cellStyle name="Text Indent C" xfId="337" xr:uid="{00000000-0005-0000-0000-00007C070000}"/>
    <cellStyle name="Text Light" xfId="338" xr:uid="{00000000-0005-0000-0000-00007D070000}"/>
    <cellStyle name="TextB" xfId="339" xr:uid="{00000000-0005-0000-0000-00007E070000}"/>
    <cellStyle name="TextB 2" xfId="1953" xr:uid="{00000000-0005-0000-0000-00007F070000}"/>
    <cellStyle name="þ_x001d_ð/_x000c_=ÿÿ_x000c_0ÿU_x0001_‡_x0005_œ+_x0007__x0001__x0001_" xfId="1954" xr:uid="{00000000-0005-0000-0000-000080070000}"/>
    <cellStyle name="þ_x001d_ð/_x000c_=ÿÿ_x000c_0ÿU_x0001_‡_x0005_œ+_x000f__x0001__x0001_" xfId="1955" xr:uid="{00000000-0005-0000-0000-000081070000}"/>
    <cellStyle name="Thick Rule" xfId="340" xr:uid="{00000000-0005-0000-0000-000082070000}"/>
    <cellStyle name="Thin Rule" xfId="341" xr:uid="{00000000-0005-0000-0000-000083070000}"/>
    <cellStyle name="Thou" xfId="342" xr:uid="{00000000-0005-0000-0000-000084070000}"/>
    <cellStyle name="threedecplace_Global 1" xfId="1956" xr:uid="{00000000-0005-0000-0000-000085070000}"/>
    <cellStyle name="Time" xfId="620" xr:uid="{00000000-0005-0000-0000-000086070000}"/>
    <cellStyle name="times" xfId="1957" xr:uid="{00000000-0005-0000-0000-000087070000}"/>
    <cellStyle name="Title" xfId="343" builtinId="15" customBuiltin="1"/>
    <cellStyle name="Title - PROJECT" xfId="621" xr:uid="{00000000-0005-0000-0000-000089070000}"/>
    <cellStyle name="Title - Underline" xfId="622" xr:uid="{00000000-0005-0000-0000-00008A070000}"/>
    <cellStyle name="Title 2" xfId="1958" xr:uid="{00000000-0005-0000-0000-00008B070000}"/>
    <cellStyle name="Title 3" xfId="1959" xr:uid="{00000000-0005-0000-0000-00008C070000}"/>
    <cellStyle name="Title 4" xfId="1960" xr:uid="{00000000-0005-0000-0000-00008D070000}"/>
    <cellStyle name="Title1" xfId="623" xr:uid="{00000000-0005-0000-0000-00008E070000}"/>
    <cellStyle name="Title1 2" xfId="1961" xr:uid="{00000000-0005-0000-0000-00008F070000}"/>
    <cellStyle name="Title2" xfId="624" xr:uid="{00000000-0005-0000-0000-000090070000}"/>
    <cellStyle name="TitleII" xfId="1241" xr:uid="{00000000-0005-0000-0000-000091070000}"/>
    <cellStyle name="Titles" xfId="1242" xr:uid="{00000000-0005-0000-0000-000092070000}"/>
    <cellStyle name="Titles - Col. Headings" xfId="625" xr:uid="{00000000-0005-0000-0000-000093070000}"/>
    <cellStyle name="Titles - Other" xfId="626" xr:uid="{00000000-0005-0000-0000-000094070000}"/>
    <cellStyle name="Titulo fecha 2" xfId="1962" xr:uid="{00000000-0005-0000-0000-000095070000}"/>
    <cellStyle name="Titulos Fecha" xfId="1963" xr:uid="{00000000-0005-0000-0000-000096070000}"/>
    <cellStyle name="tn" xfId="1243" xr:uid="{00000000-0005-0000-0000-000097070000}"/>
    <cellStyle name="tom" xfId="1244" xr:uid="{00000000-0005-0000-0000-000098070000}"/>
    <cellStyle name="Top and Bottom Border" xfId="1245" xr:uid="{00000000-0005-0000-0000-000099070000}"/>
    <cellStyle name="Top Line Light" xfId="1246" xr:uid="{00000000-0005-0000-0000-00009A070000}"/>
    <cellStyle name="Topline" xfId="1964" xr:uid="{00000000-0005-0000-0000-00009B070000}"/>
    <cellStyle name="Topline 2" xfId="1965" xr:uid="{00000000-0005-0000-0000-00009C070000}"/>
    <cellStyle name="Total" xfId="344" builtinId="25" customBuiltin="1"/>
    <cellStyle name="Total 2" xfId="1966" xr:uid="{00000000-0005-0000-0000-00009E070000}"/>
    <cellStyle name="Tusental (0)_laroux" xfId="1247" xr:uid="{00000000-0005-0000-0000-00009F070000}"/>
    <cellStyle name="Tusental_laroux" xfId="1248" xr:uid="{00000000-0005-0000-0000-0000A0070000}"/>
    <cellStyle name="Twodig" xfId="1249" xr:uid="{00000000-0005-0000-0000-0000A1070000}"/>
    <cellStyle name="u" xfId="345" xr:uid="{00000000-0005-0000-0000-0000A2070000}"/>
    <cellStyle name="u 2" xfId="1967" xr:uid="{00000000-0005-0000-0000-0000A3070000}"/>
    <cellStyle name="un-bold" xfId="1968" xr:uid="{00000000-0005-0000-0000-0000A4070000}"/>
    <cellStyle name="un-bold 2" xfId="1969" xr:uid="{00000000-0005-0000-0000-0000A5070000}"/>
    <cellStyle name="UnderLine" xfId="346" xr:uid="{00000000-0005-0000-0000-0000A6070000}"/>
    <cellStyle name="Underline 2" xfId="1250" xr:uid="{00000000-0005-0000-0000-0000A7070000}"/>
    <cellStyle name="Underline(0)" xfId="1251" xr:uid="{00000000-0005-0000-0000-0000A8070000}"/>
    <cellStyle name="Underline_ANF" xfId="1252" xr:uid="{00000000-0005-0000-0000-0000A9070000}"/>
    <cellStyle name="UnderlineDouble" xfId="1253" xr:uid="{00000000-0005-0000-0000-0000AA070000}"/>
    <cellStyle name="unm" xfId="627" xr:uid="{00000000-0005-0000-0000-0000AB070000}"/>
    <cellStyle name="un-Pattern" xfId="1970" xr:uid="{00000000-0005-0000-0000-0000AC070000}"/>
    <cellStyle name="un-wrap" xfId="1971" xr:uid="{00000000-0005-0000-0000-0000AD070000}"/>
    <cellStyle name="User_Defined_C" xfId="1254" xr:uid="{00000000-0005-0000-0000-0000AE070000}"/>
    <cellStyle name="Valuation" xfId="347" xr:uid="{00000000-0005-0000-0000-0000AF070000}"/>
    <cellStyle name="Valuta (0)_laroux" xfId="1255" xr:uid="{00000000-0005-0000-0000-0000B0070000}"/>
    <cellStyle name="Valuta_laroux" xfId="1256" xr:uid="{00000000-0005-0000-0000-0000B1070000}"/>
    <cellStyle name="Vpershare" xfId="348" xr:uid="{00000000-0005-0000-0000-0000B2070000}"/>
    <cellStyle name="Vstandard" xfId="349" xr:uid="{00000000-0005-0000-0000-0000B3070000}"/>
    <cellStyle name="Währung [0]_laroux" xfId="1257" xr:uid="{00000000-0005-0000-0000-0000B4070000}"/>
    <cellStyle name="Währung_laroux" xfId="1258" xr:uid="{00000000-0005-0000-0000-0000B5070000}"/>
    <cellStyle name="Warning Text" xfId="350" builtinId="11" customBuiltin="1"/>
    <cellStyle name="Warning Text 2" xfId="1972" xr:uid="{00000000-0005-0000-0000-0000B7070000}"/>
    <cellStyle name="white/hidden" xfId="1973" xr:uid="{00000000-0005-0000-0000-0000B8070000}"/>
    <cellStyle name="WholeNumber" xfId="1259" xr:uid="{00000000-0005-0000-0000-0000B9070000}"/>
    <cellStyle name="wrap" xfId="1974" xr:uid="{00000000-0005-0000-0000-0000BA070000}"/>
    <cellStyle name="x" xfId="1260" xr:uid="{00000000-0005-0000-0000-0000BB070000}"/>
    <cellStyle name="xMillions ($0.0m)" xfId="1975" xr:uid="{00000000-0005-0000-0000-0000BC070000}"/>
    <cellStyle name="xMillions (0.0)" xfId="1976" xr:uid="{00000000-0005-0000-0000-0000BD070000}"/>
    <cellStyle name="xThousands ($0.0k)" xfId="1977" xr:uid="{00000000-0005-0000-0000-0000BE070000}"/>
    <cellStyle name="xThousands (0.0)" xfId="1978" xr:uid="{00000000-0005-0000-0000-0000BF070000}"/>
    <cellStyle name="Year" xfId="351" xr:uid="{00000000-0005-0000-0000-0000C0070000}"/>
    <cellStyle name="Years" xfId="628" xr:uid="{00000000-0005-0000-0000-0000C1070000}"/>
    <cellStyle name="Zaph Call 11pt" xfId="1261" xr:uid="{00000000-0005-0000-0000-0000C2070000}"/>
    <cellStyle name="콤마_SEC income  2002 march" xfId="1979" xr:uid="{00000000-0005-0000-0000-0000C3070000}"/>
    <cellStyle name="一般_Sheet1" xfId="352" xr:uid="{00000000-0005-0000-0000-0000C4070000}"/>
    <cellStyle name="桁区切り [0.0]" xfId="1262" xr:uid="{00000000-0005-0000-0000-0000C5070000}"/>
    <cellStyle name="標準_Book4" xfId="1263" xr:uid="{00000000-0005-0000-0000-0000C6070000}"/>
  </cellStyles>
  <dxfs count="2">
    <dxf>
      <font>
        <color rgb="FF00B050"/>
      </font>
    </dxf>
    <dxf>
      <font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5E76AA"/>
      <rgbColor rgb="00CFD6E6"/>
      <rgbColor rgb="009EADCC"/>
      <rgbColor rgb="00EFF1F6"/>
      <rgbColor rgb="00BFC8DD"/>
      <rgbColor rgb="008E9FC4"/>
      <rgbColor rgb="00DFE4EE"/>
      <rgbColor rgb="00AEBAD5"/>
      <rgbColor rgb="00000000"/>
      <rgbColor rgb="00AAAAAA"/>
      <rgbColor rgb="00444444"/>
      <rgbColor rgb="00CCCCCC"/>
      <rgbColor rgb="00888888"/>
      <rgbColor rgb="00666666"/>
      <rgbColor rgb="00EEEEEE"/>
      <rgbColor rgb="00222222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0035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querytool.functions">
      <tp t="b">
        <v>0</v>
        <stp/>
        <stp>Keyword</stp>
        <stp>9c6d017f-2364-49ac-afe3-d270d50228d3</stp>
        <stp>WTC.AX</stp>
        <stp>REVS_PUB</stp>
        <stp>2023</stp>
        <stp/>
        <stp/>
        <stp/>
        <stp>WIP</stp>
        <stp>FALSE</stp>
        <stp>FALSE</stp>
        <stp>FALSE</stp>
        <stp>FALSE</stp>
        <stp/>
        <tr r="AA16" s="23123"/>
      </tp>
      <tp t="b">
        <v>0</v>
        <stp/>
        <stp>Keyword</stp>
        <stp>9c6d017f-2364-49ac-afe3-d270d50228d3</stp>
        <stp>WTC.AX</stp>
        <stp>REVS_PUB</stp>
        <stp>2025</stp>
        <stp/>
        <stp/>
        <stp/>
        <stp>WIP</stp>
        <stp>FALSE</stp>
        <stp>FALSE</stp>
        <stp>FALSE</stp>
        <stp>FALSE</stp>
        <stp/>
        <tr r="AC16" s="23123"/>
      </tp>
      <tp t="b">
        <v>0</v>
        <stp/>
        <stp>Keyword</stp>
        <stp>9c6d017f-2364-49ac-afe3-d270d50228d3</stp>
        <stp>WTC.AX</stp>
        <stp>REVS_PUB</stp>
        <stp>2024</stp>
        <stp/>
        <stp/>
        <stp/>
        <stp>WIP</stp>
        <stp>FALSE</stp>
        <stp>FALSE</stp>
        <stp>FALSE</stp>
        <stp>FALSE</stp>
        <stp/>
        <tr r="AB16" s="23123"/>
      </tp>
      <tp t="b">
        <v>0</v>
        <stp/>
        <stp>Keyword</stp>
        <stp>9c6d017f-2364-49ac-afe3-d270d50228d3</stp>
        <stp>WTC.AX</stp>
        <stp>REVS_PUB</stp>
        <stp>2026</stp>
        <stp/>
        <stp/>
        <stp/>
        <stp>WIP</stp>
        <stp>FALSE</stp>
        <stp>FALSE</stp>
        <stp>FALSE</stp>
        <stp>FALSE</stp>
        <stp/>
        <tr r="AD16" s="23123"/>
      </tp>
      <tp t="b">
        <v>0</v>
        <stp/>
        <stp>Keyword</stp>
        <stp>9c6d017f-2364-49ac-afe3-d270d50228d3</stp>
        <stp>WTC.AX</stp>
        <stp>EBIT_PUB</stp>
        <stp>2026</stp>
        <stp/>
        <stp/>
        <stp/>
        <stp>WIP</stp>
        <stp>FALSE</stp>
        <stp>FALSE</stp>
        <stp>FALSE</stp>
        <stp>FALSE</stp>
        <stp/>
        <tr r="AD18" s="23123"/>
      </tp>
      <tp t="b">
        <v>0</v>
        <stp/>
        <stp>Keyword</stp>
        <stp>9c6d017f-2364-49ac-afe3-d270d50228d3</stp>
        <stp>WTC.AX</stp>
        <stp>EBIT_PUB</stp>
        <stp>2024</stp>
        <stp/>
        <stp/>
        <stp/>
        <stp>WIP</stp>
        <stp>FALSE</stp>
        <stp>FALSE</stp>
        <stp>FALSE</stp>
        <stp>FALSE</stp>
        <stp/>
        <tr r="AB18" s="23123"/>
      </tp>
      <tp t="b">
        <v>0</v>
        <stp/>
        <stp>Keyword</stp>
        <stp>9c6d017f-2364-49ac-afe3-d270d50228d3</stp>
        <stp>WTC.AX</stp>
        <stp>EBIT_PUB</stp>
        <stp>2025</stp>
        <stp/>
        <stp/>
        <stp/>
        <stp>WIP</stp>
        <stp>FALSE</stp>
        <stp>FALSE</stp>
        <stp>FALSE</stp>
        <stp>FALSE</stp>
        <stp/>
        <tr r="AC18" s="23123"/>
      </tp>
      <tp t="b">
        <v>0</v>
        <stp/>
        <stp>Keyword</stp>
        <stp>9c6d017f-2364-49ac-afe3-d270d50228d3</stp>
        <stp>WTC.AX</stp>
        <stp>EBIT_PUB</stp>
        <stp>2023</stp>
        <stp/>
        <stp/>
        <stp/>
        <stp>WIP</stp>
        <stp>FALSE</stp>
        <stp>FALSE</stp>
        <stp>FALSE</stp>
        <stp>FALSE</stp>
        <stp/>
        <tr r="AA18" s="23123"/>
      </tp>
      <tp t="b">
        <v>0</v>
        <stp/>
        <stp>Keyword</stp>
        <stp>9c6d017f-2364-49ac-afe3-d270d50228d3</stp>
        <stp>WTC.AX</stp>
        <stp>EBITDA_PUB</stp>
        <stp>2023</stp>
        <stp/>
        <stp/>
        <stp/>
        <stp>WIP</stp>
        <stp>FALSE</stp>
        <stp>FALSE</stp>
        <stp>FALSE</stp>
        <stp>FALSE</stp>
        <stp/>
        <tr r="AA17" s="23123"/>
      </tp>
      <tp t="b">
        <v>0</v>
        <stp/>
        <stp>Keyword</stp>
        <stp>9c6d017f-2364-49ac-afe3-d270d50228d3</stp>
        <stp>WTC.AX</stp>
        <stp>EBITDA_PUB</stp>
        <stp>2025</stp>
        <stp/>
        <stp/>
        <stp/>
        <stp>WIP</stp>
        <stp>FALSE</stp>
        <stp>FALSE</stp>
        <stp>FALSE</stp>
        <stp>FALSE</stp>
        <stp/>
        <tr r="AC17" s="23123"/>
      </tp>
      <tp t="b">
        <v>0</v>
        <stp/>
        <stp>Keyword</stp>
        <stp>9c6d017f-2364-49ac-afe3-d270d50228d3</stp>
        <stp>WTC.AX</stp>
        <stp>EBITDA_PUB</stp>
        <stp>2024</stp>
        <stp/>
        <stp/>
        <stp/>
        <stp>WIP</stp>
        <stp>FALSE</stp>
        <stp>FALSE</stp>
        <stp>FALSE</stp>
        <stp>FALSE</stp>
        <stp/>
        <tr r="AB17" s="23123"/>
      </tp>
      <tp t="b">
        <v>0</v>
        <stp/>
        <stp>Keyword</stp>
        <stp>9c6d017f-2364-49ac-afe3-d270d50228d3</stp>
        <stp>WTC.AX</stp>
        <stp>EBITDA_PUB</stp>
        <stp>2026</stp>
        <stp/>
        <stp/>
        <stp/>
        <stp>WIP</stp>
        <stp>FALSE</stp>
        <stp>FALSE</stp>
        <stp>FALSE</stp>
        <stp>FALSE</stp>
        <stp/>
        <tr r="AD17" s="23123"/>
      </tp>
      <tp t="b">
        <v>0</v>
        <stp/>
        <stp>Keyword</stp>
        <stp>9c6d017f-2364-49ac-afe3-d270d50228d3</stp>
        <stp>WTC.AX</stp>
        <stp>EPS_PUB</stp>
        <stp>2025</stp>
        <stp/>
        <stp/>
        <stp/>
        <stp>WIP</stp>
        <stp>FALSE</stp>
        <stp>FALSE</stp>
        <stp>FALSE</stp>
        <stp>FALSE</stp>
        <stp/>
        <tr r="AC20" s="23123"/>
      </tp>
      <tp t="b">
        <v>0</v>
        <stp/>
        <stp>Keyword</stp>
        <stp>9c6d017f-2364-49ac-afe3-d270d50228d3</stp>
        <stp>WTC.AX</stp>
        <stp>EPS_PUB</stp>
        <stp>2024</stp>
        <stp/>
        <stp/>
        <stp/>
        <stp>WIP</stp>
        <stp>FALSE</stp>
        <stp>FALSE</stp>
        <stp>FALSE</stp>
        <stp>FALSE</stp>
        <stp/>
        <tr r="AB20" s="23123"/>
      </tp>
      <tp t="b">
        <v>0</v>
        <stp/>
        <stp>Keyword</stp>
        <stp>9c6d017f-2364-49ac-afe3-d270d50228d3</stp>
        <stp>WTC.AX</stp>
        <stp>EPS_PUB</stp>
        <stp>2026</stp>
        <stp/>
        <stp/>
        <stp/>
        <stp>WIP</stp>
        <stp>FALSE</stp>
        <stp>FALSE</stp>
        <stp>FALSE</stp>
        <stp>FALSE</stp>
        <stp/>
        <tr r="AD20" s="23123"/>
      </tp>
      <tp t="b">
        <v>0</v>
        <stp/>
        <stp>Keyword</stp>
        <stp>9c6d017f-2364-49ac-afe3-d270d50228d3</stp>
        <stp>WTC.AX</stp>
        <stp>EPS_PUB</stp>
        <stp>2023</stp>
        <stp/>
        <stp/>
        <stp/>
        <stp>WIP</stp>
        <stp>FALSE</stp>
        <stp>FALSE</stp>
        <stp>FALSE</stp>
        <stp>FALSE</stp>
        <stp/>
        <tr r="AA20" s="23123"/>
      </tp>
      <tp t="b">
        <v>0</v>
        <stp/>
        <stp>Keyword</stp>
        <stp>9c6d017f-2364-49ac-afe3-d270d50228d3</stp>
        <stp>DHG.AX</stp>
        <stp>TARGET_PRICE</stp>
        <stp/>
        <stp/>
        <stp/>
        <stp/>
        <stp>WIP</stp>
        <stp>FALSE</stp>
        <stp>FALSE</stp>
        <stp>FALSE</stp>
        <stp>FALSE</stp>
        <stp/>
        <tr r="G15" s="23123"/>
      </tp>
      <tp t="b">
        <v>0</v>
        <stp/>
        <stp>Keyword</stp>
        <stp>9c6d017f-2364-49ac-afe3-d270d50228d3</stp>
        <stp>WTC.AX</stp>
        <stp>NI_PUB</stp>
        <stp>2023</stp>
        <stp/>
        <stp/>
        <stp/>
        <stp>WIP</stp>
        <stp>FALSE</stp>
        <stp>FALSE</stp>
        <stp>FALSE</stp>
        <stp>FALSE</stp>
        <stp/>
        <tr r="AA19" s="23123"/>
      </tp>
      <tp t="b">
        <v>0</v>
        <stp/>
        <stp>Keyword</stp>
        <stp>9c6d017f-2364-49ac-afe3-d270d50228d3</stp>
        <stp>WTC.AX</stp>
        <stp>NI_PUB</stp>
        <stp>2024</stp>
        <stp/>
        <stp/>
        <stp/>
        <stp>WIP</stp>
        <stp>FALSE</stp>
        <stp>FALSE</stp>
        <stp>FALSE</stp>
        <stp>FALSE</stp>
        <stp/>
        <tr r="AB19" s="23123"/>
      </tp>
      <tp t="b">
        <v>0</v>
        <stp/>
        <stp>Keyword</stp>
        <stp>9c6d017f-2364-49ac-afe3-d270d50228d3</stp>
        <stp>WTC.AX</stp>
        <stp>NI_PUB</stp>
        <stp>2025</stp>
        <stp/>
        <stp/>
        <stp/>
        <stp>WIP</stp>
        <stp>FALSE</stp>
        <stp>FALSE</stp>
        <stp>FALSE</stp>
        <stp>FALSE</stp>
        <stp/>
        <tr r="AC19" s="23123"/>
      </tp>
      <tp t="b">
        <v>0</v>
        <stp/>
        <stp>Keyword</stp>
        <stp>9c6d017f-2364-49ac-afe3-d270d50228d3</stp>
        <stp>WTC.AX</stp>
        <stp>NI_PUB</stp>
        <stp>2026</stp>
        <stp/>
        <stp/>
        <stp/>
        <stp>WIP</stp>
        <stp>FALSE</stp>
        <stp>FALSE</stp>
        <stp>FALSE</stp>
        <stp>FALSE</stp>
        <stp/>
        <tr r="AD19" s="2312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'Cross Check'!$B$32</c:f>
              <c:strCache>
                <c:ptCount val="1"/>
                <c:pt idx="0">
                  <c:v>DSV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Check'!$C$32:$R$32</c:f>
              <c:numCache>
                <c:formatCode>#,##0</c:formatCode>
                <c:ptCount val="16"/>
                <c:pt idx="1">
                  <c:v>18269</c:v>
                </c:pt>
                <c:pt idx="2">
                  <c:v>18269</c:v>
                </c:pt>
                <c:pt idx="3">
                  <c:v>18269</c:v>
                </c:pt>
                <c:pt idx="4">
                  <c:v>18269</c:v>
                </c:pt>
                <c:pt idx="5">
                  <c:v>18269</c:v>
                </c:pt>
                <c:pt idx="6">
                  <c:v>18269</c:v>
                </c:pt>
                <c:pt idx="7">
                  <c:v>18269</c:v>
                </c:pt>
                <c:pt idx="8">
                  <c:v>18269</c:v>
                </c:pt>
                <c:pt idx="9">
                  <c:v>18269</c:v>
                </c:pt>
                <c:pt idx="10">
                  <c:v>18269</c:v>
                </c:pt>
                <c:pt idx="11">
                  <c:v>18269</c:v>
                </c:pt>
                <c:pt idx="12">
                  <c:v>18269</c:v>
                </c:pt>
                <c:pt idx="13">
                  <c:v>18269</c:v>
                </c:pt>
                <c:pt idx="14">
                  <c:v>18269</c:v>
                </c:pt>
                <c:pt idx="15">
                  <c:v>18269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3-4DD7-9A1D-B72B967EA808}"/>
            </c:ext>
          </c:extLst>
        </c:ser>
        <c:ser>
          <c:idx val="1"/>
          <c:order val="1"/>
          <c:tx>
            <c:strRef>
              <c:f>'Cross Check'!$B$33</c:f>
              <c:strCache>
                <c:ptCount val="1"/>
                <c:pt idx="0">
                  <c:v>Toll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Check'!$C$33:$R$33</c:f>
              <c:numCache>
                <c:formatCode>General</c:formatCode>
                <c:ptCount val="16"/>
                <c:pt idx="2" formatCode="#,##0">
                  <c:v>7260</c:v>
                </c:pt>
                <c:pt idx="3" formatCode="#,##0">
                  <c:v>7260</c:v>
                </c:pt>
                <c:pt idx="4" formatCode="#,##0">
                  <c:v>7260</c:v>
                </c:pt>
                <c:pt idx="5" formatCode="#,##0">
                  <c:v>7260</c:v>
                </c:pt>
                <c:pt idx="6" formatCode="#,##0">
                  <c:v>7260</c:v>
                </c:pt>
                <c:pt idx="7" formatCode="#,##0">
                  <c:v>7260</c:v>
                </c:pt>
                <c:pt idx="8" formatCode="#,##0">
                  <c:v>7260</c:v>
                </c:pt>
                <c:pt idx="9" formatCode="#,##0">
                  <c:v>7260</c:v>
                </c:pt>
                <c:pt idx="10" formatCode="#,##0">
                  <c:v>7260</c:v>
                </c:pt>
                <c:pt idx="11" formatCode="#,##0">
                  <c:v>7260</c:v>
                </c:pt>
                <c:pt idx="12" formatCode="#,##0">
                  <c:v>7260</c:v>
                </c:pt>
                <c:pt idx="13" formatCode="#,##0">
                  <c:v>7260</c:v>
                </c:pt>
                <c:pt idx="14" formatCode="#,##0">
                  <c:v>7260</c:v>
                </c:pt>
                <c:pt idx="15" formatCode="#,##0">
                  <c:v>7260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3-4DD7-9A1D-B72B967EA808}"/>
            </c:ext>
          </c:extLst>
        </c:ser>
        <c:ser>
          <c:idx val="2"/>
          <c:order val="2"/>
          <c:tx>
            <c:strRef>
              <c:f>'Cross Check'!$B$34</c:f>
              <c:strCache>
                <c:ptCount val="1"/>
                <c:pt idx="0">
                  <c:v>Yusen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Check'!$C$34:$R$34</c:f>
              <c:numCache>
                <c:formatCode>General</c:formatCode>
                <c:ptCount val="16"/>
                <c:pt idx="3" formatCode="#,##0">
                  <c:v>4248</c:v>
                </c:pt>
                <c:pt idx="4" formatCode="#,##0">
                  <c:v>4248</c:v>
                </c:pt>
                <c:pt idx="5" formatCode="#,##0">
                  <c:v>4248</c:v>
                </c:pt>
                <c:pt idx="6" formatCode="#,##0">
                  <c:v>4248</c:v>
                </c:pt>
                <c:pt idx="7" formatCode="#,##0">
                  <c:v>4248</c:v>
                </c:pt>
                <c:pt idx="8" formatCode="#,##0">
                  <c:v>4248</c:v>
                </c:pt>
                <c:pt idx="9" formatCode="#,##0">
                  <c:v>4248</c:v>
                </c:pt>
                <c:pt idx="10" formatCode="#,##0">
                  <c:v>4248</c:v>
                </c:pt>
                <c:pt idx="11" formatCode="#,##0">
                  <c:v>4248</c:v>
                </c:pt>
                <c:pt idx="12" formatCode="#,##0">
                  <c:v>4248</c:v>
                </c:pt>
                <c:pt idx="13" formatCode="#,##0">
                  <c:v>4248</c:v>
                </c:pt>
                <c:pt idx="14" formatCode="#,##0">
                  <c:v>4248</c:v>
                </c:pt>
                <c:pt idx="15" formatCode="#,##0">
                  <c:v>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3-4DD7-9A1D-B72B967EA808}"/>
            </c:ext>
          </c:extLst>
        </c:ser>
        <c:ser>
          <c:idx val="3"/>
          <c:order val="3"/>
          <c:tx>
            <c:strRef>
              <c:f>'Cross Check'!$B$35</c:f>
              <c:strCache>
                <c:ptCount val="1"/>
                <c:pt idx="0">
                  <c:v>Mainfreight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Check'!$C$35:$R$35</c:f>
              <c:numCache>
                <c:formatCode>General</c:formatCode>
                <c:ptCount val="16"/>
                <c:pt idx="4" formatCode="#,##0">
                  <c:v>2467</c:v>
                </c:pt>
                <c:pt idx="5" formatCode="#,##0">
                  <c:v>2467</c:v>
                </c:pt>
                <c:pt idx="6" formatCode="#,##0">
                  <c:v>2467</c:v>
                </c:pt>
                <c:pt idx="7" formatCode="#,##0">
                  <c:v>2467</c:v>
                </c:pt>
                <c:pt idx="8" formatCode="#,##0">
                  <c:v>2467</c:v>
                </c:pt>
                <c:pt idx="9" formatCode="#,##0">
                  <c:v>2467</c:v>
                </c:pt>
                <c:pt idx="10" formatCode="#,##0">
                  <c:v>2467</c:v>
                </c:pt>
                <c:pt idx="11" formatCode="#,##0">
                  <c:v>2467</c:v>
                </c:pt>
                <c:pt idx="12" formatCode="#,##0">
                  <c:v>2467</c:v>
                </c:pt>
                <c:pt idx="13" formatCode="#,##0">
                  <c:v>2467</c:v>
                </c:pt>
                <c:pt idx="14" formatCode="#,##0">
                  <c:v>2467</c:v>
                </c:pt>
                <c:pt idx="15" formatCode="#,##0">
                  <c:v>2467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3-4DD7-9A1D-B72B967EA808}"/>
            </c:ext>
          </c:extLst>
        </c:ser>
        <c:ser>
          <c:idx val="4"/>
          <c:order val="4"/>
          <c:tx>
            <c:strRef>
              <c:f>'Cross Check'!$B$36</c:f>
              <c:strCache>
                <c:ptCount val="1"/>
                <c:pt idx="0">
                  <c:v>Geodis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Check'!$C$36:$R$36</c:f>
              <c:numCache>
                <c:formatCode>General</c:formatCode>
                <c:ptCount val="16"/>
                <c:pt idx="5" formatCode="#,##0">
                  <c:v>9135</c:v>
                </c:pt>
                <c:pt idx="6" formatCode="#,##0">
                  <c:v>9135</c:v>
                </c:pt>
                <c:pt idx="7" formatCode="#,##0">
                  <c:v>9135</c:v>
                </c:pt>
                <c:pt idx="8" formatCode="#,##0">
                  <c:v>9135</c:v>
                </c:pt>
                <c:pt idx="9" formatCode="#,##0">
                  <c:v>9135</c:v>
                </c:pt>
                <c:pt idx="10" formatCode="#,##0">
                  <c:v>9135</c:v>
                </c:pt>
                <c:pt idx="11" formatCode="#,##0">
                  <c:v>9135</c:v>
                </c:pt>
                <c:pt idx="12" formatCode="#,##0">
                  <c:v>9135</c:v>
                </c:pt>
                <c:pt idx="13" formatCode="#,##0">
                  <c:v>9135</c:v>
                </c:pt>
                <c:pt idx="14" formatCode="#,##0">
                  <c:v>9135</c:v>
                </c:pt>
                <c:pt idx="15" formatCode="#,##0">
                  <c:v>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3-4DD7-9A1D-B72B967EA808}"/>
            </c:ext>
          </c:extLst>
        </c:ser>
        <c:ser>
          <c:idx val="5"/>
          <c:order val="5"/>
          <c:tx>
            <c:strRef>
              <c:f>'Cross Check'!$B$37</c:f>
              <c:strCache>
                <c:ptCount val="1"/>
                <c:pt idx="0">
                  <c:v>Logwin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Check'!$C$37:$R$37</c:f>
              <c:numCache>
                <c:formatCode>General</c:formatCode>
                <c:ptCount val="16"/>
                <c:pt idx="9" formatCode="#,##0">
                  <c:v>1292</c:v>
                </c:pt>
                <c:pt idx="10" formatCode="#,##0">
                  <c:v>1292</c:v>
                </c:pt>
                <c:pt idx="11" formatCode="#,##0">
                  <c:v>1292</c:v>
                </c:pt>
                <c:pt idx="12" formatCode="#,##0">
                  <c:v>1292</c:v>
                </c:pt>
                <c:pt idx="13" formatCode="#,##0">
                  <c:v>1292</c:v>
                </c:pt>
                <c:pt idx="14" formatCode="#,##0">
                  <c:v>1292</c:v>
                </c:pt>
                <c:pt idx="15" formatCode="#,##0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3-4DD7-9A1D-B72B967EA808}"/>
            </c:ext>
          </c:extLst>
        </c:ser>
        <c:ser>
          <c:idx val="6"/>
          <c:order val="6"/>
          <c:tx>
            <c:strRef>
              <c:f>'Cross Check'!$B$38</c:f>
              <c:strCache>
                <c:ptCount val="1"/>
                <c:pt idx="0">
                  <c:v>DHL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Check'!$C$38:$R$38</c:f>
              <c:numCache>
                <c:formatCode>General</c:formatCode>
                <c:ptCount val="16"/>
                <c:pt idx="10" formatCode="#,##0">
                  <c:v>28453</c:v>
                </c:pt>
                <c:pt idx="11" formatCode="#,##0">
                  <c:v>28453</c:v>
                </c:pt>
                <c:pt idx="12" formatCode="#,##0">
                  <c:v>28453</c:v>
                </c:pt>
                <c:pt idx="13" formatCode="#,##0">
                  <c:v>28453</c:v>
                </c:pt>
                <c:pt idx="14" formatCode="#,##0">
                  <c:v>28453</c:v>
                </c:pt>
                <c:pt idx="15" formatCode="#,##0">
                  <c:v>28453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F3-4DD7-9A1D-B72B967EA808}"/>
            </c:ext>
          </c:extLst>
        </c:ser>
        <c:ser>
          <c:idx val="7"/>
          <c:order val="7"/>
          <c:tx>
            <c:strRef>
              <c:f>'Cross Check'!$B$39</c:f>
              <c:strCache>
                <c:ptCount val="1"/>
                <c:pt idx="0">
                  <c:v>Bollore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Check'!$C$39:$R$39</c:f>
              <c:numCache>
                <c:formatCode>General</c:formatCode>
                <c:ptCount val="16"/>
                <c:pt idx="13" formatCode="#,##0">
                  <c:v>5265</c:v>
                </c:pt>
                <c:pt idx="14" formatCode="#,##0">
                  <c:v>5265</c:v>
                </c:pt>
                <c:pt idx="15" formatCode="#,##0">
                  <c:v>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FF3-4DD7-9A1D-B72B967EA808}"/>
            </c:ext>
          </c:extLst>
        </c:ser>
        <c:ser>
          <c:idx val="8"/>
          <c:order val="8"/>
          <c:tx>
            <c:strRef>
              <c:f>'Cross Check'!$B$40</c:f>
              <c:strCache>
                <c:ptCount val="1"/>
                <c:pt idx="0">
                  <c:v>Hellman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Check'!$C$40:$R$40</c:f>
              <c:numCache>
                <c:formatCode>General</c:formatCode>
                <c:ptCount val="16"/>
                <c:pt idx="14" formatCode="#,##0">
                  <c:v>2972</c:v>
                </c:pt>
                <c:pt idx="15" formatCode="#,##0">
                  <c:v>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FF3-4DD7-9A1D-B72B967EA808}"/>
            </c:ext>
          </c:extLst>
        </c:ser>
        <c:ser>
          <c:idx val="9"/>
          <c:order val="9"/>
          <c:tx>
            <c:strRef>
              <c:f>'Cross Check'!$B$41</c:f>
              <c:strCache>
                <c:ptCount val="1"/>
                <c:pt idx="0">
                  <c:v>CEVA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Check'!$C$31:$R$31</c:f>
              <c:strCache>
                <c:ptCount val="16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</c:strCache>
            </c:strRef>
          </c:cat>
          <c:val>
            <c:numRef>
              <c:f>'Cross Check'!$C$41:$R$41</c:f>
              <c:numCache>
                <c:formatCode>General</c:formatCode>
                <c:ptCount val="16"/>
                <c:pt idx="15" formatCode="#,##0">
                  <c:v>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FF3-4DD7-9A1D-B72B967EA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711007"/>
        <c:axId val="116698943"/>
      </c:barChart>
      <c:catAx>
        <c:axId val="116711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98943"/>
        <c:crosses val="autoZero"/>
        <c:auto val="1"/>
        <c:lblAlgn val="ctr"/>
        <c:lblOffset val="100"/>
        <c:noMultiLvlLbl val="0"/>
      </c:catAx>
      <c:valAx>
        <c:axId val="1166989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110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'Cross Check'!$B$44</c:f>
              <c:strCache>
                <c:ptCount val="1"/>
                <c:pt idx="0">
                  <c:v>DSV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Check'!$C$44:$V$44</c:f>
              <c:numCache>
                <c:formatCode>#,##0</c:formatCode>
                <c:ptCount val="20"/>
                <c:pt idx="0" formatCode="General">
                  <c:v>0</c:v>
                </c:pt>
                <c:pt idx="1">
                  <c:v>3653.8</c:v>
                </c:pt>
                <c:pt idx="2">
                  <c:v>7307.6</c:v>
                </c:pt>
                <c:pt idx="3">
                  <c:v>10961.400000000001</c:v>
                </c:pt>
                <c:pt idx="4">
                  <c:v>14615.2</c:v>
                </c:pt>
                <c:pt idx="5">
                  <c:v>18269</c:v>
                </c:pt>
                <c:pt idx="6">
                  <c:v>18269</c:v>
                </c:pt>
                <c:pt idx="7">
                  <c:v>18269</c:v>
                </c:pt>
                <c:pt idx="8">
                  <c:v>18269</c:v>
                </c:pt>
                <c:pt idx="9">
                  <c:v>18269</c:v>
                </c:pt>
                <c:pt idx="10">
                  <c:v>18269</c:v>
                </c:pt>
                <c:pt idx="11">
                  <c:v>18269</c:v>
                </c:pt>
                <c:pt idx="12">
                  <c:v>18269</c:v>
                </c:pt>
                <c:pt idx="13">
                  <c:v>18269</c:v>
                </c:pt>
                <c:pt idx="14">
                  <c:v>18269</c:v>
                </c:pt>
                <c:pt idx="15">
                  <c:v>18269</c:v>
                </c:pt>
                <c:pt idx="16">
                  <c:v>18269</c:v>
                </c:pt>
                <c:pt idx="17">
                  <c:v>18269</c:v>
                </c:pt>
                <c:pt idx="18">
                  <c:v>18269</c:v>
                </c:pt>
                <c:pt idx="19">
                  <c:v>18269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98-4E85-947A-AA7CFE2ED782}"/>
            </c:ext>
          </c:extLst>
        </c:ser>
        <c:ser>
          <c:idx val="1"/>
          <c:order val="1"/>
          <c:tx>
            <c:strRef>
              <c:f>'Cross Check'!$B$45</c:f>
              <c:strCache>
                <c:ptCount val="1"/>
                <c:pt idx="0">
                  <c:v>Toll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Check'!$C$45:$V$45</c:f>
              <c:numCache>
                <c:formatCode>General</c:formatCode>
                <c:ptCount val="20"/>
                <c:pt idx="1">
                  <c:v>0</c:v>
                </c:pt>
                <c:pt idx="2" formatCode="#,##0">
                  <c:v>1452</c:v>
                </c:pt>
                <c:pt idx="3" formatCode="#,##0">
                  <c:v>2904</c:v>
                </c:pt>
                <c:pt idx="4" formatCode="#,##0">
                  <c:v>4356</c:v>
                </c:pt>
                <c:pt idx="5" formatCode="#,##0">
                  <c:v>5808</c:v>
                </c:pt>
                <c:pt idx="6" formatCode="#,##0">
                  <c:v>7260</c:v>
                </c:pt>
                <c:pt idx="7" formatCode="#,##0">
                  <c:v>7260</c:v>
                </c:pt>
                <c:pt idx="8" formatCode="#,##0">
                  <c:v>7260</c:v>
                </c:pt>
                <c:pt idx="9" formatCode="#,##0">
                  <c:v>7260</c:v>
                </c:pt>
                <c:pt idx="10" formatCode="#,##0">
                  <c:v>7260</c:v>
                </c:pt>
                <c:pt idx="11" formatCode="#,##0">
                  <c:v>7260</c:v>
                </c:pt>
                <c:pt idx="12" formatCode="#,##0">
                  <c:v>7260</c:v>
                </c:pt>
                <c:pt idx="13" formatCode="#,##0">
                  <c:v>7260</c:v>
                </c:pt>
                <c:pt idx="14" formatCode="#,##0">
                  <c:v>7260</c:v>
                </c:pt>
                <c:pt idx="15" formatCode="#,##0">
                  <c:v>7260</c:v>
                </c:pt>
                <c:pt idx="16" formatCode="#,##0">
                  <c:v>7260</c:v>
                </c:pt>
                <c:pt idx="17" formatCode="#,##0">
                  <c:v>7260</c:v>
                </c:pt>
                <c:pt idx="18" formatCode="#,##0">
                  <c:v>7260</c:v>
                </c:pt>
                <c:pt idx="19" formatCode="#,##0">
                  <c:v>7260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98-4E85-947A-AA7CFE2ED782}"/>
            </c:ext>
          </c:extLst>
        </c:ser>
        <c:ser>
          <c:idx val="2"/>
          <c:order val="2"/>
          <c:tx>
            <c:strRef>
              <c:f>'Cross Check'!$B$46</c:f>
              <c:strCache>
                <c:ptCount val="1"/>
                <c:pt idx="0">
                  <c:v>Yusen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Check'!$C$46:$V$46</c:f>
              <c:numCache>
                <c:formatCode>General</c:formatCode>
                <c:ptCount val="20"/>
                <c:pt idx="2">
                  <c:v>0</c:v>
                </c:pt>
                <c:pt idx="3" formatCode="#,##0">
                  <c:v>849.6</c:v>
                </c:pt>
                <c:pt idx="4" formatCode="#,##0">
                  <c:v>1699.2</c:v>
                </c:pt>
                <c:pt idx="5" formatCode="#,##0">
                  <c:v>2548.8000000000002</c:v>
                </c:pt>
                <c:pt idx="6" formatCode="#,##0">
                  <c:v>3398.4</c:v>
                </c:pt>
                <c:pt idx="7" formatCode="#,##0">
                  <c:v>4248</c:v>
                </c:pt>
                <c:pt idx="8" formatCode="#,##0">
                  <c:v>4248</c:v>
                </c:pt>
                <c:pt idx="9" formatCode="#,##0">
                  <c:v>4248</c:v>
                </c:pt>
                <c:pt idx="10" formatCode="#,##0">
                  <c:v>4248</c:v>
                </c:pt>
                <c:pt idx="11" formatCode="#,##0">
                  <c:v>4248</c:v>
                </c:pt>
                <c:pt idx="12" formatCode="#,##0">
                  <c:v>4248</c:v>
                </c:pt>
                <c:pt idx="13" formatCode="#,##0">
                  <c:v>4248</c:v>
                </c:pt>
                <c:pt idx="14" formatCode="#,##0">
                  <c:v>4248</c:v>
                </c:pt>
                <c:pt idx="15" formatCode="#,##0">
                  <c:v>4248</c:v>
                </c:pt>
                <c:pt idx="16" formatCode="#,##0">
                  <c:v>4248</c:v>
                </c:pt>
                <c:pt idx="17" formatCode="#,##0">
                  <c:v>4248</c:v>
                </c:pt>
                <c:pt idx="18" formatCode="#,##0">
                  <c:v>4248</c:v>
                </c:pt>
                <c:pt idx="19" formatCode="#,##0">
                  <c:v>4248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98-4E85-947A-AA7CFE2ED782}"/>
            </c:ext>
          </c:extLst>
        </c:ser>
        <c:ser>
          <c:idx val="3"/>
          <c:order val="3"/>
          <c:tx>
            <c:strRef>
              <c:f>'Cross Check'!$B$47</c:f>
              <c:strCache>
                <c:ptCount val="1"/>
                <c:pt idx="0">
                  <c:v>Mainfreight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Check'!$C$47:$V$47</c:f>
              <c:numCache>
                <c:formatCode>General</c:formatCode>
                <c:ptCount val="20"/>
                <c:pt idx="3">
                  <c:v>0</c:v>
                </c:pt>
                <c:pt idx="4" formatCode="#,##0">
                  <c:v>493.4</c:v>
                </c:pt>
                <c:pt idx="5" formatCode="#,##0">
                  <c:v>986.8</c:v>
                </c:pt>
                <c:pt idx="6" formatCode="#,##0">
                  <c:v>1480.1999999999998</c:v>
                </c:pt>
                <c:pt idx="7" formatCode="#,##0">
                  <c:v>1973.6</c:v>
                </c:pt>
                <c:pt idx="8" formatCode="#,##0">
                  <c:v>2467</c:v>
                </c:pt>
                <c:pt idx="9" formatCode="#,##0">
                  <c:v>2467</c:v>
                </c:pt>
                <c:pt idx="10" formatCode="#,##0">
                  <c:v>2467</c:v>
                </c:pt>
                <c:pt idx="11" formatCode="#,##0">
                  <c:v>2467</c:v>
                </c:pt>
                <c:pt idx="12" formatCode="#,##0">
                  <c:v>2467</c:v>
                </c:pt>
                <c:pt idx="13" formatCode="#,##0">
                  <c:v>2467</c:v>
                </c:pt>
                <c:pt idx="14" formatCode="#,##0">
                  <c:v>2467</c:v>
                </c:pt>
                <c:pt idx="15" formatCode="#,##0">
                  <c:v>2467</c:v>
                </c:pt>
                <c:pt idx="16" formatCode="#,##0">
                  <c:v>2467</c:v>
                </c:pt>
                <c:pt idx="17" formatCode="#,##0">
                  <c:v>2467</c:v>
                </c:pt>
                <c:pt idx="18" formatCode="#,##0">
                  <c:v>2467</c:v>
                </c:pt>
                <c:pt idx="19" formatCode="#,##0">
                  <c:v>2467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98-4E85-947A-AA7CFE2ED782}"/>
            </c:ext>
          </c:extLst>
        </c:ser>
        <c:ser>
          <c:idx val="4"/>
          <c:order val="4"/>
          <c:tx>
            <c:strRef>
              <c:f>'Cross Check'!$B$48</c:f>
              <c:strCache>
                <c:ptCount val="1"/>
                <c:pt idx="0">
                  <c:v>Geodis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Check'!$C$48:$V$48</c:f>
              <c:numCache>
                <c:formatCode>General</c:formatCode>
                <c:ptCount val="20"/>
                <c:pt idx="4">
                  <c:v>0</c:v>
                </c:pt>
                <c:pt idx="5" formatCode="#,##0">
                  <c:v>1827</c:v>
                </c:pt>
                <c:pt idx="6" formatCode="#,##0">
                  <c:v>3654</c:v>
                </c:pt>
                <c:pt idx="7" formatCode="#,##0">
                  <c:v>5481</c:v>
                </c:pt>
                <c:pt idx="8" formatCode="#,##0">
                  <c:v>7308</c:v>
                </c:pt>
                <c:pt idx="9" formatCode="#,##0">
                  <c:v>9135</c:v>
                </c:pt>
                <c:pt idx="10" formatCode="#,##0">
                  <c:v>9135</c:v>
                </c:pt>
                <c:pt idx="11" formatCode="#,##0">
                  <c:v>9135</c:v>
                </c:pt>
                <c:pt idx="12" formatCode="#,##0">
                  <c:v>9135</c:v>
                </c:pt>
                <c:pt idx="13" formatCode="#,##0">
                  <c:v>9135</c:v>
                </c:pt>
                <c:pt idx="14" formatCode="#,##0">
                  <c:v>9135</c:v>
                </c:pt>
                <c:pt idx="15" formatCode="#,##0">
                  <c:v>9135</c:v>
                </c:pt>
                <c:pt idx="16" formatCode="#,##0">
                  <c:v>9135</c:v>
                </c:pt>
                <c:pt idx="17" formatCode="#,##0">
                  <c:v>9135</c:v>
                </c:pt>
                <c:pt idx="18" formatCode="#,##0">
                  <c:v>9135</c:v>
                </c:pt>
                <c:pt idx="19" formatCode="#,##0">
                  <c:v>9135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98-4E85-947A-AA7CFE2ED782}"/>
            </c:ext>
          </c:extLst>
        </c:ser>
        <c:ser>
          <c:idx val="5"/>
          <c:order val="5"/>
          <c:tx>
            <c:strRef>
              <c:f>'Cross Check'!$B$49</c:f>
              <c:strCache>
                <c:ptCount val="1"/>
                <c:pt idx="0">
                  <c:v>Logwin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Check'!$C$49:$V$49</c:f>
              <c:numCache>
                <c:formatCode>General</c:formatCode>
                <c:ptCount val="20"/>
                <c:pt idx="9">
                  <c:v>0</c:v>
                </c:pt>
                <c:pt idx="10" formatCode="#,##0">
                  <c:v>258.39999999999998</c:v>
                </c:pt>
                <c:pt idx="11" formatCode="#,##0">
                  <c:v>516.79999999999995</c:v>
                </c:pt>
                <c:pt idx="12" formatCode="#,##0">
                  <c:v>775.19999999999993</c:v>
                </c:pt>
                <c:pt idx="13" formatCode="#,##0">
                  <c:v>1033.5999999999999</c:v>
                </c:pt>
                <c:pt idx="14" formatCode="#,##0">
                  <c:v>1292</c:v>
                </c:pt>
                <c:pt idx="15" formatCode="#,##0">
                  <c:v>1292</c:v>
                </c:pt>
                <c:pt idx="16" formatCode="#,##0">
                  <c:v>1292</c:v>
                </c:pt>
                <c:pt idx="17" formatCode="#,##0">
                  <c:v>1292</c:v>
                </c:pt>
                <c:pt idx="18" formatCode="#,##0">
                  <c:v>1292</c:v>
                </c:pt>
                <c:pt idx="19" formatCode="#,##0">
                  <c:v>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98-4E85-947A-AA7CFE2ED782}"/>
            </c:ext>
          </c:extLst>
        </c:ser>
        <c:ser>
          <c:idx val="6"/>
          <c:order val="6"/>
          <c:tx>
            <c:strRef>
              <c:f>'Cross Check'!$B$50</c:f>
              <c:strCache>
                <c:ptCount val="1"/>
                <c:pt idx="0">
                  <c:v>DHL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Check'!$C$50:$V$50</c:f>
              <c:numCache>
                <c:formatCode>General</c:formatCode>
                <c:ptCount val="20"/>
                <c:pt idx="10">
                  <c:v>0</c:v>
                </c:pt>
                <c:pt idx="11" formatCode="#,##0">
                  <c:v>5690.6</c:v>
                </c:pt>
                <c:pt idx="12" formatCode="#,##0">
                  <c:v>11381.2</c:v>
                </c:pt>
                <c:pt idx="13" formatCode="#,##0">
                  <c:v>17071.800000000003</c:v>
                </c:pt>
                <c:pt idx="14" formatCode="#,##0">
                  <c:v>22762.400000000001</c:v>
                </c:pt>
                <c:pt idx="15" formatCode="#,##0">
                  <c:v>28453</c:v>
                </c:pt>
                <c:pt idx="16" formatCode="#,##0">
                  <c:v>28453</c:v>
                </c:pt>
                <c:pt idx="17" formatCode="#,##0">
                  <c:v>28453</c:v>
                </c:pt>
                <c:pt idx="18" formatCode="#,##0">
                  <c:v>28453</c:v>
                </c:pt>
                <c:pt idx="19" formatCode="#,##0">
                  <c:v>28453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98-4E85-947A-AA7CFE2ED782}"/>
            </c:ext>
          </c:extLst>
        </c:ser>
        <c:ser>
          <c:idx val="7"/>
          <c:order val="7"/>
          <c:tx>
            <c:strRef>
              <c:f>'Cross Check'!$B$51</c:f>
              <c:strCache>
                <c:ptCount val="1"/>
                <c:pt idx="0">
                  <c:v>Bollore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Check'!$C$51:$V$51</c:f>
              <c:numCache>
                <c:formatCode>General</c:formatCode>
                <c:ptCount val="20"/>
                <c:pt idx="12">
                  <c:v>0</c:v>
                </c:pt>
                <c:pt idx="13" formatCode="#,##0">
                  <c:v>1053</c:v>
                </c:pt>
                <c:pt idx="14" formatCode="#,##0">
                  <c:v>2106</c:v>
                </c:pt>
                <c:pt idx="15" formatCode="#,##0">
                  <c:v>3159</c:v>
                </c:pt>
                <c:pt idx="16" formatCode="#,##0">
                  <c:v>4212</c:v>
                </c:pt>
                <c:pt idx="17" formatCode="#,##0">
                  <c:v>5265</c:v>
                </c:pt>
                <c:pt idx="18" formatCode="#,##0">
                  <c:v>5265</c:v>
                </c:pt>
                <c:pt idx="19" formatCode="#,##0">
                  <c:v>5265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98-4E85-947A-AA7CFE2ED782}"/>
            </c:ext>
          </c:extLst>
        </c:ser>
        <c:ser>
          <c:idx val="8"/>
          <c:order val="8"/>
          <c:tx>
            <c:strRef>
              <c:f>'Cross Check'!$B$52</c:f>
              <c:strCache>
                <c:ptCount val="1"/>
                <c:pt idx="0">
                  <c:v>Hellman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Check'!$C$52:$V$52</c:f>
              <c:numCache>
                <c:formatCode>General</c:formatCode>
                <c:ptCount val="20"/>
                <c:pt idx="13">
                  <c:v>0</c:v>
                </c:pt>
                <c:pt idx="14" formatCode="#,##0">
                  <c:v>594.4</c:v>
                </c:pt>
                <c:pt idx="15" formatCode="#,##0">
                  <c:v>1188.8</c:v>
                </c:pt>
                <c:pt idx="16" formatCode="#,##0">
                  <c:v>1783.1999999999998</c:v>
                </c:pt>
                <c:pt idx="17" formatCode="#,##0">
                  <c:v>2377.6</c:v>
                </c:pt>
                <c:pt idx="18" formatCode="#,##0">
                  <c:v>2972</c:v>
                </c:pt>
                <c:pt idx="19" formatCode="#,##0">
                  <c:v>2972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98-4E85-947A-AA7CFE2ED782}"/>
            </c:ext>
          </c:extLst>
        </c:ser>
        <c:ser>
          <c:idx val="9"/>
          <c:order val="9"/>
          <c:tx>
            <c:strRef>
              <c:f>'Cross Check'!$B$53</c:f>
              <c:strCache>
                <c:ptCount val="1"/>
                <c:pt idx="0">
                  <c:v>CEVA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Check'!$C$53:$V$53</c:f>
              <c:numCache>
                <c:formatCode>General</c:formatCode>
                <c:ptCount val="20"/>
                <c:pt idx="14">
                  <c:v>0</c:v>
                </c:pt>
                <c:pt idx="15" formatCode="#,##0">
                  <c:v>1483.2</c:v>
                </c:pt>
                <c:pt idx="16" formatCode="#,##0">
                  <c:v>2966.4</c:v>
                </c:pt>
                <c:pt idx="17" formatCode="#,##0">
                  <c:v>4449.6000000000004</c:v>
                </c:pt>
                <c:pt idx="18" formatCode="#,##0">
                  <c:v>5932.8</c:v>
                </c:pt>
                <c:pt idx="19" formatCode="#,##0">
                  <c:v>7416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98-4E85-947A-AA7CFE2ED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7994944"/>
        <c:axId val="677978720"/>
      </c:barChart>
      <c:lineChart>
        <c:grouping val="standard"/>
        <c:varyColors val="0"/>
        <c:ser>
          <c:idx val="10"/>
          <c:order val="10"/>
          <c:tx>
            <c:strRef>
              <c:f>'Cross Check'!$B$54</c:f>
              <c:strCache>
                <c:ptCount val="1"/>
                <c:pt idx="0">
                  <c:v>WTC Revenues 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'Cross Check'!$C$43:$V$43</c:f>
              <c:strCache>
                <c:ptCount val="20"/>
                <c:pt idx="0">
                  <c:v>FY06</c:v>
                </c:pt>
                <c:pt idx="1">
                  <c:v>FY07</c:v>
                </c:pt>
                <c:pt idx="2">
                  <c:v>FY08</c:v>
                </c:pt>
                <c:pt idx="3">
                  <c:v>FY09</c:v>
                </c:pt>
                <c:pt idx="4">
                  <c:v>FY10</c:v>
                </c:pt>
                <c:pt idx="5">
                  <c:v>FY11</c:v>
                </c:pt>
                <c:pt idx="6">
                  <c:v>FY12</c:v>
                </c:pt>
                <c:pt idx="7">
                  <c:v>FY13</c:v>
                </c:pt>
                <c:pt idx="8">
                  <c:v>FY14</c:v>
                </c:pt>
                <c:pt idx="9">
                  <c:v>FY15</c:v>
                </c:pt>
                <c:pt idx="10">
                  <c:v>FY16</c:v>
                </c:pt>
                <c:pt idx="11">
                  <c:v>FY17</c:v>
                </c:pt>
                <c:pt idx="12">
                  <c:v>FY18</c:v>
                </c:pt>
                <c:pt idx="13">
                  <c:v>FY19</c:v>
                </c:pt>
                <c:pt idx="14">
                  <c:v>FY20</c:v>
                </c:pt>
                <c:pt idx="15">
                  <c:v>FY21</c:v>
                </c:pt>
                <c:pt idx="16">
                  <c:v>FY22E</c:v>
                </c:pt>
                <c:pt idx="17">
                  <c:v>FY23E</c:v>
                </c:pt>
                <c:pt idx="18">
                  <c:v>FY24E</c:v>
                </c:pt>
                <c:pt idx="19">
                  <c:v>FY25E</c:v>
                </c:pt>
              </c:strCache>
            </c:strRef>
          </c:cat>
          <c:val>
            <c:numRef>
              <c:f>'Cross Check'!$C$54:$V$54</c:f>
              <c:numCache>
                <c:formatCode>General</c:formatCode>
                <c:ptCount val="20"/>
                <c:pt idx="9">
                  <c:v>79.600000000000009</c:v>
                </c:pt>
                <c:pt idx="10">
                  <c:v>103.30000000000001</c:v>
                </c:pt>
                <c:pt idx="11">
                  <c:v>153.80000000000001</c:v>
                </c:pt>
                <c:pt idx="12">
                  <c:v>221.6</c:v>
                </c:pt>
                <c:pt idx="13">
                  <c:v>348.3</c:v>
                </c:pt>
                <c:pt idx="14">
                  <c:v>429.4</c:v>
                </c:pt>
                <c:pt idx="15">
                  <c:v>507.5</c:v>
                </c:pt>
                <c:pt idx="16">
                  <c:v>632.30000000000007</c:v>
                </c:pt>
                <c:pt idx="17">
                  <c:v>816.9</c:v>
                </c:pt>
                <c:pt idx="18">
                  <c:v>1041.7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298-4E85-947A-AA7CFE2ED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58688"/>
        <c:axId val="491076160"/>
      </c:lineChart>
      <c:catAx>
        <c:axId val="6779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78720"/>
        <c:crosses val="autoZero"/>
        <c:auto val="1"/>
        <c:lblAlgn val="ctr"/>
        <c:lblOffset val="100"/>
        <c:noMultiLvlLbl val="0"/>
      </c:catAx>
      <c:valAx>
        <c:axId val="677978720"/>
        <c:scaling>
          <c:orientation val="minMax"/>
          <c:max val="15000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994944"/>
        <c:crosses val="autoZero"/>
        <c:crossBetween val="between"/>
      </c:valAx>
      <c:valAx>
        <c:axId val="4910761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58688"/>
        <c:crosses val="max"/>
        <c:crossBetween val="between"/>
      </c:valAx>
      <c:catAx>
        <c:axId val="4910586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10761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893963254593175"/>
          <c:y val="9.2592592592592587E-2"/>
          <c:w val="0.75858530183727046"/>
          <c:h val="0.301706765820939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942257217847766E-2"/>
          <c:y val="5.0925925925925923E-2"/>
          <c:w val="0.87850218722659668"/>
          <c:h val="0.86593358121901431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'Cross Check'!$B$84</c:f>
              <c:strCache>
                <c:ptCount val="1"/>
                <c:pt idx="0">
                  <c:v>Existing Customers - Growth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'Cross Check'!$E$82:$J$82</c:f>
              <c:strCache>
                <c:ptCount val="6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</c:strCache>
            </c:strRef>
          </c:cat>
          <c:val>
            <c:numRef>
              <c:f>'Cross Check'!$E$84:$J$84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11-4991-A2B9-005495029A21}"/>
            </c:ext>
          </c:extLst>
        </c:ser>
        <c:ser>
          <c:idx val="0"/>
          <c:order val="1"/>
          <c:tx>
            <c:strRef>
              <c:f>'Cross Check'!$B$83</c:f>
              <c:strCache>
                <c:ptCount val="1"/>
                <c:pt idx="0">
                  <c:v>New Customers - Growth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'Cross Check'!$E$82:$J$82</c:f>
              <c:strCache>
                <c:ptCount val="6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</c:strCache>
            </c:strRef>
          </c:cat>
          <c:val>
            <c:numRef>
              <c:f>'Cross Check'!$E$83:$J$83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11-4991-A2B9-005495029A21}"/>
            </c:ext>
          </c:extLst>
        </c:ser>
        <c:ser>
          <c:idx val="2"/>
          <c:order val="2"/>
          <c:tx>
            <c:strRef>
              <c:f>'Cross Check'!$B$85</c:f>
              <c:strCache>
                <c:ptCount val="1"/>
                <c:pt idx="0">
                  <c:v>M&amp;A - Growth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'Cross Check'!$E$85:$J$85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11-4991-A2B9-005495029A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6767583"/>
        <c:axId val="116765503"/>
      </c:barChart>
      <c:catAx>
        <c:axId val="1167675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65503"/>
        <c:crosses val="autoZero"/>
        <c:auto val="1"/>
        <c:lblAlgn val="ctr"/>
        <c:lblOffset val="100"/>
        <c:noMultiLvlLbl val="0"/>
      </c:catAx>
      <c:valAx>
        <c:axId val="116765503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675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1890638670166225E-2"/>
          <c:y val="1.5409011373578431E-3"/>
          <c:w val="0.89999983377631942"/>
          <c:h val="7.95948679767464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734033245844275E-2"/>
          <c:y val="2.4942038495188102E-2"/>
          <c:w val="0.92270975503062114"/>
          <c:h val="0.7378448527267425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'Cross Check'!$B$66</c:f>
              <c:strCache>
                <c:ptCount val="1"/>
                <c:pt idx="0">
                  <c:v>Transition Pricing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'Cross Check'!$C$64:$N$64</c:f>
              <c:strCache>
                <c:ptCount val="12"/>
                <c:pt idx="0">
                  <c:v>T</c:v>
                </c:pt>
                <c:pt idx="1">
                  <c:v>T+0</c:v>
                </c:pt>
                <c:pt idx="2">
                  <c:v>T+1</c:v>
                </c:pt>
                <c:pt idx="3">
                  <c:v>T+2</c:v>
                </c:pt>
                <c:pt idx="4">
                  <c:v>T+3</c:v>
                </c:pt>
                <c:pt idx="5">
                  <c:v>T+4</c:v>
                </c:pt>
                <c:pt idx="6">
                  <c:v>T+5</c:v>
                </c:pt>
                <c:pt idx="7">
                  <c:v>T+6</c:v>
                </c:pt>
                <c:pt idx="8">
                  <c:v>T+7</c:v>
                </c:pt>
                <c:pt idx="9">
                  <c:v>T+8</c:v>
                </c:pt>
                <c:pt idx="10">
                  <c:v>T+9</c:v>
                </c:pt>
                <c:pt idx="11">
                  <c:v>T+10</c:v>
                </c:pt>
              </c:strCache>
            </c:strRef>
          </c:cat>
          <c:val>
            <c:numRef>
              <c:f>'Cross Check'!$C$66:$N$66</c:f>
              <c:numCache>
                <c:formatCode>General</c:formatCode>
                <c:ptCount val="12"/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90</c:v>
                </c:pt>
                <c:pt idx="5">
                  <c:v>105</c:v>
                </c:pt>
                <c:pt idx="6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00-45E6-9A78-A5C334457464}"/>
            </c:ext>
          </c:extLst>
        </c:ser>
        <c:ser>
          <c:idx val="0"/>
          <c:order val="1"/>
          <c:tx>
            <c:strRef>
              <c:f>'Cross Check'!$B$65</c:f>
              <c:strCache>
                <c:ptCount val="1"/>
                <c:pt idx="0">
                  <c:v>Legacy Systems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'Cross Check'!$C$64:$N$64</c:f>
              <c:strCache>
                <c:ptCount val="12"/>
                <c:pt idx="0">
                  <c:v>T</c:v>
                </c:pt>
                <c:pt idx="1">
                  <c:v>T+0</c:v>
                </c:pt>
                <c:pt idx="2">
                  <c:v>T+1</c:v>
                </c:pt>
                <c:pt idx="3">
                  <c:v>T+2</c:v>
                </c:pt>
                <c:pt idx="4">
                  <c:v>T+3</c:v>
                </c:pt>
                <c:pt idx="5">
                  <c:v>T+4</c:v>
                </c:pt>
                <c:pt idx="6">
                  <c:v>T+5</c:v>
                </c:pt>
                <c:pt idx="7">
                  <c:v>T+6</c:v>
                </c:pt>
                <c:pt idx="8">
                  <c:v>T+7</c:v>
                </c:pt>
                <c:pt idx="9">
                  <c:v>T+8</c:v>
                </c:pt>
                <c:pt idx="10">
                  <c:v>T+9</c:v>
                </c:pt>
                <c:pt idx="11">
                  <c:v>T+10</c:v>
                </c:pt>
              </c:strCache>
            </c:strRef>
          </c:cat>
          <c:val>
            <c:numRef>
              <c:f>'Cross Check'!$C$65:$N$65</c:f>
              <c:numCache>
                <c:formatCode>General</c:formatCode>
                <c:ptCount val="12"/>
                <c:pt idx="0">
                  <c:v>100</c:v>
                </c:pt>
                <c:pt idx="1">
                  <c:v>80</c:v>
                </c:pt>
                <c:pt idx="2">
                  <c:v>65</c:v>
                </c:pt>
                <c:pt idx="3">
                  <c:v>50</c:v>
                </c:pt>
                <c:pt idx="4">
                  <c:v>45</c:v>
                </c:pt>
                <c:pt idx="5">
                  <c:v>40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00-45E6-9A78-A5C334457464}"/>
            </c:ext>
          </c:extLst>
        </c:ser>
        <c:ser>
          <c:idx val="2"/>
          <c:order val="2"/>
          <c:tx>
            <c:strRef>
              <c:f>'Cross Check'!$B$67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'Cross Check'!$C$64:$N$64</c:f>
              <c:strCache>
                <c:ptCount val="12"/>
                <c:pt idx="0">
                  <c:v>T</c:v>
                </c:pt>
                <c:pt idx="1">
                  <c:v>T+0</c:v>
                </c:pt>
                <c:pt idx="2">
                  <c:v>T+1</c:v>
                </c:pt>
                <c:pt idx="3">
                  <c:v>T+2</c:v>
                </c:pt>
                <c:pt idx="4">
                  <c:v>T+3</c:v>
                </c:pt>
                <c:pt idx="5">
                  <c:v>T+4</c:v>
                </c:pt>
                <c:pt idx="6">
                  <c:v>T+5</c:v>
                </c:pt>
                <c:pt idx="7">
                  <c:v>T+6</c:v>
                </c:pt>
                <c:pt idx="8">
                  <c:v>T+7</c:v>
                </c:pt>
                <c:pt idx="9">
                  <c:v>T+8</c:v>
                </c:pt>
                <c:pt idx="10">
                  <c:v>T+9</c:v>
                </c:pt>
                <c:pt idx="11">
                  <c:v>T+10</c:v>
                </c:pt>
              </c:strCache>
            </c:strRef>
          </c:cat>
          <c:val>
            <c:numRef>
              <c:f>'Cross Check'!$C$67:$N$67</c:f>
              <c:numCache>
                <c:formatCode>General</c:formatCode>
                <c:ptCount val="12"/>
                <c:pt idx="7">
                  <c:v>0</c:v>
                </c:pt>
                <c:pt idx="8" formatCode="0">
                  <c:v>0</c:v>
                </c:pt>
                <c:pt idx="9" formatCode="0">
                  <c:v>0</c:v>
                </c:pt>
                <c:pt idx="10" formatCode="0">
                  <c:v>0</c:v>
                </c:pt>
                <c:pt idx="11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00-45E6-9A78-A5C334457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91099040"/>
        <c:axId val="491101120"/>
      </c:barChart>
      <c:catAx>
        <c:axId val="4910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101120"/>
        <c:crosses val="autoZero"/>
        <c:auto val="1"/>
        <c:lblAlgn val="ctr"/>
        <c:lblOffset val="100"/>
        <c:noMultiLvlLbl val="0"/>
      </c:catAx>
      <c:valAx>
        <c:axId val="491101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84230926101337"/>
          <c:y val="0.24770596383785365"/>
          <c:w val="0.84693541268329775"/>
          <c:h val="0.646005395158938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'M&amp;A Summary'!$V$82</c:f>
              <c:strCache>
                <c:ptCount val="1"/>
                <c:pt idx="0">
                  <c:v>Land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Summary'!$V$83:$V$90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72.399999999999991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926.38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56-428B-91C0-A654EEE08EC9}"/>
            </c:ext>
          </c:extLst>
        </c:ser>
        <c:ser>
          <c:idx val="1"/>
          <c:order val="1"/>
          <c:tx>
            <c:strRef>
              <c:f>'M&amp;A Summary'!$W$82</c:f>
              <c:strCache>
                <c:ptCount val="1"/>
                <c:pt idx="0">
                  <c:v>Sea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Summary'!$W$83:$W$90</c:f>
              <c:numCache>
                <c:formatCode>General</c:formatCode>
                <c:ptCount val="8"/>
                <c:pt idx="0">
                  <c:v>0</c:v>
                </c:pt>
                <c:pt idx="1">
                  <c:v>21.700000000000003</c:v>
                </c:pt>
                <c:pt idx="2">
                  <c:v>11.5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56-428B-91C0-A654EEE08EC9}"/>
            </c:ext>
          </c:extLst>
        </c:ser>
        <c:ser>
          <c:idx val="2"/>
          <c:order val="2"/>
          <c:tx>
            <c:strRef>
              <c:f>'M&amp;A Summary'!$X$82</c:f>
              <c:strCache>
                <c:ptCount val="1"/>
                <c:pt idx="0">
                  <c:v>Air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Summary'!$X$83:$X$90</c:f>
              <c:numCache>
                <c:formatCode>General</c:formatCode>
                <c:ptCount val="8"/>
                <c:pt idx="0">
                  <c:v>9.9999999999999982</c:v>
                </c:pt>
                <c:pt idx="1">
                  <c:v>0</c:v>
                </c:pt>
                <c:pt idx="2">
                  <c:v>6.9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56-428B-91C0-A654EEE08EC9}"/>
            </c:ext>
          </c:extLst>
        </c:ser>
        <c:ser>
          <c:idx val="3"/>
          <c:order val="3"/>
          <c:tx>
            <c:strRef>
              <c:f>'M&amp;A Summary'!$Y$82</c:f>
              <c:strCache>
                <c:ptCount val="1"/>
                <c:pt idx="0">
                  <c:v>Warehouse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Summary'!$Y$83:$Y$90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1.6666666666666665</c:v>
                </c:pt>
                <c:pt idx="4">
                  <c:v>7.1000000000000005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56-428B-91C0-A654EEE08EC9}"/>
            </c:ext>
          </c:extLst>
        </c:ser>
        <c:ser>
          <c:idx val="4"/>
          <c:order val="4"/>
          <c:tx>
            <c:strRef>
              <c:f>'M&amp;A Summary'!$Z$82</c:f>
              <c:strCache>
                <c:ptCount val="1"/>
                <c:pt idx="0">
                  <c:v>Container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Summary'!$Z$83:$Z$90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56-428B-91C0-A654EEE08EC9}"/>
            </c:ext>
          </c:extLst>
        </c:ser>
        <c:ser>
          <c:idx val="5"/>
          <c:order val="5"/>
          <c:tx>
            <c:strRef>
              <c:f>'M&amp;A Summary'!$AA$82</c:f>
              <c:strCache>
                <c:ptCount val="1"/>
                <c:pt idx="0">
                  <c:v>Parcel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Summary'!$AA$83:$AA$90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114.4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56-428B-91C0-A654EEE08EC9}"/>
            </c:ext>
          </c:extLst>
        </c:ser>
        <c:ser>
          <c:idx val="6"/>
          <c:order val="6"/>
          <c:tx>
            <c:strRef>
              <c:f>'M&amp;A Summary'!$AB$82</c:f>
              <c:strCache>
                <c:ptCount val="1"/>
                <c:pt idx="0">
                  <c:v>FF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Summary'!$AB$83:$AB$90</c:f>
              <c:numCache>
                <c:formatCode>General</c:formatCode>
                <c:ptCount val="8"/>
                <c:pt idx="0">
                  <c:v>8.2999999999999989</c:v>
                </c:pt>
                <c:pt idx="1">
                  <c:v>0</c:v>
                </c:pt>
                <c:pt idx="2">
                  <c:v>20.95</c:v>
                </c:pt>
                <c:pt idx="3">
                  <c:v>1.6666666666666665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156-428B-91C0-A654EEE08EC9}"/>
            </c:ext>
          </c:extLst>
        </c:ser>
        <c:ser>
          <c:idx val="7"/>
          <c:order val="7"/>
          <c:tx>
            <c:strRef>
              <c:f>'M&amp;A Summary'!$AC$82</c:f>
              <c:strCache>
                <c:ptCount val="1"/>
                <c:pt idx="0">
                  <c:v>Messaging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Summary'!$AC$83:$AC$90</c:f>
              <c:numCache>
                <c:formatCode>General</c:formatCode>
                <c:ptCount val="8"/>
                <c:pt idx="0">
                  <c:v>1.7</c:v>
                </c:pt>
                <c:pt idx="1">
                  <c:v>0</c:v>
                </c:pt>
                <c:pt idx="2">
                  <c:v>0</c:v>
                </c:pt>
                <c:pt idx="3">
                  <c:v>23.2</c:v>
                </c:pt>
                <c:pt idx="4">
                  <c:v>0</c:v>
                </c:pt>
                <c:pt idx="5">
                  <c:v>0</c:v>
                </c:pt>
                <c:pt idx="6">
                  <c:v>3.75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156-428B-91C0-A654EEE08EC9}"/>
            </c:ext>
          </c:extLst>
        </c:ser>
        <c:ser>
          <c:idx val="8"/>
          <c:order val="8"/>
          <c:tx>
            <c:strRef>
              <c:f>'M&amp;A Summary'!$AD$82</c:f>
              <c:strCache>
                <c:ptCount val="1"/>
                <c:pt idx="0">
                  <c:v>Customs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Summary'!$AD$83:$AD$90</c:f>
              <c:numCache>
                <c:formatCode>General</c:formatCode>
                <c:ptCount val="8"/>
                <c:pt idx="0">
                  <c:v>8.2999999999999989</c:v>
                </c:pt>
                <c:pt idx="1">
                  <c:v>8.5</c:v>
                </c:pt>
                <c:pt idx="2">
                  <c:v>58.45</c:v>
                </c:pt>
                <c:pt idx="3">
                  <c:v>62.966666666666669</c:v>
                </c:pt>
                <c:pt idx="4">
                  <c:v>44.599999999999994</c:v>
                </c:pt>
                <c:pt idx="5">
                  <c:v>2.0999999999999996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156-428B-91C0-A654EEE08EC9}"/>
            </c:ext>
          </c:extLst>
        </c:ser>
        <c:ser>
          <c:idx val="9"/>
          <c:order val="9"/>
          <c:tx>
            <c:strRef>
              <c:f>'M&amp;A Summary'!$AE$82</c:f>
              <c:strCache>
                <c:ptCount val="1"/>
                <c:pt idx="0">
                  <c:v>Other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'M&amp;A Summary'!$U$83:$U$90</c:f>
              <c:strCache>
                <c:ptCount val="8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  <c:pt idx="3">
                  <c:v>FY19</c:v>
                </c:pt>
                <c:pt idx="4">
                  <c:v>FY20</c:v>
                </c:pt>
                <c:pt idx="5">
                  <c:v>FY21</c:v>
                </c:pt>
                <c:pt idx="6">
                  <c:v>FY22</c:v>
                </c:pt>
                <c:pt idx="7">
                  <c:v>FY23TD</c:v>
                </c:pt>
              </c:strCache>
            </c:strRef>
          </c:cat>
          <c:val>
            <c:numRef>
              <c:f>'M&amp;A Summary'!$AE$83:$AE$90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3.75</c:v>
                </c:pt>
                <c:pt idx="7">
                  <c:v>66.2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156-428B-91C0-A654EEE08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3453600"/>
        <c:axId val="1313447360"/>
      </c:barChart>
      <c:catAx>
        <c:axId val="131345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47360"/>
        <c:crosses val="autoZero"/>
        <c:auto val="1"/>
        <c:lblAlgn val="ctr"/>
        <c:lblOffset val="100"/>
        <c:noMultiLvlLbl val="0"/>
      </c:catAx>
      <c:valAx>
        <c:axId val="13134473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Wisetech Acquisition by Vertical A$mn</a:t>
                </a:r>
              </a:p>
            </c:rich>
          </c:tx>
          <c:layout>
            <c:manualLayout>
              <c:xMode val="edge"/>
              <c:yMode val="edge"/>
              <c:x val="1.3077593722755001E-3"/>
              <c:y val="3.1470365957833625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345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1943482015063305E-2"/>
          <c:y val="3.5796160167084319E-2"/>
          <c:w val="0.894761154855643"/>
          <c:h val="0.155781626155160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'M&amp;A Summary'!$U$92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244-4CE2-B331-B0AD151243FF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44-4CE2-B331-B0AD151243FF}"/>
              </c:ext>
            </c:extLst>
          </c:dPt>
          <c:dPt>
            <c:idx val="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B244-4CE2-B331-B0AD151243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B244-4CE2-B331-B0AD151243FF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44-4CE2-B331-B0AD151243FF}"/>
              </c:ext>
            </c:extLst>
          </c:dPt>
          <c:dPt>
            <c:idx val="5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B244-4CE2-B331-B0AD151243FF}"/>
              </c:ext>
            </c:extLst>
          </c:dPt>
          <c:dPt>
            <c:idx val="6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44-4CE2-B331-B0AD151243FF}"/>
              </c:ext>
            </c:extLst>
          </c:dPt>
          <c:dPt>
            <c:idx val="7"/>
            <c:bubble3D val="0"/>
            <c:spPr>
              <a:solidFill>
                <a:schemeClr val="bg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B244-4CE2-B331-B0AD151243FF}"/>
              </c:ext>
            </c:extLst>
          </c:dPt>
          <c:dPt>
            <c:idx val="8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44-4CE2-B331-B0AD151243F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914-4AD1-A964-2E4DCD3DB59B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B244-4CE2-B331-B0AD151243FF}"/>
                </c:ext>
              </c:extLst>
            </c:dLbl>
            <c:dLbl>
              <c:idx val="1"/>
              <c:layout>
                <c:manualLayout>
                  <c:x val="3.0555555555555555E-2"/>
                  <c:y val="-6.4814814814814811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244-4CE2-B331-B0AD151243FF}"/>
                </c:ext>
              </c:extLst>
            </c:dLbl>
            <c:dLbl>
              <c:idx val="2"/>
              <c:layout>
                <c:manualLayout>
                  <c:x val="3.6111111111111011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244-4CE2-B331-B0AD151243FF}"/>
                </c:ext>
              </c:extLst>
            </c:dLbl>
            <c:dLbl>
              <c:idx val="3"/>
              <c:layout>
                <c:manualLayout>
                  <c:x val="-4.4444444444444446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244-4CE2-B331-B0AD151243FF}"/>
                </c:ext>
              </c:extLst>
            </c:dLbl>
            <c:dLbl>
              <c:idx val="4"/>
              <c:layout>
                <c:manualLayout>
                  <c:x val="-2.2222222222222223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44-4CE2-B331-B0AD151243F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'M&amp;A Summary'!$V$82:$AE$82</c:f>
              <c:strCache>
                <c:ptCount val="10"/>
                <c:pt idx="0">
                  <c:v>Land</c:v>
                </c:pt>
                <c:pt idx="1">
                  <c:v>Sea</c:v>
                </c:pt>
                <c:pt idx="2">
                  <c:v>Air</c:v>
                </c:pt>
                <c:pt idx="3">
                  <c:v>Warehouse</c:v>
                </c:pt>
                <c:pt idx="4">
                  <c:v>Container</c:v>
                </c:pt>
                <c:pt idx="5">
                  <c:v>Parcel</c:v>
                </c:pt>
                <c:pt idx="6">
                  <c:v>FF</c:v>
                </c:pt>
                <c:pt idx="7">
                  <c:v>Messaging</c:v>
                </c:pt>
                <c:pt idx="8">
                  <c:v>Customs</c:v>
                </c:pt>
                <c:pt idx="9">
                  <c:v>Other</c:v>
                </c:pt>
              </c:strCache>
            </c:strRef>
          </c:cat>
          <c:val>
            <c:numRef>
              <c:f>'M&amp;A Summary'!$V$92:$AE$92</c:f>
              <c:numCache>
                <c:formatCode>General</c:formatCode>
                <c:ptCount val="10"/>
                <c:pt idx="0">
                  <c:v>1007.78</c:v>
                </c:pt>
                <c:pt idx="1">
                  <c:v>33.200000000000003</c:v>
                </c:pt>
                <c:pt idx="2">
                  <c:v>16.899999999999999</c:v>
                </c:pt>
                <c:pt idx="3">
                  <c:v>11.266666666666666</c:v>
                </c:pt>
                <c:pt idx="4">
                  <c:v>92</c:v>
                </c:pt>
                <c:pt idx="5">
                  <c:v>114.4</c:v>
                </c:pt>
                <c:pt idx="6">
                  <c:v>30.916666666666668</c:v>
                </c:pt>
                <c:pt idx="7">
                  <c:v>28.65</c:v>
                </c:pt>
                <c:pt idx="8">
                  <c:v>184.91666666666666</c:v>
                </c:pt>
                <c:pt idx="9">
                  <c:v>69.95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44-4CE2-B331-B0AD15124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0"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42334</xdr:colOff>
      <xdr:row>3</xdr:row>
      <xdr:rowOff>74083</xdr:rowOff>
    </xdr:from>
    <xdr:to>
      <xdr:col>2</xdr:col>
      <xdr:colOff>86394</xdr:colOff>
      <xdr:row>7</xdr:row>
      <xdr:rowOff>31750</xdr:rowOff>
    </xdr:to>
    <xdr:pic>
      <xdr:nvPicPr>
        <xdr:cNvPr id="2" name="Picture 190" descr="Logo_solid_6i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5284" y="531283"/>
          <a:ext cx="844160" cy="843492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646579</xdr:colOff>
      <xdr:row>123</xdr:row>
      <xdr:rowOff>57150</xdr:rowOff>
    </xdr:from>
    <xdr:to>
      <xdr:col>1</xdr:col>
      <xdr:colOff>2294404</xdr:colOff>
      <xdr:row>124</xdr:row>
      <xdr:rowOff>95250</xdr:rowOff>
    </xdr:to>
    <xdr:sp macro="[0]!Net_Interest_Copy" textlink="">
      <xdr:nvSpPr>
        <xdr:cNvPr id="34934" name="Text Box 118">
          <a:extLst>
            <a:ext uri="{FF2B5EF4-FFF2-40B4-BE49-F238E27FC236}">
              <a16:creationId xmlns:a16="http://schemas.microsoft.com/office/drawing/2014/main" id="{00000000-0008-0000-0600-000076880000}"/>
            </a:ext>
          </a:extLst>
        </xdr:cNvPr>
        <xdr:cNvSpPr txBox="1">
          <a:spLocks noChangeArrowheads="1"/>
        </xdr:cNvSpPr>
      </xdr:nvSpPr>
      <xdr:spPr bwMode="auto">
        <a:xfrm>
          <a:off x="646579" y="16440150"/>
          <a:ext cx="1647825" cy="194982"/>
        </a:xfrm>
        <a:prstGeom prst="rect">
          <a:avLst/>
        </a:prstGeom>
        <a:solidFill>
          <a:srgbClr val="FFFFFF"/>
        </a:solidFill>
        <a:ln w="6350">
          <a:solidFill>
            <a:srgbClr val="C0C0C0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99CCFF"/>
              </a:solidFill>
              <a:latin typeface="Helvetica"/>
              <a:cs typeface="Helvetica"/>
            </a:rPr>
            <a:t>Iterate Net Interest</a:t>
          </a:r>
        </a:p>
      </xdr:txBody>
    </xdr:sp>
    <xdr:clientData fPrintsWithSheet="0"/>
  </xdr:twoCellAnchor>
  <xdr:oneCellAnchor>
    <xdr:from>
      <xdr:col>0</xdr:col>
      <xdr:colOff>0</xdr:colOff>
      <xdr:row>0</xdr:row>
      <xdr:rowOff>0</xdr:rowOff>
    </xdr:from>
    <xdr:ext cx="0" cy="0"/>
    <xdr:sp macro="" textlink="">
      <xdr:nvSpPr>
        <xdr:cNvPr id="4" name="worksheetKey" descr="{&quot;key&quot;:&quot;worksheetKey&quot;,&quot;value&quot;:&quot;72d8a0ce-015e-4346-bf00-555bd08544e5&quot;}" hidden="1">
          <a:extLst>
            <a:ext uri="{FF2B5EF4-FFF2-40B4-BE49-F238E27FC236}">
              <a16:creationId xmlns:a16="http://schemas.microsoft.com/office/drawing/2014/main" id="{7B480050-A0CB-EB43-5C5A-5D399C432806}"/>
            </a:ext>
          </a:extLst>
        </xdr:cNvPr>
        <xdr:cNvSpPr txBox="1"/>
      </xdr:nvSpPr>
      <xdr:spPr>
        <a:xfrm>
          <a:off x="0" y="0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0" cy="0"/>
    <xdr:sp macro="" textlink="">
      <xdr:nvSpPr>
        <xdr:cNvPr id="2" name="worksheetKey" descr="{&quot;key&quot;:&quot;worksheetKey&quot;,&quot;value&quot;:&quot;81f0fe3f-4858-4dad-91f2-5966e9c5c4df&quot;}" hidden="1">
          <a:extLst>
            <a:ext uri="{FF2B5EF4-FFF2-40B4-BE49-F238E27FC236}">
              <a16:creationId xmlns:a16="http://schemas.microsoft.com/office/drawing/2014/main" id="{908205CA-8272-E2BC-B756-ED9EB28568EC}"/>
            </a:ext>
          </a:extLst>
        </xdr:cNvPr>
        <xdr:cNvSpPr txBox="1"/>
      </xdr:nvSpPr>
      <xdr:spPr>
        <a:xfrm>
          <a:off x="0" y="0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0" cy="0"/>
    <xdr:sp macro="" textlink="">
      <xdr:nvSpPr>
        <xdr:cNvPr id="2" name="worksheetKey" descr="{&quot;key&quot;:&quot;worksheetKey&quot;,&quot;value&quot;:&quot;9cbe5e9b-c9f5-48e7-848a-67b8d97dff64&quot;}" hidden="1">
          <a:extLst>
            <a:ext uri="{FF2B5EF4-FFF2-40B4-BE49-F238E27FC236}">
              <a16:creationId xmlns:a16="http://schemas.microsoft.com/office/drawing/2014/main" id="{2EFA7D9B-8B8F-A33B-4ED8-59FE9A780048}"/>
            </a:ext>
          </a:extLst>
        </xdr:cNvPr>
        <xdr:cNvSpPr txBox="1"/>
      </xdr:nvSpPr>
      <xdr:spPr>
        <a:xfrm>
          <a:off x="0" y="0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457200</xdr:colOff>
      <xdr:row>3</xdr:row>
      <xdr:rowOff>12700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A7E1328-A4D9-4C1E-949F-127334D9EA31}"/>
            </a:ext>
          </a:extLst>
        </xdr:cNvPr>
        <xdr:cNvSpPr/>
      </xdr:nvSpPr>
      <xdr:spPr>
        <a:xfrm>
          <a:off x="0" y="0"/>
          <a:ext cx="457200" cy="46990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400050</xdr:colOff>
      <xdr:row>14</xdr:row>
      <xdr:rowOff>47625</xdr:rowOff>
    </xdr:from>
    <xdr:to>
      <xdr:col>45</xdr:col>
      <xdr:colOff>28575</xdr:colOff>
      <xdr:row>22</xdr:row>
      <xdr:rowOff>19050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D5EA478-91DE-B133-0FA2-0EEE5D9B1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0" y="2476500"/>
          <a:ext cx="4505325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590550</xdr:colOff>
      <xdr:row>36</xdr:row>
      <xdr:rowOff>104776</xdr:rowOff>
    </xdr:from>
    <xdr:to>
      <xdr:col>31</xdr:col>
      <xdr:colOff>362809</xdr:colOff>
      <xdr:row>43</xdr:row>
      <xdr:rowOff>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FCF8705-4D37-D6D0-4CE5-1F2174C7296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6257926"/>
          <a:ext cx="3658459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161925</xdr:colOff>
      <xdr:row>36</xdr:row>
      <xdr:rowOff>123825</xdr:rowOff>
    </xdr:from>
    <xdr:to>
      <xdr:col>42</xdr:col>
      <xdr:colOff>400050</xdr:colOff>
      <xdr:row>50</xdr:row>
      <xdr:rowOff>66675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D2753F9-5423-4163-8197-EAD0DC992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30675" y="6276975"/>
          <a:ext cx="4505325" cy="2209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54650</xdr:colOff>
      <xdr:row>16</xdr:row>
      <xdr:rowOff>85725</xdr:rowOff>
    </xdr:from>
    <xdr:to>
      <xdr:col>45</xdr:col>
      <xdr:colOff>2467</xdr:colOff>
      <xdr:row>38</xdr:row>
      <xdr:rowOff>172656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581900" y="2505075"/>
          <a:ext cx="7872616" cy="3849306"/>
        </a:xfrm>
        <a:prstGeom prst="rect">
          <a:avLst/>
        </a:prstGeom>
      </xdr:spPr>
    </xdr:pic>
    <xdr:clientData/>
  </xdr:twoCellAnchor>
  <xdr:twoCellAnchor>
    <xdr:from>
      <xdr:col>19</xdr:col>
      <xdr:colOff>276225</xdr:colOff>
      <xdr:row>11</xdr:row>
      <xdr:rowOff>95250</xdr:rowOff>
    </xdr:from>
    <xdr:to>
      <xdr:col>26</xdr:col>
      <xdr:colOff>581025</xdr:colOff>
      <xdr:row>29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600075</xdr:colOff>
      <xdr:row>43</xdr:row>
      <xdr:rowOff>19050</xdr:rowOff>
    </xdr:from>
    <xdr:to>
      <xdr:col>29</xdr:col>
      <xdr:colOff>295275</xdr:colOff>
      <xdr:row>58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419100</xdr:colOff>
      <xdr:row>104</xdr:row>
      <xdr:rowOff>57150</xdr:rowOff>
    </xdr:from>
    <xdr:to>
      <xdr:col>17</xdr:col>
      <xdr:colOff>114300</xdr:colOff>
      <xdr:row>121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2466975</xdr:colOff>
      <xdr:row>90</xdr:row>
      <xdr:rowOff>9525</xdr:rowOff>
    </xdr:from>
    <xdr:to>
      <xdr:col>8</xdr:col>
      <xdr:colOff>581025</xdr:colOff>
      <xdr:row>107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353786</xdr:colOff>
      <xdr:row>96</xdr:row>
      <xdr:rowOff>57150</xdr:rowOff>
    </xdr:from>
    <xdr:to>
      <xdr:col>28</xdr:col>
      <xdr:colOff>353786</xdr:colOff>
      <xdr:row>114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198782</xdr:colOff>
      <xdr:row>94</xdr:row>
      <xdr:rowOff>148258</xdr:rowOff>
    </xdr:from>
    <xdr:to>
      <xdr:col>36</xdr:col>
      <xdr:colOff>480391</xdr:colOff>
      <xdr:row>111</xdr:row>
      <xdr:rowOff>75371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A26A474-E84B-46C7-82AF-221B075CD2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266925</xdr:colOff>
      <xdr:row>79</xdr:row>
      <xdr:rowOff>140806</xdr:rowOff>
    </xdr:from>
    <xdr:to>
      <xdr:col>17</xdr:col>
      <xdr:colOff>508965</xdr:colOff>
      <xdr:row>104</xdr:row>
      <xdr:rowOff>8284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D845538C-58FD-4862-A6D3-1BD9B9FC4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17251" y="16904806"/>
          <a:ext cx="7654975" cy="40087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405848</xdr:colOff>
      <xdr:row>85</xdr:row>
      <xdr:rowOff>82826</xdr:rowOff>
    </xdr:from>
    <xdr:to>
      <xdr:col>9</xdr:col>
      <xdr:colOff>74543</xdr:colOff>
      <xdr:row>94</xdr:row>
      <xdr:rowOff>115956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3AA8BDD5-ECB3-42F4-B1D6-8830FCD60F19}"/>
            </a:ext>
          </a:extLst>
        </xdr:cNvPr>
        <xdr:cNvSpPr/>
      </xdr:nvSpPr>
      <xdr:spPr>
        <a:xfrm>
          <a:off x="7156174" y="17840739"/>
          <a:ext cx="1118152" cy="1524000"/>
        </a:xfrm>
        <a:prstGeom prst="rect">
          <a:avLst/>
        </a:prstGeom>
        <a:noFill/>
        <a:ln>
          <a:solidFill>
            <a:schemeClr val="bg2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828262</xdr:colOff>
      <xdr:row>103</xdr:row>
      <xdr:rowOff>117139</xdr:rowOff>
    </xdr:from>
    <xdr:to>
      <xdr:col>18</xdr:col>
      <xdr:colOff>361261</xdr:colOff>
      <xdr:row>130</xdr:row>
      <xdr:rowOff>140956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C83AED4-40E8-49D0-AB36-F0767C55E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760976" y="21058532"/>
          <a:ext cx="8636178" cy="443253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0" cy="0"/>
    <xdr:sp macro="" textlink="">
      <xdr:nvSpPr>
        <xdr:cNvPr id="2" name="worksheetKey" descr="{&quot;key&quot;:&quot;worksheetKey&quot;,&quot;value&quot;:&quot;8d94f092-2daf-40d6-9bb2-e24ca78843e0&quot;}" hidden="1">
          <a:extLst>
            <a:ext uri="{FF2B5EF4-FFF2-40B4-BE49-F238E27FC236}">
              <a16:creationId xmlns:a16="http://schemas.microsoft.com/office/drawing/2014/main" id="{AA3D6330-39C9-0331-0786-77E124FDEBF2}"/>
            </a:ext>
          </a:extLst>
        </xdr:cNvPr>
        <xdr:cNvSpPr txBox="1"/>
      </xdr:nvSpPr>
      <xdr:spPr>
        <a:xfrm>
          <a:off x="0" y="0"/>
          <a:ext cx="0" cy="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457200</xdr:colOff>
      <xdr:row>3</xdr:row>
      <xdr:rowOff>12700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D37E68B-4FFA-4E98-97F0-E43F92E94F18}"/>
            </a:ext>
          </a:extLst>
        </xdr:cNvPr>
        <xdr:cNvSpPr/>
      </xdr:nvSpPr>
      <xdr:spPr>
        <a:xfrm>
          <a:off x="0" y="0"/>
          <a:ext cx="457200" cy="469900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GIR Product">
  <a:themeElements>
    <a:clrScheme name="GIR Exhibits">
      <a:dk1>
        <a:srgbClr val="000000"/>
      </a:dk1>
      <a:lt1>
        <a:sysClr val="window" lastClr="FFFFFF"/>
      </a:lt1>
      <a:dk2>
        <a:srgbClr val="BE3232"/>
      </a:dk2>
      <a:lt2>
        <a:srgbClr val="F67F26"/>
      </a:lt2>
      <a:accent1>
        <a:srgbClr val="00355F"/>
      </a:accent1>
      <a:accent2>
        <a:srgbClr val="ACD4F1"/>
      </a:accent2>
      <a:accent3>
        <a:srgbClr val="A5A5A5"/>
      </a:accent3>
      <a:accent4>
        <a:srgbClr val="7399C6"/>
      </a:accent4>
      <a:accent5>
        <a:srgbClr val="078549"/>
      </a:accent5>
      <a:accent6>
        <a:srgbClr val="8BC346"/>
      </a:accent6>
      <a:hlink>
        <a:srgbClr val="7399C6"/>
      </a:hlink>
      <a:folHlink>
        <a:srgbClr val="A5A5A5"/>
      </a:folHlink>
    </a:clrScheme>
    <a:fontScheme name="GIR Product">
      <a:majorFont>
        <a:latin typeface="Univers LT Std 65 Bold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Jpan" typeface="MS Gothic"/>
      </a:majorFont>
      <a:minorFont>
        <a:latin typeface="Univers LT Std 55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GIR Product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9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FEB0746-AC5F-4AE6-9955-E5FA72AAD5C4}">
  <we:reference id="49825c50-e8d8-4c4a-9a2c-e6f24181e018" version="1.0.0.0" store="EXCatalog" storeType="EXCatalog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ustomProperty" Target="../customProperty3.bin"/><Relationship Id="rId3" Type="http://schemas.openxmlformats.org/officeDocument/2006/relationships/hyperlink" Target="mailto:annabel.li@gs.com?Subject=Exploring%20four%20key%20themes%20and%20our%20top%20picks%20for%20the%20telecom,%20media%20and%20technology%20sectors" TargetMode="External"/><Relationship Id="rId7" Type="http://schemas.openxmlformats.org/officeDocument/2006/relationships/customProperty" Target="../customProperty2.bin"/><Relationship Id="rId2" Type="http://schemas.openxmlformats.org/officeDocument/2006/relationships/hyperlink" Target="https://publishing.gs.com/content/research/authors/f97710df-63c4-4d61-bc81-78ef2e63db11.html" TargetMode="External"/><Relationship Id="rId1" Type="http://schemas.openxmlformats.org/officeDocument/2006/relationships/hyperlink" Target="mailto:kane.hannan@gs.com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jamie.laskovski@gs.com?Subject=Exploring%20four%20key%20themes%20and%20our%20top%20picks%20for%20the%20telecom,%20media%20and%20technology%20sectors" TargetMode="External"/><Relationship Id="rId4" Type="http://schemas.openxmlformats.org/officeDocument/2006/relationships/hyperlink" Target="https://publishing.gs.com/content/research/authors/ced8e15c-5987-4af5-9e5e-ef7e88fa2369.html" TargetMode="External"/><Relationship Id="rId9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drawing" Target="../drawings/drawing2.xml"/><Relationship Id="rId5" Type="http://schemas.openxmlformats.org/officeDocument/2006/relationships/customProperty" Target="../customProperty6.bin"/><Relationship Id="rId4" Type="http://schemas.openxmlformats.org/officeDocument/2006/relationships/customProperty" Target="../customProperty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9.bin"/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7.bin"/><Relationship Id="rId4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customProperty" Target="../customProperty14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6.bin"/><Relationship Id="rId2" Type="http://schemas.openxmlformats.org/officeDocument/2006/relationships/customProperty" Target="../customProperty15.bin"/><Relationship Id="rId1" Type="http://schemas.openxmlformats.org/officeDocument/2006/relationships/printerSettings" Target="../printerSettings/printerSettings12.bin"/><Relationship Id="rId4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customProperty" Target="../customProperty17.bin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A7609-0F87-4D22-84DA-014C9E78309D}">
  <dimension ref="A1:B1"/>
  <sheetViews>
    <sheetView workbookViewId="0"/>
  </sheetViews>
  <sheetFormatPr defaultRowHeight="12.75"/>
  <sheetData>
    <row r="1" spans="1:2">
      <c r="B1" t="s">
        <v>679</v>
      </c>
    </row>
  </sheetData>
  <pageMargins left="0.7" right="0.7" top="0.75" bottom="0.75" header="0.3" footer="0.3"/>
  <customProperties>
    <customPr name="Qube.Worksheet.Visibility" r:id="rId1"/>
  </customPropertie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theme="4"/>
  </sheetPr>
  <dimension ref="B1:D32"/>
  <sheetViews>
    <sheetView showGridLines="0" tabSelected="1" zoomScaleNormal="100" workbookViewId="0"/>
  </sheetViews>
  <sheetFormatPr defaultColWidth="9.140625" defaultRowHeight="12"/>
  <cols>
    <col min="1" max="1" width="11.140625" style="182" bestFit="1" customWidth="1"/>
    <col min="2" max="2" width="12" style="182" bestFit="1" customWidth="1"/>
    <col min="3" max="16384" width="9.140625" style="182"/>
  </cols>
  <sheetData>
    <row r="1" spans="2:4">
      <c r="B1" s="180">
        <v>46000</v>
      </c>
      <c r="C1" s="181"/>
    </row>
    <row r="3" spans="2:4" s="183" customFormat="1"/>
    <row r="4" spans="2:4" s="183" customFormat="1" ht="27.75">
      <c r="D4" s="184" t="s">
        <v>331</v>
      </c>
    </row>
    <row r="5" spans="2:4" s="183" customFormat="1" ht="18">
      <c r="D5" s="185" t="s">
        <v>332</v>
      </c>
    </row>
    <row r="6" spans="2:4" s="183" customFormat="1"/>
    <row r="7" spans="2:4" s="183" customFormat="1"/>
    <row r="8" spans="2:4" s="183" customFormat="1"/>
    <row r="9" spans="2:4" s="183" customFormat="1"/>
    <row r="10" spans="2:4" s="183" customFormat="1"/>
    <row r="11" spans="2:4" s="186" customFormat="1"/>
    <row r="13" spans="2:4">
      <c r="B13" s="187"/>
    </row>
    <row r="14" spans="2:4">
      <c r="B14" s="188"/>
    </row>
    <row r="16" spans="2:4">
      <c r="B16" s="280" t="s">
        <v>316</v>
      </c>
    </row>
    <row r="17" spans="2:2" ht="12.75">
      <c r="B17" s="281" t="s">
        <v>317</v>
      </c>
    </row>
    <row r="18" spans="2:2">
      <c r="B18" s="282" t="s">
        <v>318</v>
      </c>
    </row>
    <row r="19" spans="2:2">
      <c r="B19" s="283"/>
    </row>
    <row r="20" spans="2:2">
      <c r="B20" s="280" t="s">
        <v>662</v>
      </c>
    </row>
    <row r="21" spans="2:2" ht="12.75">
      <c r="B21" s="281" t="s">
        <v>663</v>
      </c>
    </row>
    <row r="22" spans="2:2">
      <c r="B22" s="282" t="s">
        <v>664</v>
      </c>
    </row>
    <row r="23" spans="2:2">
      <c r="B23" s="284"/>
    </row>
    <row r="24" spans="2:2">
      <c r="B24" s="280" t="s">
        <v>665</v>
      </c>
    </row>
    <row r="25" spans="2:2" ht="12.75">
      <c r="B25" s="281" t="s">
        <v>666</v>
      </c>
    </row>
    <row r="26" spans="2:2">
      <c r="B26" s="282" t="s">
        <v>667</v>
      </c>
    </row>
    <row r="27" spans="2:2">
      <c r="B27" s="189"/>
    </row>
    <row r="29" spans="2:2">
      <c r="B29" s="188"/>
    </row>
    <row r="30" spans="2:2">
      <c r="B30" s="190"/>
    </row>
    <row r="31" spans="2:2">
      <c r="B31" s="191"/>
    </row>
    <row r="32" spans="2:2">
      <c r="B32" s="189"/>
    </row>
  </sheetData>
  <hyperlinks>
    <hyperlink ref="B17" r:id="rId1" xr:uid="{90C20BCE-A8FF-475E-9539-82F295DB78EC}"/>
    <hyperlink ref="B20" r:id="rId2" display="https://publishing.gs.com/content/research/authors/f97710df-63c4-4d61-bc81-78ef2e63db11.html" xr:uid="{7885943A-A542-4ED6-A41E-2364B4AD6DF0}"/>
    <hyperlink ref="B21" r:id="rId3" display="mailto:annabel.li@gs.com?Subject=Exploring%20four%20key%20themes%20and%20our%20top%20picks%20for%20the%20telecom,%20media%20and%20technology%20sectors" xr:uid="{C6E5F0B2-8C58-4D43-8E4A-B308E0319BE8}"/>
    <hyperlink ref="B24" r:id="rId4" display="https://publishing.gs.com/content/research/authors/ced8e15c-5987-4af5-9e5e-ef7e88fa2369.html" xr:uid="{C761297B-BD75-4BB6-BF29-AD36EE921A33}"/>
    <hyperlink ref="B25" r:id="rId5" display="mailto:jamie.laskovski@gs.com?Subject=Exploring%20four%20key%20themes%20and%20our%20top%20picks%20for%20the%20telecom,%20media%20and%20technology%20sectors" xr:uid="{153CF703-61A2-474C-BDE9-67D67029DA44}"/>
  </hyperlinks>
  <pageMargins left="0.7" right="0.7" top="0.75" bottom="0.75" header="0.3" footer="0.3"/>
  <pageSetup paperSize="9" orientation="portrait" r:id="rId6"/>
  <customProperties>
    <customPr name="Qube.Worksheet.ID" r:id="rId7"/>
    <customPr name="Qube.Worksheet.Visibility" r:id="rId8"/>
  </customProperties>
  <drawing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pageSetUpPr fitToPage="1"/>
  </sheetPr>
  <dimension ref="A2:T106"/>
  <sheetViews>
    <sheetView showGridLines="0" topLeftCell="A25" zoomScaleNormal="100" workbookViewId="0">
      <selection activeCell="C68" sqref="C68"/>
    </sheetView>
  </sheetViews>
  <sheetFormatPr defaultColWidth="9.140625" defaultRowHeight="12.75"/>
  <cols>
    <col min="1" max="1" width="40.5703125" style="12" customWidth="1"/>
    <col min="2" max="2" width="1.7109375" style="12" customWidth="1"/>
    <col min="3" max="3" width="12.7109375" style="12" bestFit="1" customWidth="1"/>
    <col min="4" max="4" width="6.7109375" style="12" customWidth="1"/>
    <col min="5" max="6" width="11.5703125" style="12" bestFit="1" customWidth="1"/>
    <col min="7" max="7" width="14.7109375" style="12" customWidth="1"/>
    <col min="8" max="8" width="11.42578125" style="12" bestFit="1" customWidth="1"/>
    <col min="9" max="9" width="10" style="12" customWidth="1"/>
    <col min="10" max="10" width="11.5703125" style="12" bestFit="1" customWidth="1"/>
    <col min="11" max="11" width="11.42578125" style="12" bestFit="1" customWidth="1"/>
    <col min="12" max="15" width="10.140625" style="12" customWidth="1"/>
    <col min="16" max="16384" width="9.140625" style="12"/>
  </cols>
  <sheetData>
    <row r="2" spans="1:20">
      <c r="A2" s="94" t="s">
        <v>303</v>
      </c>
      <c r="C2" s="55"/>
      <c r="H2" s="55" t="s">
        <v>302</v>
      </c>
    </row>
    <row r="3" spans="1:20">
      <c r="A3" s="93" t="s">
        <v>301</v>
      </c>
      <c r="E3" s="95"/>
      <c r="O3" s="92"/>
    </row>
    <row r="4" spans="1:20">
      <c r="D4" s="96"/>
      <c r="E4" s="96">
        <v>2017</v>
      </c>
      <c r="F4" s="96" t="s">
        <v>232</v>
      </c>
      <c r="G4" s="96" t="s">
        <v>233</v>
      </c>
      <c r="H4" s="96" t="s">
        <v>234</v>
      </c>
      <c r="I4" s="96" t="s">
        <v>235</v>
      </c>
      <c r="J4" s="96" t="s">
        <v>236</v>
      </c>
      <c r="K4" s="96" t="s">
        <v>237</v>
      </c>
      <c r="L4" s="96" t="s">
        <v>238</v>
      </c>
      <c r="M4" s="96" t="s">
        <v>239</v>
      </c>
      <c r="N4" s="96" t="s">
        <v>240</v>
      </c>
      <c r="O4" s="96" t="s">
        <v>241</v>
      </c>
      <c r="P4" s="96"/>
      <c r="Q4" s="96"/>
      <c r="R4" s="96"/>
      <c r="S4" s="96"/>
      <c r="T4" s="96"/>
    </row>
    <row r="5" spans="1:20" ht="24" customHeight="1">
      <c r="A5" s="91" t="s">
        <v>300</v>
      </c>
      <c r="B5" s="90"/>
      <c r="C5" s="89"/>
      <c r="D5" s="89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</row>
    <row r="6" spans="1:20">
      <c r="A6" s="87" t="s">
        <v>299</v>
      </c>
      <c r="D6" s="66"/>
      <c r="E6" s="66"/>
      <c r="F6" s="66"/>
      <c r="G6" s="66"/>
      <c r="H6" s="66"/>
      <c r="I6" s="66"/>
    </row>
    <row r="7" spans="1:20">
      <c r="A7" s="69" t="s">
        <v>28</v>
      </c>
      <c r="B7" s="69"/>
      <c r="C7" s="86"/>
      <c r="D7" s="97"/>
      <c r="E7" s="97">
        <f>MODEL!T30</f>
        <v>43.8</v>
      </c>
      <c r="F7" s="97">
        <f>MODEL!W30</f>
        <v>62.100000000000009</v>
      </c>
      <c r="G7" s="97">
        <f>MODEL!Z30</f>
        <v>88.8</v>
      </c>
      <c r="H7" s="97">
        <f>MODEL!AC30</f>
        <v>54.200000000000024</v>
      </c>
      <c r="I7" s="97">
        <f>MODEL!AF30</f>
        <v>112</v>
      </c>
      <c r="J7" s="97">
        <f>MODEL!AI30</f>
        <v>193.19999999999996</v>
      </c>
      <c r="K7" s="97">
        <f>MODEL!AL30</f>
        <v>230.40000000000003</v>
      </c>
      <c r="L7" s="97">
        <f>MODEL!AO30</f>
        <v>267.7</v>
      </c>
      <c r="M7" s="97">
        <f>MODEL!AR30</f>
        <v>337.19999999999993</v>
      </c>
      <c r="N7" s="97">
        <f>MODEL!AS30</f>
        <v>497.02949798863574</v>
      </c>
      <c r="O7" s="97">
        <f>MODEL!AT30</f>
        <v>622.81888631427421</v>
      </c>
    </row>
    <row r="8" spans="1:20">
      <c r="A8" s="81"/>
      <c r="B8" s="22"/>
      <c r="C8" s="82"/>
      <c r="D8" s="85"/>
      <c r="E8" s="85"/>
      <c r="F8" s="85"/>
      <c r="G8" s="85"/>
      <c r="H8" s="85"/>
      <c r="I8" s="85"/>
    </row>
    <row r="9" spans="1:20">
      <c r="A9" s="71" t="s">
        <v>298</v>
      </c>
      <c r="C9" s="84"/>
      <c r="D9" s="98"/>
      <c r="E9" s="98">
        <v>0.3</v>
      </c>
      <c r="F9" s="98">
        <v>0.3</v>
      </c>
      <c r="G9" s="98">
        <v>0.3</v>
      </c>
      <c r="H9" s="98">
        <v>0.3</v>
      </c>
      <c r="I9" s="98">
        <v>0.3</v>
      </c>
      <c r="J9" s="98">
        <v>0.3</v>
      </c>
      <c r="K9" s="98">
        <v>0.3</v>
      </c>
      <c r="L9" s="98">
        <v>0.3</v>
      </c>
      <c r="M9" s="98">
        <v>0.3</v>
      </c>
      <c r="N9" s="98">
        <v>0.3</v>
      </c>
      <c r="O9" s="98">
        <v>0.3</v>
      </c>
    </row>
    <row r="10" spans="1:20">
      <c r="A10" s="81" t="s">
        <v>297</v>
      </c>
      <c r="B10" s="22"/>
      <c r="C10" s="78"/>
      <c r="D10" s="77"/>
      <c r="E10" s="77">
        <f t="shared" ref="E10:O10" si="0">+E7*E9</f>
        <v>13.139999999999999</v>
      </c>
      <c r="F10" s="77">
        <f t="shared" si="0"/>
        <v>18.630000000000003</v>
      </c>
      <c r="G10" s="77">
        <f t="shared" si="0"/>
        <v>26.639999999999997</v>
      </c>
      <c r="H10" s="77">
        <f t="shared" si="0"/>
        <v>16.260000000000005</v>
      </c>
      <c r="I10" s="77">
        <f t="shared" si="0"/>
        <v>33.6</v>
      </c>
      <c r="J10" s="77">
        <f t="shared" si="0"/>
        <v>57.959999999999987</v>
      </c>
      <c r="K10" s="77">
        <f t="shared" si="0"/>
        <v>69.12</v>
      </c>
      <c r="L10" s="77">
        <f t="shared" si="0"/>
        <v>80.309999999999988</v>
      </c>
      <c r="M10" s="77">
        <f t="shared" si="0"/>
        <v>101.15999999999998</v>
      </c>
      <c r="N10" s="77">
        <f t="shared" si="0"/>
        <v>149.10884939659073</v>
      </c>
      <c r="O10" s="77">
        <f t="shared" si="0"/>
        <v>186.84566589428226</v>
      </c>
    </row>
    <row r="11" spans="1:20">
      <c r="A11" s="83" t="s">
        <v>296</v>
      </c>
      <c r="B11" s="69"/>
      <c r="C11" s="68"/>
      <c r="D11" s="67"/>
      <c r="E11" s="67">
        <f t="shared" ref="E11:O11" si="1">E7+E8-E10</f>
        <v>30.659999999999997</v>
      </c>
      <c r="F11" s="67">
        <f t="shared" si="1"/>
        <v>43.470000000000006</v>
      </c>
      <c r="G11" s="67">
        <f t="shared" si="1"/>
        <v>62.16</v>
      </c>
      <c r="H11" s="67">
        <f t="shared" si="1"/>
        <v>37.940000000000019</v>
      </c>
      <c r="I11" s="67">
        <f t="shared" si="1"/>
        <v>78.400000000000006</v>
      </c>
      <c r="J11" s="67">
        <f t="shared" si="1"/>
        <v>135.23999999999998</v>
      </c>
      <c r="K11" s="67">
        <f t="shared" si="1"/>
        <v>161.28000000000003</v>
      </c>
      <c r="L11" s="67">
        <f t="shared" si="1"/>
        <v>187.39</v>
      </c>
      <c r="M11" s="67">
        <f t="shared" si="1"/>
        <v>236.03999999999996</v>
      </c>
      <c r="N11" s="67">
        <f t="shared" si="1"/>
        <v>347.92064859204504</v>
      </c>
      <c r="O11" s="67">
        <f t="shared" si="1"/>
        <v>435.97322041999195</v>
      </c>
    </row>
    <row r="12" spans="1:20">
      <c r="A12" s="22"/>
      <c r="B12" s="22"/>
      <c r="C12" s="78"/>
      <c r="D12" s="77"/>
      <c r="E12" s="77"/>
      <c r="F12" s="77"/>
      <c r="G12" s="77"/>
      <c r="H12" s="77"/>
      <c r="I12" s="77"/>
    </row>
    <row r="13" spans="1:20">
      <c r="A13" s="81" t="s">
        <v>295</v>
      </c>
      <c r="B13" s="22"/>
      <c r="D13" s="79"/>
      <c r="E13" s="79">
        <f>MODEL!T27+MODEL!T28</f>
        <v>10.199999999999999</v>
      </c>
      <c r="F13" s="79">
        <f>MODEL!W27+MODEL!W28</f>
        <v>16</v>
      </c>
      <c r="G13" s="79">
        <f>MODEL!Z27+MODEL!Z28</f>
        <v>19.200000000000003</v>
      </c>
      <c r="H13" s="79">
        <f>MODEL!AC27+MODEL!AC28</f>
        <v>0</v>
      </c>
      <c r="I13" s="79">
        <f>MODEL!AF27+MODEL!AF28</f>
        <v>0</v>
      </c>
      <c r="J13" s="79">
        <f>MODEL!AI27+MODEL!AI28</f>
        <v>0</v>
      </c>
      <c r="K13" s="79">
        <f>MODEL!AL27+MODEL!AL28</f>
        <v>0</v>
      </c>
      <c r="L13" s="79">
        <f>MODEL!AO27+MODEL!AO28</f>
        <v>0</v>
      </c>
      <c r="M13" s="79">
        <f>MODEL!AR27+MODEL!AR28</f>
        <v>0</v>
      </c>
      <c r="N13" s="79">
        <f>MODEL!AS27+MODEL!AS28</f>
        <v>0</v>
      </c>
      <c r="O13" s="79">
        <f>MODEL!AT27+MODEL!AT28</f>
        <v>0</v>
      </c>
    </row>
    <row r="14" spans="1:20">
      <c r="A14" s="81" t="s">
        <v>294</v>
      </c>
      <c r="B14" s="22"/>
      <c r="C14" s="82"/>
      <c r="D14" s="79"/>
      <c r="E14" s="79">
        <f>MODEL!T89</f>
        <v>-28.897000000000002</v>
      </c>
      <c r="F14" s="79">
        <f>MODEL!W89</f>
        <v>-37.765000000000001</v>
      </c>
      <c r="G14" s="79">
        <f>MODEL!Z89</f>
        <v>-50.4</v>
      </c>
      <c r="H14" s="79">
        <f>MODEL!AC89</f>
        <v>-60.7</v>
      </c>
      <c r="I14" s="79">
        <f>MODEL!AF89</f>
        <v>-67.3</v>
      </c>
      <c r="J14" s="79">
        <f>MODEL!AI89</f>
        <v>-74.5</v>
      </c>
      <c r="K14" s="79">
        <f>MODEL!AL89</f>
        <v>-95.6</v>
      </c>
      <c r="L14" s="79">
        <f>MODEL!AO89</f>
        <v>-130.1</v>
      </c>
      <c r="M14" s="79">
        <f>MODEL!AR89</f>
        <v>-149.5</v>
      </c>
      <c r="N14" s="79">
        <f>MODEL!AS89</f>
        <v>-285.9742187020006</v>
      </c>
      <c r="O14" s="79">
        <f>MODEL!AT89</f>
        <v>-342.96769075976323</v>
      </c>
    </row>
    <row r="15" spans="1:20">
      <c r="A15" s="81" t="s">
        <v>293</v>
      </c>
      <c r="B15" s="22"/>
      <c r="C15" s="80"/>
      <c r="D15" s="79"/>
      <c r="E15" s="79">
        <f>MODEL!T83</f>
        <v>1.4190000000000005</v>
      </c>
      <c r="F15" s="79">
        <f>MODEL!W83</f>
        <v>-6.3210000000000015</v>
      </c>
      <c r="G15" s="79">
        <f>MODEL!Z83</f>
        <v>-10.697999999999993</v>
      </c>
      <c r="H15" s="79">
        <f>MODEL!AC83</f>
        <v>0</v>
      </c>
      <c r="I15" s="79">
        <f>MODEL!AF83</f>
        <v>0</v>
      </c>
      <c r="J15" s="79">
        <f>MODEL!AI83</f>
        <v>0</v>
      </c>
      <c r="K15" s="79">
        <f>MODEL!AL83</f>
        <v>37.1</v>
      </c>
      <c r="L15" s="79">
        <f>MODEL!AO83</f>
        <v>-15.600000000000001</v>
      </c>
      <c r="M15" s="79">
        <f>MODEL!AR83</f>
        <v>34.1</v>
      </c>
      <c r="N15" s="79">
        <f>MODEL!AS83</f>
        <v>-4.0902398482746776</v>
      </c>
      <c r="O15" s="79">
        <f>MODEL!AT83</f>
        <v>-1.6259700792376464</v>
      </c>
    </row>
    <row r="16" spans="1:20" ht="12" customHeight="1">
      <c r="A16" s="22"/>
      <c r="B16" s="22"/>
      <c r="C16" s="78"/>
      <c r="D16" s="77"/>
      <c r="E16" s="77"/>
      <c r="F16" s="77"/>
      <c r="G16" s="77"/>
      <c r="H16" s="77"/>
      <c r="I16" s="77"/>
    </row>
    <row r="17" spans="1:15">
      <c r="A17" s="76" t="s">
        <v>292</v>
      </c>
      <c r="B17" s="76"/>
      <c r="C17" s="75"/>
      <c r="D17" s="74"/>
      <c r="E17" s="74">
        <f>SUM(E11:E15)</f>
        <v>13.381999999999998</v>
      </c>
      <c r="F17" s="74">
        <f t="shared" ref="F17:O17" si="2">SUM(F11:F15)</f>
        <v>15.384000000000004</v>
      </c>
      <c r="G17" s="74">
        <f t="shared" si="2"/>
        <v>20.262000000000008</v>
      </c>
      <c r="H17" s="74">
        <f t="shared" si="2"/>
        <v>-22.759999999999984</v>
      </c>
      <c r="I17" s="74">
        <f t="shared" si="2"/>
        <v>11.100000000000009</v>
      </c>
      <c r="J17" s="74">
        <f t="shared" si="2"/>
        <v>60.739999999999981</v>
      </c>
      <c r="K17" s="74">
        <f t="shared" si="2"/>
        <v>102.78000000000003</v>
      </c>
      <c r="L17" s="74">
        <f t="shared" si="2"/>
        <v>41.689999999999991</v>
      </c>
      <c r="M17" s="74">
        <f t="shared" si="2"/>
        <v>120.63999999999996</v>
      </c>
      <c r="N17" s="74">
        <f t="shared" si="2"/>
        <v>57.856190041769764</v>
      </c>
      <c r="O17" s="74">
        <f t="shared" si="2"/>
        <v>91.379559580991071</v>
      </c>
    </row>
    <row r="18" spans="1:15">
      <c r="D18" s="66"/>
      <c r="E18" s="66"/>
      <c r="F18" s="66"/>
      <c r="G18" s="66"/>
      <c r="H18" s="66"/>
      <c r="I18" s="99"/>
    </row>
    <row r="19" spans="1:15">
      <c r="A19" s="71" t="s">
        <v>291</v>
      </c>
      <c r="C19" s="73"/>
      <c r="D19" s="72"/>
      <c r="E19" s="72">
        <v>-2</v>
      </c>
      <c r="F19" s="72">
        <v>-1</v>
      </c>
      <c r="G19" s="72">
        <v>0</v>
      </c>
      <c r="H19" s="72">
        <f>G19+1</f>
        <v>1</v>
      </c>
      <c r="I19" s="72">
        <f t="shared" ref="I19:O19" si="3">H19+1</f>
        <v>2</v>
      </c>
      <c r="J19" s="72">
        <f t="shared" si="3"/>
        <v>3</v>
      </c>
      <c r="K19" s="72">
        <f t="shared" si="3"/>
        <v>4</v>
      </c>
      <c r="L19" s="72">
        <f t="shared" si="3"/>
        <v>5</v>
      </c>
      <c r="M19" s="72">
        <f t="shared" si="3"/>
        <v>6</v>
      </c>
      <c r="N19" s="72">
        <f t="shared" si="3"/>
        <v>7</v>
      </c>
      <c r="O19" s="72">
        <f t="shared" si="3"/>
        <v>8</v>
      </c>
    </row>
    <row r="20" spans="1:15">
      <c r="A20" s="71" t="s">
        <v>224</v>
      </c>
      <c r="C20" s="23"/>
      <c r="D20" s="70"/>
      <c r="E20" s="70">
        <f t="shared" ref="E20:O20" si="4">1/(1+$G$66)^E19</f>
        <v>1.1918088900000003</v>
      </c>
      <c r="F20" s="70">
        <f t="shared" si="4"/>
        <v>1.0917000000000001</v>
      </c>
      <c r="G20" s="70">
        <f t="shared" si="4"/>
        <v>1</v>
      </c>
      <c r="H20" s="70">
        <f t="shared" si="4"/>
        <v>0.91600256480718134</v>
      </c>
      <c r="I20" s="70">
        <f t="shared" si="4"/>
        <v>0.83906069873333444</v>
      </c>
      <c r="J20" s="70">
        <f t="shared" si="4"/>
        <v>0.7685817520686401</v>
      </c>
      <c r="K20" s="70">
        <f t="shared" si="4"/>
        <v>0.70402285615887139</v>
      </c>
      <c r="L20" s="70">
        <f t="shared" si="4"/>
        <v>0.64488674192440354</v>
      </c>
      <c r="M20" s="70">
        <f t="shared" si="4"/>
        <v>0.59071790961290049</v>
      </c>
      <c r="N20" s="70">
        <f t="shared" si="4"/>
        <v>0.54109912028295359</v>
      </c>
      <c r="O20" s="70">
        <f t="shared" si="4"/>
        <v>0.49564818199409499</v>
      </c>
    </row>
    <row r="21" spans="1:15">
      <c r="A21" s="69" t="s">
        <v>290</v>
      </c>
      <c r="B21" s="69"/>
      <c r="C21" s="68"/>
      <c r="D21" s="67"/>
      <c r="E21" s="67">
        <f t="shared" ref="E21:O21" si="5">E17*E20</f>
        <v>15.948786565980003</v>
      </c>
      <c r="F21" s="67">
        <f t="shared" si="5"/>
        <v>16.794712800000006</v>
      </c>
      <c r="G21" s="67">
        <f t="shared" si="5"/>
        <v>20.262000000000008</v>
      </c>
      <c r="H21" s="67">
        <f t="shared" si="5"/>
        <v>-20.848218375011431</v>
      </c>
      <c r="I21" s="67">
        <f t="shared" si="5"/>
        <v>9.3135737559400198</v>
      </c>
      <c r="J21" s="67">
        <f t="shared" si="5"/>
        <v>46.683655620649184</v>
      </c>
      <c r="K21" s="67">
        <f t="shared" si="5"/>
        <v>72.359469156008828</v>
      </c>
      <c r="L21" s="67">
        <f t="shared" si="5"/>
        <v>26.885328270828378</v>
      </c>
      <c r="M21" s="67">
        <f t="shared" si="5"/>
        <v>71.264208615700284</v>
      </c>
      <c r="N21" s="67">
        <f t="shared" si="5"/>
        <v>31.305933534525</v>
      </c>
      <c r="O21" s="67">
        <f t="shared" si="5"/>
        <v>45.29211257773931</v>
      </c>
    </row>
    <row r="22" spans="1:15">
      <c r="D22" s="66"/>
      <c r="E22" s="66"/>
      <c r="F22" s="66"/>
      <c r="G22" s="66"/>
      <c r="H22" s="66"/>
      <c r="I22" s="66"/>
    </row>
    <row r="23" spans="1:15">
      <c r="A23" s="12" t="s">
        <v>289</v>
      </c>
      <c r="D23" s="100"/>
      <c r="E23" s="100">
        <f>-MODEL!T33</f>
        <v>2.7</v>
      </c>
      <c r="F23" s="100">
        <f>-MODEL!W33</f>
        <v>-1.2</v>
      </c>
      <c r="G23" s="100">
        <f>-MODEL!Z33</f>
        <v>-5.4</v>
      </c>
      <c r="H23" s="100">
        <f>-MODEL!AC33</f>
        <v>-6.4</v>
      </c>
      <c r="I23" s="100">
        <f>-MODEL!AF33</f>
        <v>-3.1</v>
      </c>
      <c r="J23" s="100">
        <f>-MODEL!AI33</f>
        <v>-2</v>
      </c>
      <c r="K23" s="100">
        <f>-MODEL!AL33</f>
        <v>0.5</v>
      </c>
      <c r="L23" s="100">
        <f>-MODEL!AO33</f>
        <v>-9.4</v>
      </c>
      <c r="M23" s="100">
        <f>-MODEL!AR33</f>
        <v>-3.5</v>
      </c>
      <c r="N23" s="100">
        <f>-MODEL!AS33</f>
        <v>-94.3</v>
      </c>
      <c r="O23" s="100">
        <f>-MODEL!AT33</f>
        <v>-99.5</v>
      </c>
    </row>
    <row r="24" spans="1:15">
      <c r="A24" s="55" t="s">
        <v>288</v>
      </c>
      <c r="B24" s="55"/>
      <c r="C24" s="55"/>
      <c r="D24" s="101"/>
      <c r="E24" s="101">
        <f t="shared" ref="E24:O24" si="6">E17-E23</f>
        <v>10.681999999999999</v>
      </c>
      <c r="F24" s="101">
        <f t="shared" si="6"/>
        <v>16.584000000000003</v>
      </c>
      <c r="G24" s="101">
        <f t="shared" si="6"/>
        <v>25.662000000000006</v>
      </c>
      <c r="H24" s="101">
        <f t="shared" si="6"/>
        <v>-16.359999999999985</v>
      </c>
      <c r="I24" s="101">
        <f t="shared" si="6"/>
        <v>14.200000000000008</v>
      </c>
      <c r="J24" s="101">
        <f t="shared" si="6"/>
        <v>62.739999999999981</v>
      </c>
      <c r="K24" s="101">
        <f t="shared" si="6"/>
        <v>102.28000000000003</v>
      </c>
      <c r="L24" s="101">
        <f t="shared" si="6"/>
        <v>51.089999999999989</v>
      </c>
      <c r="M24" s="101">
        <f t="shared" si="6"/>
        <v>124.13999999999996</v>
      </c>
      <c r="N24" s="101">
        <f t="shared" si="6"/>
        <v>152.15619004176978</v>
      </c>
      <c r="O24" s="101">
        <f t="shared" si="6"/>
        <v>190.87955958099107</v>
      </c>
    </row>
    <row r="25" spans="1:15">
      <c r="A25" s="12" t="s">
        <v>287</v>
      </c>
      <c r="D25" s="102"/>
      <c r="E25" s="102">
        <f>-MODEL!T91</f>
        <v>2.9370000000000003</v>
      </c>
      <c r="F25" s="102">
        <f>-MODEL!W91</f>
        <v>6.0360000000000005</v>
      </c>
      <c r="G25" s="102">
        <f>-MODEL!Z91</f>
        <v>9</v>
      </c>
      <c r="H25" s="102">
        <f>-MODEL!AC91</f>
        <v>0</v>
      </c>
      <c r="I25" s="102">
        <f>-MODEL!AF91</f>
        <v>0</v>
      </c>
      <c r="J25" s="102">
        <f>-MODEL!AI91</f>
        <v>0</v>
      </c>
      <c r="K25" s="102">
        <f>-MODEL!AL91</f>
        <v>28</v>
      </c>
      <c r="L25" s="102">
        <f>-MODEL!AO91</f>
        <v>34.299999999999997</v>
      </c>
      <c r="M25" s="102">
        <f>-MODEL!AR91</f>
        <v>42.2</v>
      </c>
      <c r="N25" s="102">
        <f>-MODEL!AS91</f>
        <v>52.532200000000003</v>
      </c>
      <c r="O25" s="102">
        <f>-MODEL!AT91</f>
        <v>63.574000000000005</v>
      </c>
    </row>
    <row r="26" spans="1:15">
      <c r="A26" s="55" t="s">
        <v>286</v>
      </c>
      <c r="D26" s="101"/>
      <c r="E26" s="101">
        <f t="shared" ref="E26:O26" si="7">E24-E25</f>
        <v>7.7449999999999983</v>
      </c>
      <c r="F26" s="101">
        <f t="shared" si="7"/>
        <v>10.548000000000002</v>
      </c>
      <c r="G26" s="101">
        <f t="shared" si="7"/>
        <v>16.662000000000006</v>
      </c>
      <c r="H26" s="101">
        <f t="shared" si="7"/>
        <v>-16.359999999999985</v>
      </c>
      <c r="I26" s="101">
        <f t="shared" si="7"/>
        <v>14.200000000000008</v>
      </c>
      <c r="J26" s="101">
        <f t="shared" si="7"/>
        <v>62.739999999999981</v>
      </c>
      <c r="K26" s="101">
        <f t="shared" si="7"/>
        <v>74.28000000000003</v>
      </c>
      <c r="L26" s="101">
        <f t="shared" si="7"/>
        <v>16.789999999999992</v>
      </c>
      <c r="M26" s="101">
        <f t="shared" si="7"/>
        <v>81.939999999999955</v>
      </c>
      <c r="N26" s="101">
        <f t="shared" si="7"/>
        <v>99.623990041769773</v>
      </c>
      <c r="O26" s="101">
        <f t="shared" si="7"/>
        <v>127.30555958099106</v>
      </c>
    </row>
    <row r="27" spans="1:15">
      <c r="D27" s="66"/>
      <c r="E27" s="66"/>
      <c r="F27" s="66"/>
      <c r="G27" s="66"/>
      <c r="H27" s="66"/>
      <c r="I27" s="64"/>
    </row>
    <row r="28" spans="1:15">
      <c r="A28" s="12" t="s">
        <v>45</v>
      </c>
      <c r="D28" s="103"/>
      <c r="E28" s="103">
        <f>MODEL!T50/100</f>
        <v>2.2000000000000002E-2</v>
      </c>
      <c r="F28" s="103">
        <f>MODEL!W50/100</f>
        <v>2.7000000000000003E-2</v>
      </c>
      <c r="G28" s="103">
        <f>MODEL!Z50/100</f>
        <v>3.4500000000000003E-2</v>
      </c>
      <c r="H28" s="103">
        <f>MODEL!AC50/100</f>
        <v>3.3000000000000002E-2</v>
      </c>
      <c r="I28" s="103">
        <f>MODEL!AF50/100</f>
        <v>6.5500000000000003E-2</v>
      </c>
      <c r="J28" s="103">
        <f>MODEL!AI50/100</f>
        <v>0.1115</v>
      </c>
      <c r="K28" s="103">
        <f>MODEL!AL50/100</f>
        <v>0.15</v>
      </c>
      <c r="L28" s="103">
        <f>MODEL!AO50/100</f>
        <v>0.16899999999999998</v>
      </c>
      <c r="M28" s="103">
        <f>MODEL!AR50/100</f>
        <v>0.14400000000000002</v>
      </c>
      <c r="N28" s="103">
        <f>MODEL!AS50/100</f>
        <v>0.17</v>
      </c>
      <c r="O28" s="103">
        <f>MODEL!AT50/100</f>
        <v>0.23</v>
      </c>
    </row>
    <row r="29" spans="1:15">
      <c r="A29" s="12" t="s">
        <v>25</v>
      </c>
      <c r="D29" s="104"/>
      <c r="E29" s="104">
        <v>1</v>
      </c>
      <c r="F29" s="104">
        <v>1</v>
      </c>
      <c r="G29" s="104">
        <v>1</v>
      </c>
      <c r="H29" s="104">
        <v>1</v>
      </c>
      <c r="I29" s="104">
        <v>1</v>
      </c>
      <c r="J29" s="104">
        <v>1</v>
      </c>
      <c r="K29" s="104">
        <v>1</v>
      </c>
      <c r="L29" s="104">
        <v>1</v>
      </c>
      <c r="M29" s="104">
        <v>1</v>
      </c>
      <c r="N29" s="104">
        <v>1</v>
      </c>
      <c r="O29" s="104">
        <v>1</v>
      </c>
    </row>
    <row r="30" spans="1:15">
      <c r="A30" s="12" t="s">
        <v>285</v>
      </c>
      <c r="D30" s="105"/>
      <c r="E30" s="105">
        <f t="shared" ref="E30:O30" si="8">E28*E29/0.7*0.3</f>
        <v>9.4285714285714285E-3</v>
      </c>
      <c r="F30" s="105">
        <f t="shared" si="8"/>
        <v>1.1571428571428573E-2</v>
      </c>
      <c r="G30" s="105">
        <f t="shared" si="8"/>
        <v>1.4785714285714287E-2</v>
      </c>
      <c r="H30" s="105">
        <f t="shared" si="8"/>
        <v>1.4142857142857143E-2</v>
      </c>
      <c r="I30" s="105">
        <f t="shared" si="8"/>
        <v>2.8071428571428574E-2</v>
      </c>
      <c r="J30" s="105">
        <f t="shared" si="8"/>
        <v>4.7785714285714292E-2</v>
      </c>
      <c r="K30" s="105">
        <f t="shared" si="8"/>
        <v>6.4285714285714293E-2</v>
      </c>
      <c r="L30" s="105">
        <f t="shared" si="8"/>
        <v>7.2428571428571425E-2</v>
      </c>
      <c r="M30" s="105">
        <f t="shared" si="8"/>
        <v>6.1714285714285722E-2</v>
      </c>
      <c r="N30" s="105">
        <f t="shared" si="8"/>
        <v>7.2857142857142856E-2</v>
      </c>
      <c r="O30" s="105">
        <f t="shared" si="8"/>
        <v>9.8571428571428588E-2</v>
      </c>
    </row>
    <row r="31" spans="1:15">
      <c r="A31" s="12" t="s">
        <v>284</v>
      </c>
      <c r="D31" s="104"/>
      <c r="E31" s="104">
        <v>0.6</v>
      </c>
      <c r="F31" s="104">
        <v>0.6</v>
      </c>
      <c r="G31" s="104">
        <v>0.6</v>
      </c>
      <c r="H31" s="104">
        <v>0.6</v>
      </c>
      <c r="I31" s="104">
        <v>0.6</v>
      </c>
      <c r="J31" s="104">
        <v>0.6</v>
      </c>
      <c r="K31" s="104">
        <v>0.6</v>
      </c>
      <c r="L31" s="104">
        <v>0.6</v>
      </c>
      <c r="M31" s="104">
        <v>0.6</v>
      </c>
      <c r="N31" s="104">
        <v>0.6</v>
      </c>
      <c r="O31" s="104">
        <v>0.6</v>
      </c>
    </row>
    <row r="32" spans="1:15">
      <c r="A32" s="12" t="s">
        <v>283</v>
      </c>
      <c r="D32" s="105"/>
      <c r="E32" s="105">
        <f t="shared" ref="E32:O32" si="9">E30*E31*E20</f>
        <v>6.7422331491428589E-3</v>
      </c>
      <c r="F32" s="105">
        <f t="shared" si="9"/>
        <v>7.5795171428571445E-3</v>
      </c>
      <c r="G32" s="105">
        <f t="shared" si="9"/>
        <v>8.8714285714285718E-3</v>
      </c>
      <c r="H32" s="105">
        <f t="shared" si="9"/>
        <v>7.7729360499352246E-3</v>
      </c>
      <c r="I32" s="105">
        <f t="shared" si="9"/>
        <v>1.4132179482951446E-2</v>
      </c>
      <c r="J32" s="105">
        <f t="shared" si="9"/>
        <v>2.2036336805739441E-2</v>
      </c>
      <c r="K32" s="105">
        <f t="shared" si="9"/>
        <v>2.7155167308985043E-2</v>
      </c>
      <c r="L32" s="105">
        <f t="shared" si="9"/>
        <v>2.8024935270486221E-2</v>
      </c>
      <c r="M32" s="105">
        <f t="shared" si="9"/>
        <v>2.1873440310237687E-2</v>
      </c>
      <c r="N32" s="105">
        <f t="shared" si="9"/>
        <v>2.3653761543797686E-2</v>
      </c>
      <c r="O32" s="105">
        <f t="shared" si="9"/>
        <v>2.9314049620793623E-2</v>
      </c>
    </row>
    <row r="33" spans="1:15">
      <c r="A33" s="55" t="s">
        <v>307</v>
      </c>
      <c r="B33" s="55"/>
      <c r="C33" s="55"/>
      <c r="D33" s="106"/>
      <c r="E33" s="107"/>
      <c r="F33" s="107"/>
      <c r="G33" s="107"/>
      <c r="H33" s="107"/>
      <c r="I33" s="106"/>
      <c r="J33" s="106"/>
      <c r="K33" s="106"/>
      <c r="L33" s="106"/>
      <c r="M33" s="106"/>
      <c r="N33" s="106"/>
      <c r="O33" s="106">
        <f>O30*(1+$C$40)/($G$66-$C$40)*O20*O31</f>
        <v>0.48935933726770542</v>
      </c>
    </row>
    <row r="34" spans="1:15">
      <c r="D34" s="108"/>
      <c r="E34" s="108"/>
      <c r="F34" s="108"/>
      <c r="G34" s="108"/>
      <c r="H34" s="108"/>
      <c r="I34" s="108"/>
      <c r="J34" s="108"/>
      <c r="K34" s="24"/>
      <c r="L34" s="24"/>
      <c r="M34" s="24"/>
    </row>
    <row r="35" spans="1:15">
      <c r="D35" s="108"/>
      <c r="E35" s="108"/>
      <c r="F35" s="108"/>
      <c r="G35" s="108"/>
      <c r="H35" s="108"/>
      <c r="I35" s="108"/>
      <c r="J35" s="108"/>
      <c r="K35" s="24"/>
      <c r="L35" s="24"/>
      <c r="M35" s="24"/>
    </row>
    <row r="36" spans="1:15">
      <c r="E36" s="65"/>
      <c r="O36" s="64"/>
    </row>
    <row r="37" spans="1:15">
      <c r="A37" s="55" t="s">
        <v>308</v>
      </c>
      <c r="I37" s="62"/>
      <c r="O37" s="64"/>
    </row>
    <row r="38" spans="1:15">
      <c r="D38" s="23"/>
      <c r="E38" s="55"/>
      <c r="F38" s="55"/>
      <c r="G38" s="63"/>
    </row>
    <row r="39" spans="1:15">
      <c r="A39" s="34" t="s">
        <v>281</v>
      </c>
      <c r="B39" s="33"/>
      <c r="C39" s="61"/>
      <c r="D39" s="53"/>
      <c r="E39" s="55" t="s">
        <v>282</v>
      </c>
      <c r="H39" s="62"/>
    </row>
    <row r="40" spans="1:15">
      <c r="A40" s="51" t="s">
        <v>223</v>
      </c>
      <c r="B40" s="31"/>
      <c r="C40" s="60">
        <v>0.03</v>
      </c>
      <c r="D40" s="23"/>
    </row>
    <row r="41" spans="1:15">
      <c r="A41" s="51" t="s">
        <v>280</v>
      </c>
      <c r="B41" s="31"/>
      <c r="C41" s="40">
        <f>O17</f>
        <v>91.379559580991071</v>
      </c>
      <c r="D41" s="23"/>
      <c r="E41" s="49"/>
      <c r="F41" s="49"/>
      <c r="G41" s="109" t="s">
        <v>223</v>
      </c>
      <c r="H41" s="59"/>
      <c r="I41" s="59"/>
      <c r="J41" s="59"/>
      <c r="K41" s="59"/>
    </row>
    <row r="42" spans="1:15">
      <c r="A42" s="51" t="s">
        <v>279</v>
      </c>
      <c r="B42" s="31"/>
      <c r="C42" s="57">
        <f>C41*(1+C40)/(G66-C40)</f>
        <v>1525.4610432483107</v>
      </c>
      <c r="D42" s="23"/>
      <c r="E42" s="49"/>
      <c r="F42" s="58" t="e">
        <f>C59</f>
        <v>#REF!</v>
      </c>
      <c r="G42" s="48">
        <v>1.4999999999999999E-2</v>
      </c>
      <c r="H42" s="48">
        <f>G42+0.005</f>
        <v>0.02</v>
      </c>
      <c r="I42" s="48">
        <f>H42+0.005</f>
        <v>2.5000000000000001E-2</v>
      </c>
      <c r="J42" s="48">
        <f>I42+0.005</f>
        <v>3.0000000000000002E-2</v>
      </c>
      <c r="K42" s="48">
        <f>J42+0.005</f>
        <v>3.5000000000000003E-2</v>
      </c>
    </row>
    <row r="43" spans="1:15">
      <c r="A43" s="51" t="s">
        <v>278</v>
      </c>
      <c r="B43" s="31"/>
      <c r="C43" s="52">
        <f>C42/C41</f>
        <v>16.693679092382489</v>
      </c>
      <c r="D43" s="23"/>
      <c r="E43" s="49"/>
      <c r="F43" s="48">
        <v>0.08</v>
      </c>
      <c r="G43" s="46" t="e">
        <f t="dataTable" ref="G43:K47" dt2D="1" dtr="0" r1="C40" r2="G66"/>
        <v>#REF!</v>
      </c>
      <c r="H43" s="46" t="e">
        <v>#REF!</v>
      </c>
      <c r="I43" s="47" t="e">
        <v>#REF!</v>
      </c>
      <c r="J43" s="46" t="e">
        <v>#REF!</v>
      </c>
      <c r="K43" s="46" t="e">
        <v>#REF!</v>
      </c>
    </row>
    <row r="44" spans="1:15">
      <c r="A44" s="51" t="s">
        <v>277</v>
      </c>
      <c r="B44" s="31"/>
      <c r="C44" s="54"/>
      <c r="D44" s="53"/>
      <c r="E44" s="56" t="s">
        <v>93</v>
      </c>
      <c r="F44" s="48">
        <f>F43+0.005</f>
        <v>8.5000000000000006E-2</v>
      </c>
      <c r="G44" s="46" t="e">
        <v>#REF!</v>
      </c>
      <c r="H44" s="46" t="e">
        <v>#REF!</v>
      </c>
      <c r="I44" s="47" t="e">
        <v>#REF!</v>
      </c>
      <c r="J44" s="46" t="e">
        <v>#REF!</v>
      </c>
      <c r="K44" s="46" t="e">
        <v>#REF!</v>
      </c>
    </row>
    <row r="45" spans="1:15">
      <c r="A45" s="51" t="s">
        <v>276</v>
      </c>
      <c r="B45" s="31"/>
      <c r="C45" s="52"/>
      <c r="D45" s="23"/>
      <c r="E45" s="49"/>
      <c r="F45" s="48">
        <f>F44+0.005</f>
        <v>9.0000000000000011E-2</v>
      </c>
      <c r="G45" s="47" t="e">
        <v>#REF!</v>
      </c>
      <c r="H45" s="47" t="e">
        <v>#REF!</v>
      </c>
      <c r="I45" s="47" t="e">
        <v>#REF!</v>
      </c>
      <c r="J45" s="47" t="e">
        <v>#REF!</v>
      </c>
      <c r="K45" s="47" t="e">
        <v>#REF!</v>
      </c>
    </row>
    <row r="46" spans="1:15">
      <c r="A46" s="51" t="s">
        <v>224</v>
      </c>
      <c r="B46" s="31"/>
      <c r="C46" s="50">
        <f>O20</f>
        <v>0.49564818199409499</v>
      </c>
      <c r="D46" s="23"/>
      <c r="E46" s="49"/>
      <c r="F46" s="48">
        <f>F45+0.005</f>
        <v>9.5000000000000015E-2</v>
      </c>
      <c r="G46" s="46" t="e">
        <v>#REF!</v>
      </c>
      <c r="H46" s="46" t="e">
        <v>#REF!</v>
      </c>
      <c r="I46" s="47" t="e">
        <v>#REF!</v>
      </c>
      <c r="J46" s="46" t="e">
        <v>#REF!</v>
      </c>
      <c r="K46" s="46" t="e">
        <v>#REF!</v>
      </c>
    </row>
    <row r="47" spans="1:15">
      <c r="A47" s="28" t="s">
        <v>273</v>
      </c>
      <c r="B47" s="15"/>
      <c r="C47" s="45">
        <f>C42*C46</f>
        <v>756.09199278884068</v>
      </c>
      <c r="D47" s="23"/>
      <c r="E47" s="49"/>
      <c r="F47" s="48">
        <f>F46+0.005</f>
        <v>0.10000000000000002</v>
      </c>
      <c r="G47" s="46" t="e">
        <v>#REF!</v>
      </c>
      <c r="H47" s="46" t="e">
        <v>#REF!</v>
      </c>
      <c r="I47" s="47" t="e">
        <v>#REF!</v>
      </c>
      <c r="J47" s="46" t="e">
        <v>#REF!</v>
      </c>
      <c r="K47" s="46" t="e">
        <v>#REF!</v>
      </c>
    </row>
    <row r="48" spans="1:15">
      <c r="C48" s="44"/>
      <c r="D48" s="23"/>
    </row>
    <row r="49" spans="1:7">
      <c r="A49" s="43" t="s">
        <v>275</v>
      </c>
      <c r="B49" s="42"/>
      <c r="C49" s="41">
        <f>SUM(G21:O21)</f>
        <v>302.51806315637958</v>
      </c>
      <c r="D49" s="23"/>
      <c r="E49" s="34" t="s">
        <v>274</v>
      </c>
      <c r="F49" s="33"/>
      <c r="G49" s="32"/>
    </row>
    <row r="50" spans="1:7">
      <c r="A50" s="21" t="s">
        <v>273</v>
      </c>
      <c r="B50" s="31"/>
      <c r="C50" s="40">
        <f>C47</f>
        <v>756.09199278884068</v>
      </c>
      <c r="D50" s="23"/>
      <c r="E50" s="21" t="s">
        <v>272</v>
      </c>
      <c r="F50" s="18"/>
      <c r="G50" s="20">
        <v>5.5E-2</v>
      </c>
    </row>
    <row r="51" spans="1:7">
      <c r="A51" s="19" t="s">
        <v>271</v>
      </c>
      <c r="B51" s="18"/>
      <c r="C51" s="38">
        <f>C49+C50</f>
        <v>1058.6100559452202</v>
      </c>
      <c r="D51" s="23"/>
      <c r="E51" s="21" t="s">
        <v>270</v>
      </c>
      <c r="F51" s="18"/>
      <c r="G51" s="39">
        <v>1</v>
      </c>
    </row>
    <row r="52" spans="1:7">
      <c r="A52" s="21" t="s">
        <v>304</v>
      </c>
      <c r="B52" s="18"/>
      <c r="C52" s="37"/>
      <c r="D52" s="23"/>
      <c r="E52" s="21" t="s">
        <v>269</v>
      </c>
      <c r="F52" s="18"/>
      <c r="G52" s="20">
        <v>0.05</v>
      </c>
    </row>
    <row r="53" spans="1:7">
      <c r="A53" s="21" t="s">
        <v>305</v>
      </c>
      <c r="B53" s="31"/>
      <c r="C53" s="37">
        <f>-SOTP!E10</f>
        <v>-1938.1314199984577</v>
      </c>
      <c r="D53" s="23"/>
      <c r="E53" s="19" t="s">
        <v>222</v>
      </c>
      <c r="F53" s="18"/>
      <c r="G53" s="17">
        <f>G50+G51*G52</f>
        <v>0.10500000000000001</v>
      </c>
    </row>
    <row r="54" spans="1:7" ht="15" customHeight="1">
      <c r="A54" s="21" t="s">
        <v>306</v>
      </c>
      <c r="B54" s="31"/>
      <c r="C54" s="37" t="e">
        <f>-SOTP!#REF!</f>
        <v>#REF!</v>
      </c>
      <c r="D54" s="23"/>
      <c r="E54" s="21"/>
      <c r="F54" s="18"/>
      <c r="G54" s="17"/>
    </row>
    <row r="55" spans="1:7">
      <c r="A55" s="19" t="s">
        <v>105</v>
      </c>
      <c r="B55" s="18"/>
      <c r="C55" s="38" t="e">
        <f>C51+C52-C53-C54</f>
        <v>#REF!</v>
      </c>
      <c r="D55" s="23"/>
      <c r="E55" s="21" t="s">
        <v>267</v>
      </c>
      <c r="F55" s="18"/>
      <c r="G55" s="20">
        <v>0</v>
      </c>
    </row>
    <row r="56" spans="1:7">
      <c r="A56" s="21" t="s">
        <v>268</v>
      </c>
      <c r="B56" s="31"/>
      <c r="C56" s="37">
        <f>SOTP!E30</f>
        <v>0</v>
      </c>
      <c r="D56" s="23"/>
      <c r="E56" s="28" t="s">
        <v>261</v>
      </c>
      <c r="F56" s="15"/>
      <c r="G56" s="35">
        <f>G55+G50</f>
        <v>5.5E-2</v>
      </c>
    </row>
    <row r="57" spans="1:7">
      <c r="A57" s="19" t="s">
        <v>266</v>
      </c>
      <c r="B57" s="18"/>
      <c r="C57" s="36" t="e">
        <f>MROUND(C55/C56,0.05)</f>
        <v>#REF!</v>
      </c>
      <c r="D57" s="23"/>
    </row>
    <row r="58" spans="1:7" ht="13.5" thickBot="1">
      <c r="A58" s="21" t="s">
        <v>265</v>
      </c>
      <c r="B58" s="31"/>
      <c r="C58" s="30">
        <f>SUM(G32:O32)+O33</f>
        <v>0.67219357223206033</v>
      </c>
      <c r="D58" s="23"/>
      <c r="E58" s="34"/>
      <c r="F58" s="33"/>
      <c r="G58" s="32"/>
    </row>
    <row r="59" spans="1:7" ht="13.5" thickBot="1">
      <c r="A59" s="28" t="s">
        <v>264</v>
      </c>
      <c r="B59" s="15"/>
      <c r="C59" s="27" t="e">
        <f>C57+C58</f>
        <v>#REF!</v>
      </c>
      <c r="D59" s="23"/>
      <c r="E59" s="19" t="s">
        <v>263</v>
      </c>
      <c r="F59" s="18"/>
      <c r="G59" s="29"/>
    </row>
    <row r="60" spans="1:7" ht="12" customHeight="1" thickBot="1">
      <c r="A60" s="21"/>
      <c r="B60" s="31"/>
      <c r="C60" s="30"/>
      <c r="D60" s="23"/>
      <c r="E60" s="21" t="s">
        <v>222</v>
      </c>
      <c r="F60" s="18"/>
      <c r="G60" s="26">
        <f>G53</f>
        <v>0.10500000000000001</v>
      </c>
    </row>
    <row r="61" spans="1:7" ht="13.5" thickBot="1">
      <c r="A61" s="28" t="s">
        <v>262</v>
      </c>
      <c r="B61" s="15"/>
      <c r="C61" s="27" t="e">
        <f>C59*(1+G66)-F28</f>
        <v>#REF!</v>
      </c>
      <c r="D61" s="23"/>
      <c r="E61" s="21" t="s">
        <v>261</v>
      </c>
      <c r="F61" s="18"/>
      <c r="G61" s="25">
        <f>G56</f>
        <v>5.5E-2</v>
      </c>
    </row>
    <row r="62" spans="1:7" ht="14.25" customHeight="1">
      <c r="C62" s="24"/>
      <c r="D62" s="23"/>
      <c r="E62" s="21" t="s">
        <v>52</v>
      </c>
      <c r="F62" s="18"/>
      <c r="G62" s="17">
        <f>I9</f>
        <v>0.3</v>
      </c>
    </row>
    <row r="63" spans="1:7" ht="15" customHeight="1">
      <c r="C63" s="22"/>
      <c r="D63" s="23"/>
      <c r="E63" s="21" t="s">
        <v>260</v>
      </c>
      <c r="F63" s="18"/>
      <c r="G63" s="17">
        <f>G61*(1-G62)</f>
        <v>3.85E-2</v>
      </c>
    </row>
    <row r="64" spans="1:7">
      <c r="C64" s="22"/>
      <c r="E64" s="21" t="s">
        <v>259</v>
      </c>
      <c r="F64" s="18"/>
      <c r="G64" s="17">
        <f>1-G65</f>
        <v>0.8</v>
      </c>
    </row>
    <row r="65" spans="5:7">
      <c r="E65" s="21" t="s">
        <v>258</v>
      </c>
      <c r="F65" s="18"/>
      <c r="G65" s="20">
        <v>0.2</v>
      </c>
    </row>
    <row r="66" spans="5:7">
      <c r="E66" s="19" t="s">
        <v>93</v>
      </c>
      <c r="F66" s="18"/>
      <c r="G66" s="17">
        <f>G53*G64+G63*G65</f>
        <v>9.1700000000000018E-2</v>
      </c>
    </row>
    <row r="67" spans="5:7">
      <c r="E67" s="16"/>
      <c r="F67" s="15"/>
      <c r="G67" s="14"/>
    </row>
    <row r="71" spans="5:7" ht="12.75" customHeight="1"/>
    <row r="72" spans="5:7" ht="12.75" customHeight="1"/>
    <row r="87" ht="12.75" customHeight="1"/>
    <row r="100" spans="1:15" ht="15" customHeight="1"/>
    <row r="101" spans="1:15" s="13" customFormat="1" ht="1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15" s="13" customFormat="1" ht="1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15" ht="15" customHeight="1"/>
    <row r="104" spans="1:15" ht="15" customHeight="1"/>
    <row r="105" spans="1:15" ht="15" customHeight="1"/>
    <row r="106" spans="1:15" ht="15.75" customHeight="1"/>
  </sheetData>
  <printOptions horizontalCentered="1"/>
  <pageMargins left="0.25" right="0.25" top="0.75" bottom="0.5" header="0.25" footer="0.25"/>
  <pageSetup paperSize="187" scale="30" orientation="portrait" r:id="rId1"/>
  <headerFooter alignWithMargins="0">
    <oddFooter>&amp;C&amp;P of &amp;N</oddFooter>
  </headerFooter>
  <customProperties>
    <customPr name="Qube.Worksheet.Visibility" r:id="rId2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theme="4"/>
  </sheetPr>
  <dimension ref="A1:BC409"/>
  <sheetViews>
    <sheetView zoomScaleNormal="100" workbookViewId="0">
      <pane xSplit="2" ySplit="2" topLeftCell="N3" activePane="bottomRight" state="frozen"/>
      <selection activeCell="B5" sqref="B5 C11"/>
      <selection pane="topRight" activeCell="B5" sqref="B5 C11"/>
      <selection pane="bottomLeft" activeCell="B5" sqref="B5 C11"/>
      <selection pane="bottomRight" activeCell="B1" sqref="B1"/>
    </sheetView>
  </sheetViews>
  <sheetFormatPr defaultColWidth="10.28515625" defaultRowHeight="12.75" outlineLevelRow="1" outlineLevelCol="2"/>
  <cols>
    <col min="1" max="1" width="23.7109375" style="290" hidden="1" customWidth="1"/>
    <col min="2" max="2" width="45.7109375" style="305" customWidth="1"/>
    <col min="3" max="4" width="10.7109375" style="305" hidden="1" customWidth="1" outlineLevel="1"/>
    <col min="5" max="5" width="10.7109375" style="305" hidden="1" customWidth="1" collapsed="1"/>
    <col min="6" max="7" width="10.7109375" style="305" hidden="1" customWidth="1" outlineLevel="1"/>
    <col min="8" max="8" width="10.7109375" style="305" hidden="1" customWidth="1" collapsed="1"/>
    <col min="9" max="10" width="10.7109375" style="305" hidden="1" customWidth="1" outlineLevel="1"/>
    <col min="11" max="11" width="10.7109375" style="305" hidden="1" customWidth="1" collapsed="1"/>
    <col min="12" max="13" width="10.7109375" style="305" hidden="1" customWidth="1" outlineLevel="1"/>
    <col min="14" max="14" width="10.7109375" style="305" customWidth="1" collapsed="1"/>
    <col min="15" max="16" width="10.7109375" style="305" hidden="1" customWidth="1" outlineLevel="1"/>
    <col min="17" max="17" width="11.28515625" style="305" customWidth="1" collapsed="1"/>
    <col min="18" max="19" width="10.7109375" style="305" hidden="1" customWidth="1" outlineLevel="1"/>
    <col min="20" max="20" width="10.7109375" style="305" customWidth="1" collapsed="1"/>
    <col min="21" max="21" width="10.7109375" style="305" hidden="1" customWidth="1" outlineLevel="1"/>
    <col min="22" max="22" width="10.7109375" style="305" hidden="1" customWidth="1" outlineLevel="2"/>
    <col min="23" max="23" width="10.7109375" style="305" customWidth="1" collapsed="1"/>
    <col min="24" max="24" width="10.7109375" style="305" hidden="1" customWidth="1" outlineLevel="1"/>
    <col min="25" max="25" width="10.7109375" style="305" hidden="1" customWidth="1" outlineLevel="2"/>
    <col min="26" max="26" width="10.7109375" style="305" customWidth="1" collapsed="1"/>
    <col min="27" max="28" width="10.7109375" style="305" hidden="1" customWidth="1" outlineLevel="1"/>
    <col min="29" max="29" width="10.7109375" style="305" customWidth="1" collapsed="1"/>
    <col min="30" max="31" width="10.7109375" style="305" hidden="1" customWidth="1" outlineLevel="1"/>
    <col min="32" max="32" width="10.7109375" style="305" customWidth="1" collapsed="1"/>
    <col min="33" max="34" width="10.7109375" style="305" hidden="1" customWidth="1" outlineLevel="1"/>
    <col min="35" max="35" width="10.7109375" style="305" customWidth="1" collapsed="1"/>
    <col min="36" max="37" width="10.7109375" style="305" hidden="1" customWidth="1" outlineLevel="1"/>
    <col min="38" max="38" width="10.7109375" style="305" customWidth="1" collapsed="1"/>
    <col min="39" max="40" width="10.7109375" style="305" hidden="1" customWidth="1" outlineLevel="1"/>
    <col min="41" max="41" width="10.7109375" style="305" customWidth="1" collapsed="1"/>
    <col min="42" max="43" width="10.7109375" style="305" customWidth="1" outlineLevel="1"/>
    <col min="44" max="47" width="10.7109375" style="305" customWidth="1"/>
    <col min="48" max="16384" width="10.28515625" style="305"/>
  </cols>
  <sheetData>
    <row r="1" spans="1:47" s="291" customFormat="1" ht="30" customHeight="1">
      <c r="A1" s="290"/>
      <c r="B1" s="357" t="s">
        <v>346</v>
      </c>
      <c r="K1" s="379"/>
      <c r="N1" s="379"/>
      <c r="Q1" s="379"/>
      <c r="R1" s="379"/>
      <c r="S1" s="379"/>
      <c r="T1" s="379"/>
      <c r="V1" s="379"/>
      <c r="Y1" s="379"/>
      <c r="Z1" s="608" t="s">
        <v>690</v>
      </c>
      <c r="AJ1" s="671"/>
      <c r="AM1" s="671"/>
      <c r="AP1" s="671"/>
      <c r="AR1" s="1149"/>
      <c r="AS1" s="1149"/>
    </row>
    <row r="2" spans="1:47">
      <c r="A2" s="198"/>
      <c r="B2" s="296" t="s">
        <v>129</v>
      </c>
      <c r="C2" s="298" t="s">
        <v>216</v>
      </c>
      <c r="D2" s="298" t="s">
        <v>215</v>
      </c>
      <c r="E2" s="297">
        <v>2012</v>
      </c>
      <c r="F2" s="298" t="s">
        <v>216</v>
      </c>
      <c r="G2" s="298" t="s">
        <v>215</v>
      </c>
      <c r="H2" s="297">
        <v>2013</v>
      </c>
      <c r="I2" s="298" t="s">
        <v>216</v>
      </c>
      <c r="J2" s="298" t="s">
        <v>215</v>
      </c>
      <c r="K2" s="297">
        <v>2014</v>
      </c>
      <c r="L2" s="299" t="str">
        <f>"1H"&amp;RIGHT(N2,2)</f>
        <v>1H15</v>
      </c>
      <c r="M2" s="299" t="str">
        <f>"2H"&amp;RIGHT(N2,2)</f>
        <v>2H15</v>
      </c>
      <c r="N2" s="297">
        <v>2015</v>
      </c>
      <c r="O2" s="299" t="str">
        <f>"1H"&amp;RIGHT(Q2,2)</f>
        <v>1H16</v>
      </c>
      <c r="P2" s="299" t="str">
        <f>"2H"&amp;RIGHT(Q2,2)</f>
        <v>2H16</v>
      </c>
      <c r="Q2" s="297">
        <v>2016</v>
      </c>
      <c r="R2" s="299" t="str">
        <f>"1H"&amp;RIGHT(T2,2)</f>
        <v>1H17</v>
      </c>
      <c r="S2" s="299" t="str">
        <f>"2H"&amp;RIGHT(T2,2)</f>
        <v>2H17</v>
      </c>
      <c r="T2" s="297">
        <v>2017</v>
      </c>
      <c r="U2" s="299" t="str">
        <f>"1H"&amp;RIGHT(W2,2)</f>
        <v>1H18</v>
      </c>
      <c r="V2" s="299" t="str">
        <f>"2H"&amp;RIGHT(W2,2)</f>
        <v>2H18</v>
      </c>
      <c r="W2" s="297">
        <v>2018</v>
      </c>
      <c r="X2" s="299" t="str">
        <f>"1H"&amp;RIGHT(Z2,2)</f>
        <v>1H19</v>
      </c>
      <c r="Y2" s="299" t="str">
        <f>"2H"&amp;RIGHT(Z2,2)</f>
        <v>2H19</v>
      </c>
      <c r="Z2" s="297">
        <v>2019</v>
      </c>
      <c r="AA2" s="299" t="str">
        <f>"1H"&amp;RIGHT(AC2,2)</f>
        <v>1H20</v>
      </c>
      <c r="AB2" s="299" t="str">
        <f>"2H"&amp;RIGHT(AC2,2)</f>
        <v>2H20</v>
      </c>
      <c r="AC2" s="297">
        <v>2020</v>
      </c>
      <c r="AD2" s="299" t="str">
        <f>"1H"&amp;RIGHT(AF2,2)</f>
        <v>1H21</v>
      </c>
      <c r="AE2" s="299" t="str">
        <f>"2H"&amp;RIGHT(AF2,2)</f>
        <v>2H21</v>
      </c>
      <c r="AF2" s="297">
        <v>2021</v>
      </c>
      <c r="AG2" s="299" t="s">
        <v>566</v>
      </c>
      <c r="AH2" s="299" t="s">
        <v>625</v>
      </c>
      <c r="AI2" s="297">
        <v>2022</v>
      </c>
      <c r="AJ2" s="298" t="s">
        <v>626</v>
      </c>
      <c r="AK2" s="298" t="s">
        <v>657</v>
      </c>
      <c r="AL2" s="297">
        <v>2023</v>
      </c>
      <c r="AM2" s="298" t="s">
        <v>660</v>
      </c>
      <c r="AN2" s="298" t="s">
        <v>661</v>
      </c>
      <c r="AO2" s="297">
        <v>2024</v>
      </c>
      <c r="AP2" s="298" t="s">
        <v>712</v>
      </c>
      <c r="AQ2" s="298" t="s">
        <v>1064</v>
      </c>
      <c r="AR2" s="297">
        <v>2025</v>
      </c>
      <c r="AS2" s="297" t="s">
        <v>240</v>
      </c>
      <c r="AT2" s="297" t="s">
        <v>241</v>
      </c>
      <c r="AU2" s="297" t="s">
        <v>345</v>
      </c>
    </row>
    <row r="3" spans="1:47">
      <c r="B3" s="301" t="s">
        <v>678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2"/>
      <c r="AE3" s="302"/>
      <c r="AF3" s="302"/>
      <c r="AG3" s="302"/>
      <c r="AH3" s="302"/>
      <c r="AI3" s="302"/>
      <c r="AJ3" s="302"/>
      <c r="AK3" s="302"/>
      <c r="AL3" s="302"/>
      <c r="AM3" s="302"/>
      <c r="AN3" s="302"/>
      <c r="AO3" s="302"/>
      <c r="AP3" s="302"/>
      <c r="AQ3" s="302"/>
      <c r="AR3" s="302"/>
      <c r="AS3" s="302"/>
      <c r="AT3" s="302"/>
      <c r="AU3" s="304"/>
    </row>
    <row r="4" spans="1:47">
      <c r="B4" s="380" t="s">
        <v>111</v>
      </c>
      <c r="C4" s="510"/>
      <c r="D4" s="511"/>
      <c r="E4" s="511"/>
      <c r="F4" s="510"/>
      <c r="G4" s="511"/>
      <c r="H4" s="511"/>
      <c r="I4" s="510"/>
      <c r="J4" s="511"/>
      <c r="K4" s="511"/>
      <c r="L4" s="510"/>
      <c r="M4" s="511"/>
      <c r="N4" s="511"/>
      <c r="O4" s="511"/>
      <c r="P4" s="511"/>
      <c r="Q4" s="511"/>
      <c r="R4" s="512"/>
      <c r="S4" s="511"/>
      <c r="T4" s="511"/>
      <c r="U4" s="511"/>
      <c r="V4" s="511"/>
      <c r="W4" s="511"/>
      <c r="X4" s="511"/>
      <c r="Y4" s="511"/>
      <c r="Z4" s="511"/>
      <c r="AA4" s="311"/>
      <c r="AB4" s="311"/>
      <c r="AC4" s="311"/>
      <c r="AD4" s="311"/>
      <c r="AE4" s="311"/>
      <c r="AF4" s="311"/>
      <c r="AG4" s="311"/>
      <c r="AH4" s="311"/>
      <c r="AI4" s="311"/>
      <c r="AJ4" s="381">
        <f>+AJ8/AL8</f>
        <v>0.46233248822890266</v>
      </c>
      <c r="AK4" s="381"/>
      <c r="AL4" s="311"/>
      <c r="AM4" s="381"/>
      <c r="AN4" s="381"/>
      <c r="AO4" s="311"/>
      <c r="AP4" s="311"/>
      <c r="AQ4" s="381"/>
      <c r="AR4" s="311"/>
      <c r="AS4" s="381"/>
      <c r="AT4" s="311"/>
      <c r="AU4" s="311"/>
    </row>
    <row r="5" spans="1:47">
      <c r="A5" s="290" t="s">
        <v>526</v>
      </c>
      <c r="B5" s="382" t="s">
        <v>608</v>
      </c>
      <c r="C5" s="513"/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514">
        <v>62.9</v>
      </c>
      <c r="O5" s="513"/>
      <c r="P5" s="513"/>
      <c r="Q5" s="514">
        <v>85.8</v>
      </c>
      <c r="R5" s="513"/>
      <c r="S5" s="513"/>
      <c r="T5" s="514">
        <v>120.5</v>
      </c>
      <c r="U5" s="514">
        <v>71.7</v>
      </c>
      <c r="V5" s="514">
        <v>93.399999999999991</v>
      </c>
      <c r="W5" s="514">
        <v>165.1</v>
      </c>
      <c r="X5" s="514">
        <v>105.7</v>
      </c>
      <c r="Y5" s="514">
        <v>124.39999999999999</v>
      </c>
      <c r="Z5" s="514">
        <v>230.1</v>
      </c>
      <c r="AA5" s="384">
        <f>REVENUE!AN70</f>
        <v>91.8</v>
      </c>
      <c r="AB5" s="384">
        <f>REVENUE!AO70</f>
        <v>94.7</v>
      </c>
      <c r="AC5" s="384">
        <f>REVENUE!AP70</f>
        <v>186.5</v>
      </c>
      <c r="AD5" s="384">
        <f>REVENUE!AQ70</f>
        <v>112.6</v>
      </c>
      <c r="AE5" s="384">
        <f>REVENUE!AR70</f>
        <v>146.20000000000002</v>
      </c>
      <c r="AF5" s="384">
        <f>REVENUE!AS70</f>
        <v>258.8</v>
      </c>
      <c r="AG5" s="384">
        <f>REVENUE!AT70</f>
        <v>149.19999999999999</v>
      </c>
      <c r="AH5" s="384">
        <f>REVENUE!AU70</f>
        <v>191.3</v>
      </c>
      <c r="AI5" s="384">
        <f>REVENUE!AV70</f>
        <v>340.5</v>
      </c>
      <c r="AJ5" s="384">
        <f>REVENUE!AW70</f>
        <v>203.1</v>
      </c>
      <c r="AK5" s="384">
        <f>REVENUE!AX70</f>
        <v>242.79999999999998</v>
      </c>
      <c r="AL5" s="384">
        <f>REVENUE!AY70</f>
        <v>445.9</v>
      </c>
      <c r="AM5" s="384">
        <f>REVENUE!AZ70</f>
        <v>274.89999999999998</v>
      </c>
      <c r="AN5" s="384">
        <f>REVENUE!BA70</f>
        <v>302.80000000000007</v>
      </c>
      <c r="AO5" s="384">
        <f>REVENUE!BB70</f>
        <v>577.70000000000005</v>
      </c>
      <c r="AP5" s="384">
        <f>REVENUE!BC70</f>
        <v>331.7</v>
      </c>
      <c r="AQ5" s="384">
        <f>REVENUE!BD70</f>
        <v>350.50000000000006</v>
      </c>
      <c r="AR5" s="384">
        <f>REVENUE!BE70</f>
        <v>682.2</v>
      </c>
      <c r="AS5" s="384">
        <f>REVENUE!BF70</f>
        <v>801.58500000000004</v>
      </c>
      <c r="AT5" s="384">
        <f>REVENUE!BG70</f>
        <v>1001.98125</v>
      </c>
      <c r="AU5" s="384">
        <f>REVENUE!BH70</f>
        <v>1242.4567500000001</v>
      </c>
    </row>
    <row r="6" spans="1:47">
      <c r="A6" s="290" t="s">
        <v>527</v>
      </c>
      <c r="B6" s="382" t="s">
        <v>674</v>
      </c>
      <c r="C6" s="513"/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4">
        <v>16.699999999999996</v>
      </c>
      <c r="O6" s="513"/>
      <c r="P6" s="513"/>
      <c r="Q6" s="514">
        <v>17.499999999999996</v>
      </c>
      <c r="R6" s="513"/>
      <c r="S6" s="513"/>
      <c r="T6" s="514">
        <v>33.299999999999997</v>
      </c>
      <c r="U6" s="514">
        <v>21.7</v>
      </c>
      <c r="V6" s="514">
        <v>34.799999999999997</v>
      </c>
      <c r="W6" s="514">
        <v>56.5</v>
      </c>
      <c r="X6" s="514">
        <v>51</v>
      </c>
      <c r="Y6" s="514">
        <v>67.099999999999994</v>
      </c>
      <c r="Z6" s="514">
        <v>118.1</v>
      </c>
      <c r="AA6" s="384">
        <f>REVENUE!AN71</f>
        <v>49.5</v>
      </c>
      <c r="AB6" s="384">
        <f>REVENUE!AO71</f>
        <v>51.900000000000006</v>
      </c>
      <c r="AC6" s="384">
        <f>REVENUE!AP71</f>
        <v>101.4</v>
      </c>
      <c r="AD6" s="384">
        <f>REVENUE!AQ71</f>
        <v>57.4</v>
      </c>
      <c r="AE6" s="384">
        <f>REVENUE!AR71</f>
        <v>60.800000000000004</v>
      </c>
      <c r="AF6" s="384">
        <f>REVENUE!AS71</f>
        <v>118.2</v>
      </c>
      <c r="AG6" s="384">
        <f>REVENUE!AT71</f>
        <v>58.5</v>
      </c>
      <c r="AH6" s="384">
        <f>REVENUE!AU71</f>
        <v>61.900000000000006</v>
      </c>
      <c r="AI6" s="384">
        <f>REVENUE!AV71</f>
        <v>120.4</v>
      </c>
      <c r="AJ6" s="384">
        <f>REVENUE!AW71</f>
        <v>52.2</v>
      </c>
      <c r="AK6" s="384">
        <f>REVENUE!AX71</f>
        <v>54.099999999999994</v>
      </c>
      <c r="AL6" s="384">
        <f>REVENUE!AY71</f>
        <v>106.3</v>
      </c>
      <c r="AM6" s="384">
        <f>REVENUE!AZ71</f>
        <v>52.1</v>
      </c>
      <c r="AN6" s="384">
        <f>REVENUE!BA71</f>
        <v>53.800000000000004</v>
      </c>
      <c r="AO6" s="384">
        <f>REVENUE!BB71</f>
        <v>105.9</v>
      </c>
      <c r="AP6" s="384">
        <f>REVENUE!BC71</f>
        <v>49.3</v>
      </c>
      <c r="AQ6" s="384">
        <f>REVENUE!BD71</f>
        <v>47.2</v>
      </c>
      <c r="AR6" s="384">
        <f>REVENUE!BE71</f>
        <v>96.5</v>
      </c>
      <c r="AS6" s="384">
        <f>REVENUE!BF71</f>
        <v>614.12895397030002</v>
      </c>
      <c r="AT6" s="384">
        <f>REVENUE!BG71</f>
        <v>666.96128411076995</v>
      </c>
      <c r="AU6" s="384">
        <f>REVENUE!BH71</f>
        <v>681.35099305150095</v>
      </c>
    </row>
    <row r="7" spans="1:47" hidden="1">
      <c r="A7" s="290" t="s">
        <v>528</v>
      </c>
      <c r="B7" s="382"/>
      <c r="C7" s="513"/>
      <c r="D7" s="511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513"/>
      <c r="P7" s="513"/>
      <c r="Q7" s="513"/>
      <c r="R7" s="513"/>
      <c r="S7" s="513"/>
      <c r="T7" s="513"/>
      <c r="U7" s="513"/>
      <c r="V7" s="513"/>
      <c r="W7" s="513"/>
      <c r="X7" s="513"/>
      <c r="Y7" s="513"/>
      <c r="Z7" s="513"/>
      <c r="AA7" s="383"/>
      <c r="AB7" s="383"/>
      <c r="AC7" s="383"/>
      <c r="AD7" s="383"/>
      <c r="AE7" s="383"/>
      <c r="AF7" s="383"/>
      <c r="AG7" s="383"/>
      <c r="AH7" s="383"/>
      <c r="AI7" s="383"/>
      <c r="AJ7" s="383"/>
      <c r="AK7" s="383"/>
      <c r="AL7" s="383"/>
      <c r="AM7" s="383"/>
      <c r="AN7" s="383"/>
      <c r="AO7" s="383"/>
      <c r="AP7" s="383"/>
      <c r="AQ7" s="383"/>
      <c r="AR7" s="383"/>
      <c r="AS7" s="383"/>
      <c r="AT7" s="384">
        <f>REVENUE!BG7</f>
        <v>0</v>
      </c>
      <c r="AU7" s="384">
        <f>REVENUE!BH7</f>
        <v>0</v>
      </c>
    </row>
    <row r="8" spans="1:47" s="388" customFormat="1">
      <c r="A8" s="370" t="s">
        <v>529</v>
      </c>
      <c r="B8" s="385" t="s">
        <v>109</v>
      </c>
      <c r="C8" s="515">
        <f>+C5</f>
        <v>0</v>
      </c>
      <c r="D8" s="515">
        <f>+D5</f>
        <v>0</v>
      </c>
      <c r="E8" s="516"/>
      <c r="F8" s="516"/>
      <c r="G8" s="516"/>
      <c r="H8" s="516"/>
      <c r="I8" s="516"/>
      <c r="J8" s="516"/>
      <c r="K8" s="516"/>
      <c r="L8" s="516"/>
      <c r="M8" s="516"/>
      <c r="N8" s="515">
        <f t="shared" ref="N8:Z8" si="0">SUM(N5:N7)</f>
        <v>79.599999999999994</v>
      </c>
      <c r="O8" s="517">
        <v>49.3</v>
      </c>
      <c r="P8" s="517">
        <v>54.000000000000014</v>
      </c>
      <c r="Q8" s="515">
        <f t="shared" si="0"/>
        <v>103.3</v>
      </c>
      <c r="R8" s="517">
        <v>71.100000000000009</v>
      </c>
      <c r="S8" s="517">
        <v>82.7</v>
      </c>
      <c r="T8" s="515">
        <f t="shared" si="0"/>
        <v>153.80000000000001</v>
      </c>
      <c r="U8" s="515">
        <f t="shared" si="0"/>
        <v>93.4</v>
      </c>
      <c r="V8" s="515">
        <f t="shared" si="0"/>
        <v>128.19999999999999</v>
      </c>
      <c r="W8" s="515">
        <f t="shared" si="0"/>
        <v>221.6</v>
      </c>
      <c r="X8" s="515">
        <f t="shared" si="0"/>
        <v>156.69999999999999</v>
      </c>
      <c r="Y8" s="515">
        <f t="shared" si="0"/>
        <v>191.5</v>
      </c>
      <c r="Z8" s="515">
        <f t="shared" si="0"/>
        <v>348.2</v>
      </c>
      <c r="AA8" s="386">
        <f t="shared" ref="AA8:AE8" si="1">SUM(AA5:AA7)</f>
        <v>141.30000000000001</v>
      </c>
      <c r="AB8" s="386">
        <f t="shared" si="1"/>
        <v>146.60000000000002</v>
      </c>
      <c r="AC8" s="386">
        <f t="shared" si="1"/>
        <v>287.89999999999998</v>
      </c>
      <c r="AD8" s="386">
        <f t="shared" si="1"/>
        <v>170</v>
      </c>
      <c r="AE8" s="386">
        <f t="shared" si="1"/>
        <v>207.00000000000003</v>
      </c>
      <c r="AF8" s="386">
        <f>SUM(AF5:AF7)</f>
        <v>377</v>
      </c>
      <c r="AG8" s="386">
        <f t="shared" ref="AG8:AT8" si="2">SUM(AG5:AG7)</f>
        <v>207.7</v>
      </c>
      <c r="AH8" s="386">
        <f>SUM(AH5:AH7)</f>
        <v>253.20000000000002</v>
      </c>
      <c r="AI8" s="386">
        <f t="shared" si="2"/>
        <v>460.9</v>
      </c>
      <c r="AJ8" s="386">
        <f>SUM(AJ5:AJ7)</f>
        <v>255.3</v>
      </c>
      <c r="AK8" s="386">
        <f>SUM(AK5:AK7)</f>
        <v>296.89999999999998</v>
      </c>
      <c r="AL8" s="386">
        <f t="shared" si="2"/>
        <v>552.19999999999993</v>
      </c>
      <c r="AM8" s="386">
        <f>SUM(AM5:AM7)</f>
        <v>327</v>
      </c>
      <c r="AN8" s="386">
        <f>SUM(AN5:AN7)</f>
        <v>356.60000000000008</v>
      </c>
      <c r="AO8" s="386">
        <f t="shared" si="2"/>
        <v>683.6</v>
      </c>
      <c r="AP8" s="386">
        <f>SUM(AP5:AP7)</f>
        <v>381</v>
      </c>
      <c r="AQ8" s="386">
        <f>SUM(AQ5:AQ7)</f>
        <v>397.70000000000005</v>
      </c>
      <c r="AR8" s="386">
        <f t="shared" ref="AR8" si="3">SUM(AR5:AR7)</f>
        <v>778.7</v>
      </c>
      <c r="AS8" s="386">
        <f t="shared" si="2"/>
        <v>1415.7139539703001</v>
      </c>
      <c r="AT8" s="386">
        <f t="shared" si="2"/>
        <v>1668.9425341107699</v>
      </c>
      <c r="AU8" s="386">
        <f t="shared" ref="AU8" si="4">SUM(AU5:AU7)</f>
        <v>1923.8077430515009</v>
      </c>
    </row>
    <row r="9" spans="1:47" s="391" customFormat="1">
      <c r="A9" s="337" t="s">
        <v>531</v>
      </c>
      <c r="B9" s="389" t="s">
        <v>253</v>
      </c>
      <c r="C9" s="518"/>
      <c r="D9" s="518"/>
      <c r="E9" s="518"/>
      <c r="F9" s="518"/>
      <c r="G9" s="518"/>
      <c r="H9" s="518"/>
      <c r="I9" s="518"/>
      <c r="J9" s="518"/>
      <c r="K9" s="518"/>
      <c r="L9" s="518"/>
      <c r="M9" s="518"/>
      <c r="N9" s="518"/>
      <c r="O9" s="518"/>
      <c r="P9" s="518"/>
      <c r="Q9" s="519">
        <f t="shared" ref="Q9:Z9" si="5">+Q8/N8-1</f>
        <v>0.29773869346733672</v>
      </c>
      <c r="R9" s="519">
        <f t="shared" si="5"/>
        <v>0.442190669371197</v>
      </c>
      <c r="S9" s="519">
        <f t="shared" si="5"/>
        <v>0.53148148148148122</v>
      </c>
      <c r="T9" s="519">
        <f t="shared" si="5"/>
        <v>0.48886737657308821</v>
      </c>
      <c r="U9" s="520">
        <f t="shared" si="5"/>
        <v>0.31364275668073138</v>
      </c>
      <c r="V9" s="520">
        <f t="shared" si="5"/>
        <v>0.55018137847642068</v>
      </c>
      <c r="W9" s="520">
        <f t="shared" si="5"/>
        <v>0.44083224967490242</v>
      </c>
      <c r="X9" s="520">
        <f t="shared" si="5"/>
        <v>0.67773019271948587</v>
      </c>
      <c r="Y9" s="520">
        <f t="shared" si="5"/>
        <v>0.49375975039001574</v>
      </c>
      <c r="Z9" s="520">
        <f t="shared" si="5"/>
        <v>0.57129963898916958</v>
      </c>
      <c r="AA9" s="606">
        <v>0.3133375877472877</v>
      </c>
      <c r="AB9" s="606">
        <v>0.16814621409921671</v>
      </c>
      <c r="AC9" s="606">
        <v>0.23348650201033894</v>
      </c>
      <c r="AD9" s="390">
        <f t="shared" ref="AD9:AK9" si="6">+AD8/AA8-1</f>
        <v>0.20311394196744503</v>
      </c>
      <c r="AE9" s="390">
        <f t="shared" si="6"/>
        <v>0.41200545702592084</v>
      </c>
      <c r="AF9" s="390">
        <f t="shared" si="6"/>
        <v>0.30948245918721784</v>
      </c>
      <c r="AG9" s="390">
        <f t="shared" si="6"/>
        <v>0.22176470588235286</v>
      </c>
      <c r="AH9" s="390">
        <f t="shared" si="6"/>
        <v>0.22318840579710142</v>
      </c>
      <c r="AI9" s="390">
        <f t="shared" si="6"/>
        <v>0.22254641909814321</v>
      </c>
      <c r="AJ9" s="390">
        <f t="shared" si="6"/>
        <v>0.22917669715936451</v>
      </c>
      <c r="AK9" s="390">
        <f t="shared" si="6"/>
        <v>0.17259083728278024</v>
      </c>
      <c r="AL9" s="390">
        <f>+AL8/AI8-1</f>
        <v>0.19809069212410502</v>
      </c>
      <c r="AM9" s="390">
        <f t="shared" ref="AM9" si="7">+AM8/AJ8-1</f>
        <v>0.28084606345475915</v>
      </c>
      <c r="AN9" s="390">
        <f t="shared" ref="AN9" si="8">+AN8/AK8-1</f>
        <v>0.20107780397440256</v>
      </c>
      <c r="AO9" s="390">
        <f>+AO8/AL8-1</f>
        <v>0.23795726186164456</v>
      </c>
      <c r="AP9" s="390">
        <f t="shared" ref="AP9" si="9">+AP8/AM8-1</f>
        <v>0.16513761467889898</v>
      </c>
      <c r="AQ9" s="390">
        <f t="shared" ref="AQ9" si="10">+AQ8/AN8-1</f>
        <v>0.11525518788558586</v>
      </c>
      <c r="AR9" s="390">
        <f>+AR8/AO8-1</f>
        <v>0.13911644236395548</v>
      </c>
      <c r="AS9" s="669">
        <f>+AS8/AR8-1</f>
        <v>0.81804796965493765</v>
      </c>
      <c r="AT9" s="669">
        <f>+AT8/AS8-1</f>
        <v>0.17886987652435216</v>
      </c>
      <c r="AU9" s="390">
        <f t="shared" ref="AU9" si="11">+AU8/AT8-1</f>
        <v>0.15271059592026393</v>
      </c>
    </row>
    <row r="10" spans="1:47">
      <c r="B10" s="392"/>
      <c r="C10" s="511"/>
      <c r="D10" s="511"/>
      <c r="E10" s="511"/>
      <c r="F10" s="511"/>
      <c r="G10" s="511"/>
      <c r="H10" s="521"/>
      <c r="I10" s="511"/>
      <c r="J10" s="511"/>
      <c r="K10" s="522"/>
      <c r="L10" s="511"/>
      <c r="M10" s="511"/>
      <c r="N10" s="522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383"/>
      <c r="AB10" s="383"/>
      <c r="AC10" s="383"/>
      <c r="AD10" s="383"/>
      <c r="AE10" s="383"/>
      <c r="AF10" s="383"/>
      <c r="AG10" s="383"/>
      <c r="AH10" s="383"/>
      <c r="AI10" s="383"/>
      <c r="AJ10" s="383"/>
      <c r="AK10" s="383"/>
      <c r="AL10" s="383"/>
      <c r="AM10" s="383"/>
      <c r="AN10" s="383"/>
      <c r="AO10" s="383"/>
      <c r="AP10" s="383"/>
      <c r="AQ10" s="383"/>
      <c r="AR10" s="383"/>
      <c r="AS10" s="383"/>
      <c r="AT10" s="383"/>
      <c r="AU10" s="383"/>
    </row>
    <row r="11" spans="1:47">
      <c r="A11" s="290" t="s">
        <v>530</v>
      </c>
      <c r="B11" s="392" t="s">
        <v>348</v>
      </c>
      <c r="C11" s="511"/>
      <c r="D11" s="511"/>
      <c r="E11" s="511"/>
      <c r="F11" s="511"/>
      <c r="G11" s="511"/>
      <c r="H11" s="511"/>
      <c r="I11" s="511"/>
      <c r="J11" s="511"/>
      <c r="K11" s="511"/>
      <c r="L11" s="511"/>
      <c r="M11" s="511"/>
      <c r="N11" s="523">
        <f t="shared" ref="N11:Z11" si="12">N8-N12</f>
        <v>12.899999999999991</v>
      </c>
      <c r="O11" s="523">
        <f t="shared" si="12"/>
        <v>6</v>
      </c>
      <c r="P11" s="523">
        <f t="shared" si="12"/>
        <v>7.1000000000000085</v>
      </c>
      <c r="Q11" s="523">
        <f t="shared" si="12"/>
        <v>13.099999999999994</v>
      </c>
      <c r="R11" s="523">
        <f t="shared" si="12"/>
        <v>10.100000000000009</v>
      </c>
      <c r="S11" s="523">
        <f t="shared" si="12"/>
        <v>12.600000000000009</v>
      </c>
      <c r="T11" s="523">
        <f t="shared" si="12"/>
        <v>22.700000000000017</v>
      </c>
      <c r="U11" s="523">
        <f t="shared" si="12"/>
        <v>14</v>
      </c>
      <c r="V11" s="523">
        <f t="shared" si="12"/>
        <v>20.299999999999983</v>
      </c>
      <c r="W11" s="523">
        <f t="shared" si="12"/>
        <v>34.299999999999983</v>
      </c>
      <c r="X11" s="523">
        <f t="shared" si="12"/>
        <v>27.699999999999989</v>
      </c>
      <c r="Y11" s="523">
        <f t="shared" si="12"/>
        <v>34.100000000000023</v>
      </c>
      <c r="Z11" s="523">
        <f t="shared" si="12"/>
        <v>61.800000000000011</v>
      </c>
      <c r="AA11" s="394">
        <f t="shared" ref="AA11:AU11" si="13">AA8-AA12</f>
        <v>25.000000000000014</v>
      </c>
      <c r="AB11" s="394">
        <f t="shared" si="13"/>
        <v>26.40000000000002</v>
      </c>
      <c r="AC11" s="394">
        <f t="shared" si="13"/>
        <v>51.399999999999977</v>
      </c>
      <c r="AD11" s="394">
        <f t="shared" si="13"/>
        <v>25.099999999999994</v>
      </c>
      <c r="AE11" s="394">
        <f t="shared" si="13"/>
        <v>32.900000000000034</v>
      </c>
      <c r="AF11" s="394">
        <f t="shared" si="13"/>
        <v>58</v>
      </c>
      <c r="AG11" s="394">
        <f t="shared" si="13"/>
        <v>28.299999999999983</v>
      </c>
      <c r="AH11" s="394">
        <f t="shared" si="13"/>
        <v>32.400000000000034</v>
      </c>
      <c r="AI11" s="394">
        <f t="shared" si="13"/>
        <v>60.699999999999989</v>
      </c>
      <c r="AJ11" s="394">
        <f t="shared" si="13"/>
        <v>34.700000000000017</v>
      </c>
      <c r="AK11" s="394">
        <f t="shared" si="13"/>
        <v>42.19999999999996</v>
      </c>
      <c r="AL11" s="394">
        <f t="shared" si="13"/>
        <v>76.89999999999992</v>
      </c>
      <c r="AM11" s="394">
        <f t="shared" si="13"/>
        <v>51.5</v>
      </c>
      <c r="AN11" s="394">
        <f t="shared" si="13"/>
        <v>48.700000000000102</v>
      </c>
      <c r="AO11" s="394">
        <f t="shared" si="13"/>
        <v>100.20000000000005</v>
      </c>
      <c r="AP11" s="394">
        <f t="shared" ref="AP11:AR11" si="14">AP8-AP12</f>
        <v>52</v>
      </c>
      <c r="AQ11" s="394">
        <f t="shared" si="14"/>
        <v>45.400000000000091</v>
      </c>
      <c r="AR11" s="394">
        <f t="shared" si="14"/>
        <v>97.400000000000091</v>
      </c>
      <c r="AS11" s="394">
        <f t="shared" si="13"/>
        <v>254.82851171465404</v>
      </c>
      <c r="AT11" s="394">
        <f t="shared" si="13"/>
        <v>290.39600093527406</v>
      </c>
      <c r="AU11" s="394">
        <f t="shared" si="13"/>
        <v>330.89493180485829</v>
      </c>
    </row>
    <row r="12" spans="1:47" s="397" customFormat="1">
      <c r="A12" s="290" t="s">
        <v>532</v>
      </c>
      <c r="B12" s="395" t="s">
        <v>347</v>
      </c>
      <c r="C12" s="516"/>
      <c r="D12" s="516"/>
      <c r="E12" s="516"/>
      <c r="F12" s="516"/>
      <c r="G12" s="516"/>
      <c r="H12" s="517"/>
      <c r="I12" s="517"/>
      <c r="J12" s="517"/>
      <c r="K12" s="517"/>
      <c r="L12" s="517"/>
      <c r="M12" s="517"/>
      <c r="N12" s="517">
        <v>66.7</v>
      </c>
      <c r="O12" s="517">
        <v>43.3</v>
      </c>
      <c r="P12" s="517">
        <v>46.900000000000006</v>
      </c>
      <c r="Q12" s="517">
        <v>90.2</v>
      </c>
      <c r="R12" s="517">
        <v>61</v>
      </c>
      <c r="S12" s="517">
        <v>70.099999999999994</v>
      </c>
      <c r="T12" s="517">
        <v>131.1</v>
      </c>
      <c r="U12" s="517">
        <v>79.400000000000006</v>
      </c>
      <c r="V12" s="517">
        <v>107.9</v>
      </c>
      <c r="W12" s="517">
        <v>187.3</v>
      </c>
      <c r="X12" s="517">
        <v>129</v>
      </c>
      <c r="Y12" s="517">
        <v>157.39999999999998</v>
      </c>
      <c r="Z12" s="517">
        <v>286.39999999999998</v>
      </c>
      <c r="AA12" s="396">
        <f>REVENUE!AN86</f>
        <v>116.3</v>
      </c>
      <c r="AB12" s="396">
        <f>REVENUE!AO86</f>
        <v>120.2</v>
      </c>
      <c r="AC12" s="396">
        <f>REVENUE!AP86</f>
        <v>236.5</v>
      </c>
      <c r="AD12" s="396">
        <f>REVENUE!AQ86</f>
        <v>144.9</v>
      </c>
      <c r="AE12" s="396">
        <f>REVENUE!AR86</f>
        <v>174.1</v>
      </c>
      <c r="AF12" s="396">
        <f>REVENUE!AS86</f>
        <v>319</v>
      </c>
      <c r="AG12" s="396">
        <f>REVENUE!AT86</f>
        <v>179.4</v>
      </c>
      <c r="AH12" s="396">
        <f>REVENUE!AU86</f>
        <v>220.79999999999998</v>
      </c>
      <c r="AI12" s="396">
        <f>REVENUE!AV86</f>
        <v>400.2</v>
      </c>
      <c r="AJ12" s="396">
        <f>REVENUE!AW86</f>
        <v>220.6</v>
      </c>
      <c r="AK12" s="396">
        <f>REVENUE!AX86</f>
        <v>254.70000000000002</v>
      </c>
      <c r="AL12" s="396">
        <f>REVENUE!AY86</f>
        <v>475.3</v>
      </c>
      <c r="AM12" s="396">
        <f>REVENUE!AZ86</f>
        <v>275.5</v>
      </c>
      <c r="AN12" s="396">
        <f>REVENUE!BA86</f>
        <v>307.89999999999998</v>
      </c>
      <c r="AO12" s="396">
        <f>REVENUE!BB86</f>
        <v>583.4</v>
      </c>
      <c r="AP12" s="396">
        <f>REVENUE!BC86</f>
        <v>329</v>
      </c>
      <c r="AQ12" s="396">
        <f>REVENUE!BD86</f>
        <v>352.29999999999995</v>
      </c>
      <c r="AR12" s="396">
        <f>REVENUE!BE86</f>
        <v>681.3</v>
      </c>
      <c r="AS12" s="396">
        <f>REVENUE!BF86</f>
        <v>1160.885442255646</v>
      </c>
      <c r="AT12" s="396">
        <f>REVENUE!BG86</f>
        <v>1378.5465331754958</v>
      </c>
      <c r="AU12" s="396">
        <f>REVENUE!BH86</f>
        <v>1592.9128112466426</v>
      </c>
    </row>
    <row r="13" spans="1:47" s="400" customFormat="1">
      <c r="A13" s="326" t="s">
        <v>533</v>
      </c>
      <c r="B13" s="398" t="s">
        <v>253</v>
      </c>
      <c r="C13" s="518"/>
      <c r="D13" s="518"/>
      <c r="E13" s="518"/>
      <c r="F13" s="518"/>
      <c r="G13" s="518"/>
      <c r="H13" s="518"/>
      <c r="I13" s="518"/>
      <c r="J13" s="518"/>
      <c r="K13" s="518"/>
      <c r="L13" s="518"/>
      <c r="M13" s="518"/>
      <c r="N13" s="518"/>
      <c r="O13" s="524"/>
      <c r="P13" s="524"/>
      <c r="Q13" s="519">
        <f t="shared" ref="Q13:Z13" si="15">+Q12/N12-1</f>
        <v>0.35232383808095946</v>
      </c>
      <c r="R13" s="520">
        <f t="shared" si="15"/>
        <v>0.40877598152424954</v>
      </c>
      <c r="S13" s="520">
        <f t="shared" si="15"/>
        <v>0.49466950959488232</v>
      </c>
      <c r="T13" s="519">
        <f t="shared" si="15"/>
        <v>0.45343680709534362</v>
      </c>
      <c r="U13" s="520">
        <f t="shared" si="15"/>
        <v>0.30163934426229511</v>
      </c>
      <c r="V13" s="520">
        <f t="shared" si="15"/>
        <v>0.53922967189728976</v>
      </c>
      <c r="W13" s="520">
        <f t="shared" si="15"/>
        <v>0.42868039664378355</v>
      </c>
      <c r="X13" s="520">
        <f t="shared" si="15"/>
        <v>0.62468513853904262</v>
      </c>
      <c r="Y13" s="520">
        <f t="shared" si="15"/>
        <v>0.45875810936051864</v>
      </c>
      <c r="Z13" s="520">
        <f t="shared" si="15"/>
        <v>0.5290977042178322</v>
      </c>
      <c r="AA13" s="607">
        <v>0.31317829457364343</v>
      </c>
      <c r="AB13" s="607">
        <v>0.16454891994917409</v>
      </c>
      <c r="AC13" s="607">
        <v>0.2314944134078214</v>
      </c>
      <c r="AD13" s="399">
        <f t="shared" ref="AD13:AK13" si="16">+AD12/AA12-1</f>
        <v>0.24591573516766996</v>
      </c>
      <c r="AE13" s="399">
        <f t="shared" si="16"/>
        <v>0.44841930116472528</v>
      </c>
      <c r="AF13" s="399">
        <f t="shared" si="16"/>
        <v>0.34883720930232553</v>
      </c>
      <c r="AG13" s="399">
        <f t="shared" si="16"/>
        <v>0.23809523809523814</v>
      </c>
      <c r="AH13" s="399">
        <f t="shared" si="16"/>
        <v>0.26823664560597349</v>
      </c>
      <c r="AI13" s="399">
        <f t="shared" si="16"/>
        <v>0.25454545454545441</v>
      </c>
      <c r="AJ13" s="399">
        <f t="shared" si="16"/>
        <v>0.22965440356744704</v>
      </c>
      <c r="AK13" s="399">
        <f t="shared" si="16"/>
        <v>0.15353260869565233</v>
      </c>
      <c r="AL13" s="399">
        <f>+AL12/AI12-1</f>
        <v>0.18765617191404305</v>
      </c>
      <c r="AM13" s="399">
        <f t="shared" ref="AM13" si="17">+AM12/AJ12-1</f>
        <v>0.24886672710788771</v>
      </c>
      <c r="AN13" s="399">
        <f t="shared" ref="AN13" si="18">+AN12/AK12-1</f>
        <v>0.20887318413820166</v>
      </c>
      <c r="AO13" s="399">
        <f>+AO12/AL12-1</f>
        <v>0.22743530401851464</v>
      </c>
      <c r="AP13" s="399">
        <f t="shared" ref="AP13" si="19">+AP12/AM12-1</f>
        <v>0.19419237749546281</v>
      </c>
      <c r="AQ13" s="399">
        <f t="shared" ref="AQ13" si="20">+AQ12/AN12-1</f>
        <v>0.14420266320233832</v>
      </c>
      <c r="AR13" s="399">
        <f>+AR12/AO12-1</f>
        <v>0.16780939321220423</v>
      </c>
      <c r="AS13" s="399">
        <f>+AS12/AR12-1</f>
        <v>0.70392696646946429</v>
      </c>
      <c r="AT13" s="399">
        <f>+AT12/AS12-1</f>
        <v>0.18749575366965221</v>
      </c>
      <c r="AU13" s="399">
        <f t="shared" ref="AU13" si="21">+AU12/AT12-1</f>
        <v>0.15550166273847266</v>
      </c>
    </row>
    <row r="14" spans="1:47">
      <c r="B14" s="392"/>
      <c r="C14" s="511"/>
      <c r="D14" s="511"/>
      <c r="E14" s="511"/>
      <c r="F14" s="511"/>
      <c r="G14" s="511"/>
      <c r="H14" s="521"/>
      <c r="I14" s="511"/>
      <c r="J14" s="511"/>
      <c r="K14" s="522"/>
      <c r="L14" s="511"/>
      <c r="M14" s="511"/>
      <c r="N14" s="522"/>
      <c r="O14" s="513"/>
      <c r="P14" s="513"/>
      <c r="Q14" s="513"/>
      <c r="R14" s="513"/>
      <c r="S14" s="513"/>
      <c r="T14" s="513"/>
      <c r="U14" s="513"/>
      <c r="V14" s="513"/>
      <c r="W14" s="513"/>
      <c r="X14" s="513"/>
      <c r="Y14" s="513"/>
      <c r="Z14" s="51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675"/>
      <c r="AQ14" s="383"/>
      <c r="AR14" s="383"/>
      <c r="AS14" s="383"/>
      <c r="AT14" s="383"/>
      <c r="AU14" s="383"/>
    </row>
    <row r="15" spans="1:47">
      <c r="A15" s="290" t="s">
        <v>534</v>
      </c>
      <c r="B15" s="392" t="s">
        <v>349</v>
      </c>
      <c r="C15" s="511"/>
      <c r="D15" s="511"/>
      <c r="E15" s="511"/>
      <c r="F15" s="511"/>
      <c r="G15" s="511"/>
      <c r="H15" s="521"/>
      <c r="I15" s="511"/>
      <c r="J15" s="511"/>
      <c r="K15" s="522"/>
      <c r="L15" s="511"/>
      <c r="M15" s="511"/>
      <c r="N15" s="514">
        <v>17</v>
      </c>
      <c r="O15" s="514">
        <v>10.7</v>
      </c>
      <c r="P15" s="523">
        <f>Q15-O15</f>
        <v>10.400000000000002</v>
      </c>
      <c r="Q15" s="514">
        <v>21.1</v>
      </c>
      <c r="R15" s="514">
        <v>14.3</v>
      </c>
      <c r="S15" s="523">
        <f>T15-R15</f>
        <v>14.099999999999998</v>
      </c>
      <c r="T15" s="514">
        <v>28.4</v>
      </c>
      <c r="U15" s="514">
        <v>17.2</v>
      </c>
      <c r="V15" s="523">
        <f>W15-U15</f>
        <v>23.900000000000002</v>
      </c>
      <c r="W15" s="514">
        <v>41.1</v>
      </c>
      <c r="X15" s="514">
        <v>31.2</v>
      </c>
      <c r="Y15" s="523">
        <f>Z15-X15</f>
        <v>34.899999999999991</v>
      </c>
      <c r="Z15" s="514">
        <v>66.099999999999994</v>
      </c>
      <c r="AA15" s="313">
        <v>26.3</v>
      </c>
      <c r="AB15" s="394">
        <f>+AC15-AA15</f>
        <v>30.599999999999998</v>
      </c>
      <c r="AC15" s="313">
        <v>56.9</v>
      </c>
      <c r="AD15" s="313">
        <v>31.8</v>
      </c>
      <c r="AE15" s="394">
        <f>+AF15-AD15</f>
        <v>33.900000000000006</v>
      </c>
      <c r="AF15" s="313">
        <v>65.7</v>
      </c>
      <c r="AG15" s="313">
        <v>33.4</v>
      </c>
      <c r="AH15" s="394">
        <f>+AI15-AG15</f>
        <v>37.300000000000004</v>
      </c>
      <c r="AI15" s="313">
        <v>70.7</v>
      </c>
      <c r="AJ15" s="313">
        <v>36.700000000000003</v>
      </c>
      <c r="AK15" s="394">
        <f>+AL15-AJ15</f>
        <v>49.599999999999994</v>
      </c>
      <c r="AL15" s="313">
        <v>86.3</v>
      </c>
      <c r="AM15" s="313">
        <v>53.5</v>
      </c>
      <c r="AN15" s="394">
        <f>+AO15-AM15</f>
        <v>59.8</v>
      </c>
      <c r="AO15" s="313">
        <v>113.3</v>
      </c>
      <c r="AP15" s="313">
        <v>62.6</v>
      </c>
      <c r="AQ15" s="394">
        <f>+AR15-AP15</f>
        <v>56.1</v>
      </c>
      <c r="AR15" s="313">
        <v>118.7</v>
      </c>
      <c r="AS15" s="394">
        <f>AS319</f>
        <v>237.83994426701037</v>
      </c>
      <c r="AT15" s="394">
        <f t="shared" ref="AT15:AU15" si="22">AT319</f>
        <v>274.54104686122162</v>
      </c>
      <c r="AU15" s="394">
        <f t="shared" si="22"/>
        <v>309.73304663129159</v>
      </c>
    </row>
    <row r="16" spans="1:47">
      <c r="A16" s="290" t="s">
        <v>535</v>
      </c>
      <c r="B16" s="392" t="s">
        <v>350</v>
      </c>
      <c r="C16" s="511"/>
      <c r="D16" s="511"/>
      <c r="E16" s="511"/>
      <c r="F16" s="511"/>
      <c r="G16" s="511"/>
      <c r="H16" s="521"/>
      <c r="I16" s="511"/>
      <c r="J16" s="511"/>
      <c r="K16" s="522"/>
      <c r="L16" s="511"/>
      <c r="M16" s="511"/>
      <c r="N16" s="514">
        <v>12.1</v>
      </c>
      <c r="O16" s="514">
        <v>7.6</v>
      </c>
      <c r="P16" s="523">
        <f>Q16-O16</f>
        <v>7.7000000000000011</v>
      </c>
      <c r="Q16" s="514">
        <v>15.3</v>
      </c>
      <c r="R16" s="514">
        <v>6.9</v>
      </c>
      <c r="S16" s="523">
        <f>T16-R16</f>
        <v>8.5</v>
      </c>
      <c r="T16" s="514">
        <v>15.4</v>
      </c>
      <c r="U16" s="514">
        <v>10.4</v>
      </c>
      <c r="V16" s="523">
        <f>W16-U16</f>
        <v>12.200000000000001</v>
      </c>
      <c r="W16" s="514">
        <v>22.6</v>
      </c>
      <c r="X16" s="514">
        <v>18.100000000000001</v>
      </c>
      <c r="Y16" s="523">
        <f>Z16-X16</f>
        <v>25.9</v>
      </c>
      <c r="Z16" s="514">
        <v>44</v>
      </c>
      <c r="AA16" s="313">
        <v>19.8</v>
      </c>
      <c r="AB16" s="394">
        <f t="shared" ref="AB16:AB17" si="23">+AC16-AA16</f>
        <v>18.499999999999996</v>
      </c>
      <c r="AC16" s="313">
        <v>38.299999999999997</v>
      </c>
      <c r="AD16" s="313">
        <v>17.3</v>
      </c>
      <c r="AE16" s="394">
        <f t="shared" ref="AE16:AE17" si="24">+AF16-AD16</f>
        <v>15.900000000000002</v>
      </c>
      <c r="AF16" s="313">
        <v>33.200000000000003</v>
      </c>
      <c r="AG16" s="313">
        <v>14.6</v>
      </c>
      <c r="AH16" s="394">
        <f t="shared" ref="AH16:AH17" si="25">+AI16-AG16</f>
        <v>18.100000000000001</v>
      </c>
      <c r="AI16" s="313">
        <v>32.700000000000003</v>
      </c>
      <c r="AJ16" s="313">
        <v>16.3</v>
      </c>
      <c r="AK16" s="394">
        <f t="shared" ref="AK16:AK17" si="26">+AL16-AJ16</f>
        <v>23.499999999999996</v>
      </c>
      <c r="AL16" s="313">
        <v>39.799999999999997</v>
      </c>
      <c r="AM16" s="313">
        <v>24.9</v>
      </c>
      <c r="AN16" s="394">
        <f t="shared" ref="AN16:AN17" si="27">+AO16-AM16</f>
        <v>26.9</v>
      </c>
      <c r="AO16" s="313">
        <v>51.8</v>
      </c>
      <c r="AP16" s="313">
        <v>22.2</v>
      </c>
      <c r="AQ16" s="394">
        <f t="shared" ref="AQ16:AQ17" si="28">+AR16-AP16</f>
        <v>21.400000000000002</v>
      </c>
      <c r="AR16" s="313">
        <v>43.6</v>
      </c>
      <c r="AS16" s="394">
        <f>+AR16*(1+AS58)</f>
        <v>132.97999999999999</v>
      </c>
      <c r="AT16" s="394">
        <f t="shared" ref="AT16:AU16" si="29">+AS16*(1+AT58)</f>
        <v>152.92699999999996</v>
      </c>
      <c r="AU16" s="394">
        <f t="shared" si="29"/>
        <v>172.04287499999995</v>
      </c>
    </row>
    <row r="17" spans="1:47">
      <c r="A17" s="290" t="s">
        <v>536</v>
      </c>
      <c r="B17" s="392" t="s">
        <v>351</v>
      </c>
      <c r="C17" s="511"/>
      <c r="D17" s="511"/>
      <c r="E17" s="511"/>
      <c r="F17" s="511"/>
      <c r="G17" s="511"/>
      <c r="H17" s="521"/>
      <c r="I17" s="511"/>
      <c r="J17" s="511"/>
      <c r="K17" s="522"/>
      <c r="L17" s="511"/>
      <c r="M17" s="511"/>
      <c r="N17" s="514">
        <v>15.7</v>
      </c>
      <c r="O17" s="514">
        <v>10.9</v>
      </c>
      <c r="P17" s="523">
        <f>Q17-O17</f>
        <v>11.4</v>
      </c>
      <c r="Q17" s="514">
        <v>22.3</v>
      </c>
      <c r="R17" s="514">
        <v>15.8</v>
      </c>
      <c r="S17" s="523">
        <f>T17-R17</f>
        <v>17.499999999999996</v>
      </c>
      <c r="T17" s="514">
        <v>33.299999999999997</v>
      </c>
      <c r="U17" s="514">
        <v>20</v>
      </c>
      <c r="V17" s="523">
        <f>W17-U17</f>
        <v>25.5</v>
      </c>
      <c r="W17" s="514">
        <v>45.5</v>
      </c>
      <c r="X17" s="514">
        <v>31.2</v>
      </c>
      <c r="Y17" s="523">
        <f>Z17-X17</f>
        <v>37.099999999999994</v>
      </c>
      <c r="Z17" s="514">
        <v>68.3</v>
      </c>
      <c r="AA17" s="313">
        <v>27.3</v>
      </c>
      <c r="AB17" s="394">
        <f t="shared" si="23"/>
        <v>28.900000000000002</v>
      </c>
      <c r="AC17" s="313">
        <v>56.2</v>
      </c>
      <c r="AD17" s="313">
        <v>32.1</v>
      </c>
      <c r="AE17" s="394">
        <f t="shared" si="24"/>
        <v>33.9</v>
      </c>
      <c r="AF17" s="313">
        <v>66</v>
      </c>
      <c r="AG17" s="313">
        <v>29.6</v>
      </c>
      <c r="AH17" s="394">
        <f t="shared" si="25"/>
        <v>33.1</v>
      </c>
      <c r="AI17" s="313">
        <f>64.4-1.7</f>
        <v>62.7</v>
      </c>
      <c r="AJ17" s="313">
        <f>41.1-6.8</f>
        <v>34.300000000000004</v>
      </c>
      <c r="AK17" s="394">
        <f t="shared" si="26"/>
        <v>36.29999999999999</v>
      </c>
      <c r="AL17" s="313">
        <f>88.3-17.7</f>
        <v>70.599999999999994</v>
      </c>
      <c r="AM17" s="313">
        <f>47-2</f>
        <v>45</v>
      </c>
      <c r="AN17" s="394">
        <f t="shared" si="27"/>
        <v>45.099999999999994</v>
      </c>
      <c r="AO17" s="313">
        <f>93.3-3.2</f>
        <v>90.1</v>
      </c>
      <c r="AP17" s="313">
        <f>52-1.6</f>
        <v>50.4</v>
      </c>
      <c r="AQ17" s="394">
        <f t="shared" si="28"/>
        <v>57.4</v>
      </c>
      <c r="AR17" s="313">
        <f>109.5-1.7</f>
        <v>107.8</v>
      </c>
      <c r="AS17" s="394">
        <f>+AR17*(1+AS59)</f>
        <v>174.636</v>
      </c>
      <c r="AT17" s="394">
        <f t="shared" ref="AT17:AU17" si="30">+AS17*(1+AT59)</f>
        <v>192.09960000000001</v>
      </c>
      <c r="AU17" s="394">
        <f t="shared" si="30"/>
        <v>211.30956000000003</v>
      </c>
    </row>
    <row r="18" spans="1:47" s="397" customFormat="1">
      <c r="A18" s="290" t="s">
        <v>537</v>
      </c>
      <c r="B18" s="380" t="s">
        <v>562</v>
      </c>
      <c r="C18" s="515">
        <f>C8-C24</f>
        <v>0</v>
      </c>
      <c r="D18" s="515">
        <f>E18-C18</f>
        <v>0</v>
      </c>
      <c r="E18" s="516"/>
      <c r="F18" s="516"/>
      <c r="G18" s="516"/>
      <c r="H18" s="516"/>
      <c r="I18" s="516"/>
      <c r="J18" s="516"/>
      <c r="K18" s="516"/>
      <c r="L18" s="516"/>
      <c r="M18" s="516"/>
      <c r="N18" s="515">
        <f>SUM(N15:N17)</f>
        <v>44.8</v>
      </c>
      <c r="O18" s="515">
        <f>SUM(O15:O17)</f>
        <v>29.199999999999996</v>
      </c>
      <c r="P18" s="515">
        <f>Q18-O18</f>
        <v>29.500000000000007</v>
      </c>
      <c r="Q18" s="515">
        <f>SUM(Q15:Q17)</f>
        <v>58.7</v>
      </c>
      <c r="R18" s="515">
        <f>SUM(R15:R17)</f>
        <v>37</v>
      </c>
      <c r="S18" s="515">
        <f>T18-R18</f>
        <v>40.099999999999994</v>
      </c>
      <c r="T18" s="515">
        <f>SUM(T15:T17)</f>
        <v>77.099999999999994</v>
      </c>
      <c r="U18" s="515">
        <f>SUM(U15:U17)</f>
        <v>47.6</v>
      </c>
      <c r="V18" s="515">
        <f>W18-U18</f>
        <v>61.6</v>
      </c>
      <c r="W18" s="515">
        <f>SUM(W15:W17)</f>
        <v>109.2</v>
      </c>
      <c r="X18" s="515">
        <f>SUM(X15:X17)</f>
        <v>80.5</v>
      </c>
      <c r="Y18" s="515">
        <f>Z18-X18</f>
        <v>97.899999999999977</v>
      </c>
      <c r="Z18" s="515">
        <f>SUM(Z15:Z17)</f>
        <v>178.39999999999998</v>
      </c>
      <c r="AA18" s="362">
        <f>SUM(AA15:AA17)</f>
        <v>73.400000000000006</v>
      </c>
      <c r="AB18" s="362">
        <f>AC18-AA18</f>
        <v>77.999999999999972</v>
      </c>
      <c r="AC18" s="362">
        <f>SUM(AC15:AC17)</f>
        <v>151.39999999999998</v>
      </c>
      <c r="AD18" s="362">
        <f>SUM(AD15:AD17)</f>
        <v>81.2</v>
      </c>
      <c r="AE18" s="362">
        <f>AF18-AD18</f>
        <v>83.7</v>
      </c>
      <c r="AF18" s="362">
        <f>SUM(AF15:AF17)</f>
        <v>164.9</v>
      </c>
      <c r="AG18" s="362">
        <f>SUM(AG15:AG17)</f>
        <v>77.599999999999994</v>
      </c>
      <c r="AH18" s="362">
        <f>AI18-AG18</f>
        <v>88.500000000000028</v>
      </c>
      <c r="AI18" s="362">
        <f>SUM(AI15:AI17)</f>
        <v>166.10000000000002</v>
      </c>
      <c r="AJ18" s="362">
        <f>SUM(AJ15:AJ17)</f>
        <v>87.300000000000011</v>
      </c>
      <c r="AK18" s="362">
        <f>AL18-AJ18</f>
        <v>109.39999999999998</v>
      </c>
      <c r="AL18" s="362">
        <f>SUM(AL15:AL17)</f>
        <v>196.7</v>
      </c>
      <c r="AM18" s="362">
        <f>SUM(AM15:AM17)</f>
        <v>123.4</v>
      </c>
      <c r="AN18" s="362">
        <f>AO18-AM18</f>
        <v>131.79999999999998</v>
      </c>
      <c r="AO18" s="362">
        <f>SUM(AO15:AO17)</f>
        <v>255.2</v>
      </c>
      <c r="AP18" s="362">
        <f>SUM(AP15:AP17)</f>
        <v>135.19999999999999</v>
      </c>
      <c r="AQ18" s="362">
        <f>AR18-AP18</f>
        <v>134.90000000000003</v>
      </c>
      <c r="AR18" s="362">
        <f>SUM(AR15:AR17)</f>
        <v>270.10000000000002</v>
      </c>
      <c r="AS18" s="362">
        <f>SUM(AS15:AS17)</f>
        <v>545.4559442670103</v>
      </c>
      <c r="AT18" s="362">
        <f>SUM(AT15:AT17)</f>
        <v>619.56764686122165</v>
      </c>
      <c r="AU18" s="362">
        <f t="shared" ref="AU18" si="31">SUM(AU15:AU17)</f>
        <v>693.0854816312916</v>
      </c>
    </row>
    <row r="19" spans="1:47" s="401" customFormat="1">
      <c r="A19" s="326"/>
      <c r="B19" s="398" t="s">
        <v>253</v>
      </c>
      <c r="C19" s="518"/>
      <c r="D19" s="518"/>
      <c r="E19" s="518"/>
      <c r="F19" s="518"/>
      <c r="G19" s="518"/>
      <c r="H19" s="518"/>
      <c r="I19" s="518"/>
      <c r="J19" s="518"/>
      <c r="K19" s="518"/>
      <c r="L19" s="518"/>
      <c r="M19" s="518"/>
      <c r="N19" s="524"/>
      <c r="O19" s="524"/>
      <c r="P19" s="524"/>
      <c r="Q19" s="520">
        <f t="shared" ref="Q19:W19" si="32">+Q18/N18-1</f>
        <v>0.31026785714285721</v>
      </c>
      <c r="R19" s="520">
        <f>+R18/O18-1</f>
        <v>0.26712328767123306</v>
      </c>
      <c r="S19" s="520">
        <f>+S18/P18-1</f>
        <v>0.35932203389830453</v>
      </c>
      <c r="T19" s="520">
        <f t="shared" si="32"/>
        <v>0.31345826235093677</v>
      </c>
      <c r="U19" s="520">
        <f>+U18/R18-1</f>
        <v>0.28648648648648645</v>
      </c>
      <c r="V19" s="520">
        <f>+V18/S18-1</f>
        <v>0.53615960099750648</v>
      </c>
      <c r="W19" s="520">
        <f t="shared" si="32"/>
        <v>0.41634241245136194</v>
      </c>
      <c r="X19" s="520">
        <f>+X18/U18-1</f>
        <v>0.69117647058823528</v>
      </c>
      <c r="Y19" s="520">
        <f>+Y18/V18-1</f>
        <v>0.58928571428571397</v>
      </c>
      <c r="Z19" s="520">
        <f>+Z18/W18-1</f>
        <v>0.63369963369963345</v>
      </c>
      <c r="AA19" s="607">
        <v>0.32795031055900603</v>
      </c>
      <c r="AB19" s="607">
        <v>0.21654749744637414</v>
      </c>
      <c r="AC19" s="607">
        <v>0.26681614349775806</v>
      </c>
      <c r="AD19" s="399">
        <f t="shared" ref="AD19:AG19" si="33">+AD18/AA18-1</f>
        <v>0.10626702997275195</v>
      </c>
      <c r="AE19" s="399">
        <f t="shared" si="33"/>
        <v>7.3076923076923483E-2</v>
      </c>
      <c r="AF19" s="399">
        <f t="shared" si="33"/>
        <v>8.9167767503302686E-2</v>
      </c>
      <c r="AG19" s="399">
        <f t="shared" si="33"/>
        <v>-4.4334975369458185E-2</v>
      </c>
      <c r="AH19" s="399">
        <f t="shared" ref="AH19:AM19" si="34">+AH18/AE18-1</f>
        <v>5.7347670250896376E-2</v>
      </c>
      <c r="AI19" s="399">
        <f t="shared" si="34"/>
        <v>7.2771376591875825E-3</v>
      </c>
      <c r="AJ19" s="399">
        <f t="shared" si="34"/>
        <v>0.12500000000000022</v>
      </c>
      <c r="AK19" s="399">
        <f t="shared" si="34"/>
        <v>0.23615819209039479</v>
      </c>
      <c r="AL19" s="399">
        <f t="shared" si="34"/>
        <v>0.18422636965683292</v>
      </c>
      <c r="AM19" s="399">
        <f t="shared" si="34"/>
        <v>0.41351660939289792</v>
      </c>
      <c r="AN19" s="399">
        <f t="shared" ref="AN19" si="35">+AN18/AK18-1</f>
        <v>0.20475319926873858</v>
      </c>
      <c r="AO19" s="399">
        <f t="shared" ref="AO19:AP19" si="36">+AO18/AL18-1</f>
        <v>0.29740721911540424</v>
      </c>
      <c r="AP19" s="399">
        <f t="shared" si="36"/>
        <v>9.5623987034035407E-2</v>
      </c>
      <c r="AQ19" s="399">
        <f t="shared" ref="AQ19" si="37">+AQ18/AN18-1</f>
        <v>2.352048558421882E-2</v>
      </c>
      <c r="AR19" s="399">
        <f t="shared" ref="AR19" si="38">+AR18/AO18-1</f>
        <v>5.8385579937304311E-2</v>
      </c>
      <c r="AS19" s="399">
        <f>+AS18/AR18-1</f>
        <v>1.019459253117402</v>
      </c>
      <c r="AT19" s="399">
        <f>+AT18/AS18-1</f>
        <v>0.13587110631602606</v>
      </c>
      <c r="AU19" s="399">
        <f t="shared" ref="AU19" si="39">+AU18/AT18-1</f>
        <v>0.11865989959694812</v>
      </c>
    </row>
    <row r="20" spans="1:47" hidden="1">
      <c r="B20" s="380"/>
      <c r="C20" s="521"/>
      <c r="D20" s="511"/>
      <c r="E20" s="511"/>
      <c r="F20" s="521"/>
      <c r="G20" s="511"/>
      <c r="H20" s="511"/>
      <c r="I20" s="521"/>
      <c r="J20" s="511"/>
      <c r="K20" s="512"/>
      <c r="L20" s="512"/>
      <c r="M20" s="511"/>
      <c r="N20" s="524"/>
      <c r="O20" s="524"/>
      <c r="P20" s="524"/>
      <c r="Q20" s="524"/>
      <c r="R20" s="524"/>
      <c r="S20" s="524"/>
      <c r="T20" s="524"/>
      <c r="U20" s="524"/>
      <c r="V20" s="524"/>
      <c r="W20" s="524"/>
      <c r="X20" s="524"/>
      <c r="Y20" s="524"/>
      <c r="Z20" s="524"/>
      <c r="AA20" s="402"/>
      <c r="AB20" s="402"/>
      <c r="AC20" s="402"/>
      <c r="AD20" s="393"/>
      <c r="AE20" s="311"/>
      <c r="AF20" s="311"/>
      <c r="AG20" s="311"/>
      <c r="AH20" s="311"/>
      <c r="AI20" s="311"/>
      <c r="AJ20" s="311"/>
      <c r="AK20" s="311"/>
      <c r="AL20" s="311"/>
      <c r="AM20" s="311"/>
      <c r="AN20" s="311"/>
      <c r="AO20" s="311"/>
      <c r="AP20" s="311"/>
      <c r="AQ20" s="311"/>
      <c r="AR20" s="311"/>
      <c r="AS20" s="311"/>
      <c r="AT20" s="311"/>
      <c r="AU20" s="311"/>
    </row>
    <row r="21" spans="1:47" s="388" customFormat="1" hidden="1">
      <c r="A21" s="404"/>
      <c r="B21" s="405"/>
      <c r="C21" s="525"/>
      <c r="D21" s="525"/>
      <c r="E21" s="525"/>
      <c r="F21" s="525"/>
      <c r="G21" s="525"/>
      <c r="H21" s="525"/>
      <c r="I21" s="525"/>
      <c r="J21" s="525"/>
      <c r="K21" s="525"/>
      <c r="L21" s="525"/>
      <c r="M21" s="525"/>
      <c r="N21" s="525"/>
      <c r="O21" s="525"/>
      <c r="P21" s="525"/>
      <c r="Q21" s="525"/>
      <c r="R21" s="525"/>
      <c r="S21" s="525"/>
      <c r="T21" s="525"/>
      <c r="U21" s="525"/>
      <c r="V21" s="525"/>
      <c r="W21" s="525"/>
      <c r="X21" s="525"/>
      <c r="Y21" s="525"/>
      <c r="Z21" s="525"/>
      <c r="AS21" s="406"/>
    </row>
    <row r="22" spans="1:47" s="397" customFormat="1" hidden="1">
      <c r="A22" s="408"/>
      <c r="B22" s="380"/>
      <c r="C22" s="516"/>
      <c r="D22" s="516"/>
      <c r="E22" s="516"/>
      <c r="F22" s="516"/>
      <c r="G22" s="516"/>
      <c r="H22" s="516"/>
      <c r="I22" s="516"/>
      <c r="J22" s="516"/>
      <c r="K22" s="516"/>
      <c r="L22" s="516"/>
      <c r="M22" s="516"/>
      <c r="N22" s="516"/>
      <c r="O22" s="516"/>
      <c r="P22" s="516"/>
      <c r="Q22" s="516"/>
      <c r="R22" s="516"/>
      <c r="S22" s="516"/>
      <c r="T22" s="516"/>
      <c r="U22" s="516"/>
      <c r="V22" s="516"/>
      <c r="W22" s="516"/>
      <c r="X22" s="516"/>
      <c r="Y22" s="516"/>
      <c r="Z22" s="516"/>
      <c r="AA22" s="332"/>
      <c r="AB22" s="332"/>
      <c r="AC22" s="332"/>
      <c r="AD22" s="332"/>
      <c r="AE22" s="332"/>
      <c r="AF22" s="332"/>
      <c r="AG22" s="332"/>
      <c r="AH22" s="332"/>
      <c r="AI22" s="332"/>
      <c r="AJ22" s="332"/>
      <c r="AK22" s="332"/>
      <c r="AL22" s="332"/>
      <c r="AM22" s="332"/>
      <c r="AN22" s="332"/>
      <c r="AO22" s="332"/>
      <c r="AP22" s="332"/>
      <c r="AQ22" s="332"/>
      <c r="AR22" s="332"/>
      <c r="AS22" s="332"/>
      <c r="AT22" s="332"/>
      <c r="AU22" s="332"/>
    </row>
    <row r="23" spans="1:47">
      <c r="B23" s="409"/>
      <c r="C23" s="511"/>
      <c r="D23" s="511"/>
      <c r="E23" s="511"/>
      <c r="F23" s="511"/>
      <c r="G23" s="511"/>
      <c r="H23" s="511"/>
      <c r="I23" s="514"/>
      <c r="J23" s="511"/>
      <c r="K23" s="514"/>
      <c r="L23" s="514"/>
      <c r="M23" s="511"/>
      <c r="N23" s="514"/>
      <c r="O23" s="514"/>
      <c r="P23" s="511"/>
      <c r="Q23" s="514"/>
      <c r="R23" s="514"/>
      <c r="S23" s="511"/>
      <c r="T23" s="514"/>
      <c r="U23" s="514"/>
      <c r="V23" s="511"/>
      <c r="W23" s="514"/>
      <c r="X23" s="514"/>
      <c r="Y23" s="511"/>
      <c r="Z23" s="514"/>
      <c r="AA23" s="312"/>
      <c r="AB23" s="311"/>
      <c r="AC23" s="312"/>
      <c r="AD23" s="312"/>
      <c r="AE23" s="311"/>
      <c r="AF23" s="312"/>
      <c r="AG23" s="295"/>
      <c r="AH23" s="311"/>
      <c r="AI23" s="312"/>
      <c r="AJ23" s="295"/>
      <c r="AK23" s="311"/>
      <c r="AL23" s="312"/>
      <c r="AM23" s="295"/>
      <c r="AN23" s="311"/>
      <c r="AO23" s="295"/>
      <c r="AP23" s="295"/>
      <c r="AQ23" s="311"/>
      <c r="AR23" s="295"/>
      <c r="AS23" s="295"/>
      <c r="AT23" s="295"/>
      <c r="AU23" s="295"/>
    </row>
    <row r="24" spans="1:47" s="397" customFormat="1" ht="13.5" customHeight="1">
      <c r="A24" s="290" t="s">
        <v>538</v>
      </c>
      <c r="B24" s="380" t="s">
        <v>1</v>
      </c>
      <c r="C24" s="515">
        <f>+C23+C21</f>
        <v>0</v>
      </c>
      <c r="D24" s="515">
        <f>+D23+D21</f>
        <v>0</v>
      </c>
      <c r="E24" s="516"/>
      <c r="F24" s="516"/>
      <c r="G24" s="516"/>
      <c r="H24" s="516"/>
      <c r="I24" s="516"/>
      <c r="J24" s="516"/>
      <c r="K24" s="516"/>
      <c r="L24" s="516"/>
      <c r="M24" s="516"/>
      <c r="N24" s="515">
        <f t="shared" ref="N24:Z24" si="40">N12-N18</f>
        <v>21.900000000000006</v>
      </c>
      <c r="O24" s="515">
        <f t="shared" si="40"/>
        <v>14.100000000000001</v>
      </c>
      <c r="P24" s="515">
        <f t="shared" si="40"/>
        <v>17.399999999999999</v>
      </c>
      <c r="Q24" s="515">
        <f t="shared" si="40"/>
        <v>31.5</v>
      </c>
      <c r="R24" s="515">
        <f t="shared" si="40"/>
        <v>24</v>
      </c>
      <c r="S24" s="515">
        <f t="shared" si="40"/>
        <v>30</v>
      </c>
      <c r="T24" s="515">
        <f t="shared" si="40"/>
        <v>54</v>
      </c>
      <c r="U24" s="515">
        <f t="shared" si="40"/>
        <v>31.800000000000004</v>
      </c>
      <c r="V24" s="515">
        <f t="shared" si="40"/>
        <v>46.300000000000004</v>
      </c>
      <c r="W24" s="515">
        <f t="shared" si="40"/>
        <v>78.100000000000009</v>
      </c>
      <c r="X24" s="515">
        <f t="shared" si="40"/>
        <v>48.5</v>
      </c>
      <c r="Y24" s="515">
        <f t="shared" si="40"/>
        <v>59.5</v>
      </c>
      <c r="Z24" s="515">
        <f t="shared" si="40"/>
        <v>108</v>
      </c>
      <c r="AA24" s="362">
        <f>AA12-AA18</f>
        <v>42.899999999999991</v>
      </c>
      <c r="AB24" s="362">
        <f t="shared" ref="AB24:AU24" si="41">AB12-AB18</f>
        <v>42.200000000000031</v>
      </c>
      <c r="AC24" s="362">
        <f t="shared" si="41"/>
        <v>85.100000000000023</v>
      </c>
      <c r="AD24" s="362">
        <f t="shared" si="41"/>
        <v>63.7</v>
      </c>
      <c r="AE24" s="362">
        <f t="shared" si="41"/>
        <v>90.399999999999991</v>
      </c>
      <c r="AF24" s="362">
        <f t="shared" si="41"/>
        <v>154.1</v>
      </c>
      <c r="AG24" s="362">
        <f t="shared" si="41"/>
        <v>101.80000000000001</v>
      </c>
      <c r="AH24" s="362">
        <f t="shared" si="41"/>
        <v>132.29999999999995</v>
      </c>
      <c r="AI24" s="362">
        <f t="shared" si="41"/>
        <v>234.09999999999997</v>
      </c>
      <c r="AJ24" s="362">
        <f t="shared" si="41"/>
        <v>133.29999999999998</v>
      </c>
      <c r="AK24" s="362">
        <f t="shared" si="41"/>
        <v>145.30000000000004</v>
      </c>
      <c r="AL24" s="362">
        <f t="shared" si="41"/>
        <v>278.60000000000002</v>
      </c>
      <c r="AM24" s="362">
        <f t="shared" si="41"/>
        <v>152.1</v>
      </c>
      <c r="AN24" s="362">
        <f t="shared" si="41"/>
        <v>176.1</v>
      </c>
      <c r="AO24" s="362">
        <f t="shared" si="41"/>
        <v>328.2</v>
      </c>
      <c r="AP24" s="362">
        <f t="shared" ref="AP24:AR24" si="42">AP12-AP18</f>
        <v>193.8</v>
      </c>
      <c r="AQ24" s="362">
        <f t="shared" si="42"/>
        <v>217.39999999999992</v>
      </c>
      <c r="AR24" s="362">
        <f t="shared" si="42"/>
        <v>411.19999999999993</v>
      </c>
      <c r="AS24" s="362">
        <f t="shared" si="41"/>
        <v>615.42949798863572</v>
      </c>
      <c r="AT24" s="362">
        <f t="shared" si="41"/>
        <v>758.97888631427418</v>
      </c>
      <c r="AU24" s="362">
        <f t="shared" si="41"/>
        <v>899.827329615351</v>
      </c>
    </row>
    <row r="25" spans="1:47" s="401" customFormat="1">
      <c r="A25" s="326"/>
      <c r="B25" s="398" t="s">
        <v>253</v>
      </c>
      <c r="C25" s="518"/>
      <c r="D25" s="518"/>
      <c r="E25" s="518"/>
      <c r="F25" s="518"/>
      <c r="G25" s="518"/>
      <c r="H25" s="518"/>
      <c r="I25" s="518"/>
      <c r="J25" s="518"/>
      <c r="K25" s="518"/>
      <c r="L25" s="518"/>
      <c r="M25" s="518"/>
      <c r="N25" s="524"/>
      <c r="O25" s="524"/>
      <c r="P25" s="524"/>
      <c r="Q25" s="520">
        <f t="shared" ref="Q25:Z25" si="43">+Q24/N24-1</f>
        <v>0.43835616438356118</v>
      </c>
      <c r="R25" s="520">
        <f t="shared" si="43"/>
        <v>0.70212765957446788</v>
      </c>
      <c r="S25" s="520">
        <f t="shared" si="43"/>
        <v>0.72413793103448287</v>
      </c>
      <c r="T25" s="520">
        <f t="shared" si="43"/>
        <v>0.71428571428571419</v>
      </c>
      <c r="U25" s="520">
        <f t="shared" si="43"/>
        <v>0.32500000000000018</v>
      </c>
      <c r="V25" s="520">
        <f t="shared" si="43"/>
        <v>0.54333333333333345</v>
      </c>
      <c r="W25" s="520">
        <f t="shared" si="43"/>
        <v>0.44629629629629641</v>
      </c>
      <c r="X25" s="520">
        <f t="shared" si="43"/>
        <v>0.52515723270440229</v>
      </c>
      <c r="Y25" s="520">
        <f t="shared" si="43"/>
        <v>0.28509719222462193</v>
      </c>
      <c r="Z25" s="520">
        <f t="shared" si="43"/>
        <v>0.38284250960307276</v>
      </c>
      <c r="AA25" s="607">
        <v>0.2886597938144333</v>
      </c>
      <c r="AB25" s="607">
        <v>7.899159663865496E-2</v>
      </c>
      <c r="AC25" s="607">
        <v>0.17314814814814805</v>
      </c>
      <c r="AD25" s="399">
        <f t="shared" ref="AD25:AG25" si="44">+AD24/AA24-1</f>
        <v>0.48484848484848531</v>
      </c>
      <c r="AE25" s="399">
        <f t="shared" si="44"/>
        <v>1.142180094786728</v>
      </c>
      <c r="AF25" s="399">
        <f t="shared" si="44"/>
        <v>0.8108108108108103</v>
      </c>
      <c r="AG25" s="399">
        <f t="shared" si="44"/>
        <v>0.59811616954474101</v>
      </c>
      <c r="AH25" s="399">
        <f t="shared" ref="AH25:AM25" si="45">+AH24/AE24-1</f>
        <v>0.46349557522123863</v>
      </c>
      <c r="AI25" s="399">
        <f t="shared" si="45"/>
        <v>0.51914341336794267</v>
      </c>
      <c r="AJ25" s="399">
        <f t="shared" si="45"/>
        <v>0.30943025540275015</v>
      </c>
      <c r="AK25" s="399">
        <f t="shared" si="45"/>
        <v>9.8261526832956081E-2</v>
      </c>
      <c r="AL25" s="399">
        <f t="shared" si="45"/>
        <v>0.19008970525416524</v>
      </c>
      <c r="AM25" s="399">
        <f t="shared" si="45"/>
        <v>0.14103525881470369</v>
      </c>
      <c r="AN25" s="399">
        <f t="shared" ref="AN25:AP25" si="46">+AN24/AK24-1</f>
        <v>0.21197522367515442</v>
      </c>
      <c r="AO25" s="399">
        <f t="shared" si="46"/>
        <v>0.17803302225412754</v>
      </c>
      <c r="AP25" s="399">
        <f t="shared" si="46"/>
        <v>0.27416173570019731</v>
      </c>
      <c r="AQ25" s="399">
        <f t="shared" ref="AQ25" si="47">+AQ24/AN24-1</f>
        <v>0.23452583759227674</v>
      </c>
      <c r="AR25" s="399">
        <f t="shared" ref="AR25" si="48">+AR24/AO24-1</f>
        <v>0.25289457647775726</v>
      </c>
      <c r="AS25" s="670">
        <f t="shared" ref="AS25:AU25" si="49">+AS24/AR24-1</f>
        <v>0.49666706709298603</v>
      </c>
      <c r="AT25" s="670">
        <f t="shared" si="49"/>
        <v>0.23325074406538948</v>
      </c>
      <c r="AU25" s="399">
        <f t="shared" si="49"/>
        <v>0.18557623385949507</v>
      </c>
    </row>
    <row r="26" spans="1:47">
      <c r="B26" s="380"/>
      <c r="C26" s="511"/>
      <c r="D26" s="511"/>
      <c r="E26" s="511"/>
      <c r="F26" s="511"/>
      <c r="G26" s="511"/>
      <c r="H26" s="511"/>
      <c r="I26" s="511"/>
      <c r="J26" s="511"/>
      <c r="K26" s="511"/>
      <c r="L26" s="511"/>
      <c r="M26" s="511"/>
      <c r="N26" s="511"/>
      <c r="O26" s="511"/>
      <c r="P26" s="511"/>
      <c r="Q26" s="511"/>
      <c r="R26" s="511"/>
      <c r="S26" s="511"/>
      <c r="T26" s="511"/>
      <c r="U26" s="511"/>
      <c r="V26" s="511"/>
      <c r="W26" s="511"/>
      <c r="X26" s="511"/>
      <c r="Y26" s="511"/>
      <c r="Z26" s="511"/>
      <c r="AA26" s="311"/>
      <c r="AB26" s="311"/>
      <c r="AC26" s="311"/>
      <c r="AD26" s="311"/>
      <c r="AE26" s="311"/>
      <c r="AF26" s="311"/>
      <c r="AG26" s="311"/>
      <c r="AH26" s="311"/>
      <c r="AI26" s="311"/>
      <c r="AJ26" s="381"/>
      <c r="AK26" s="381"/>
      <c r="AL26" s="381"/>
      <c r="AM26" s="381"/>
      <c r="AN26" s="381"/>
      <c r="AO26" s="285"/>
      <c r="AP26" s="381"/>
      <c r="AQ26" s="381"/>
      <c r="AR26" s="285"/>
      <c r="AS26" s="278"/>
      <c r="AT26" s="278"/>
      <c r="AU26" s="311"/>
    </row>
    <row r="27" spans="1:47" ht="13.5" customHeight="1">
      <c r="B27" s="609" t="s">
        <v>225</v>
      </c>
      <c r="C27" s="526"/>
      <c r="D27" s="511"/>
      <c r="E27" s="526"/>
      <c r="F27" s="526"/>
      <c r="G27" s="511"/>
      <c r="H27" s="526"/>
      <c r="I27" s="526"/>
      <c r="J27" s="511"/>
      <c r="K27" s="526"/>
      <c r="L27" s="526"/>
      <c r="M27" s="511"/>
      <c r="N27" s="514">
        <v>2.7</v>
      </c>
      <c r="O27" s="514">
        <v>2.6</v>
      </c>
      <c r="P27" s="523">
        <f>Q27-O27</f>
        <v>1.6999999999999997</v>
      </c>
      <c r="Q27" s="514">
        <v>4.3</v>
      </c>
      <c r="R27" s="514">
        <v>2.2999999999999998</v>
      </c>
      <c r="S27" s="523">
        <f>T27-R27</f>
        <v>2.2000000000000002</v>
      </c>
      <c r="T27" s="514">
        <v>4.5</v>
      </c>
      <c r="U27" s="514">
        <v>3.8</v>
      </c>
      <c r="V27" s="523">
        <f>W27-U27</f>
        <v>3.5</v>
      </c>
      <c r="W27" s="514">
        <v>7.3</v>
      </c>
      <c r="X27" s="514">
        <v>3.9</v>
      </c>
      <c r="Y27" s="523">
        <f>Z27-X27</f>
        <v>4.5</v>
      </c>
      <c r="Z27" s="514">
        <v>8.4</v>
      </c>
      <c r="AA27" s="413"/>
      <c r="AB27" s="311"/>
      <c r="AC27" s="413"/>
      <c r="AD27" s="413"/>
      <c r="AE27" s="311"/>
      <c r="AF27" s="413"/>
      <c r="AG27" s="413"/>
      <c r="AH27" s="311"/>
      <c r="AI27" s="413"/>
      <c r="AJ27" s="413"/>
      <c r="AK27" s="311"/>
      <c r="AL27" s="413"/>
      <c r="AM27" s="413"/>
      <c r="AN27" s="311"/>
      <c r="AO27" s="413"/>
      <c r="AP27" s="413"/>
      <c r="AQ27" s="311"/>
      <c r="AR27" s="413"/>
      <c r="AS27" s="413"/>
      <c r="AT27" s="413"/>
      <c r="AU27" s="413"/>
    </row>
    <row r="28" spans="1:47">
      <c r="B28" s="609" t="s">
        <v>691</v>
      </c>
      <c r="C28" s="526"/>
      <c r="D28" s="511"/>
      <c r="E28" s="526"/>
      <c r="F28" s="526"/>
      <c r="G28" s="526"/>
      <c r="H28" s="526"/>
      <c r="I28" s="526"/>
      <c r="J28" s="526"/>
      <c r="K28" s="526"/>
      <c r="L28" s="526"/>
      <c r="M28" s="526"/>
      <c r="N28" s="514">
        <v>3</v>
      </c>
      <c r="O28" s="514">
        <v>2.1</v>
      </c>
      <c r="P28" s="523">
        <f>Q28-O28</f>
        <v>2.6999999999999997</v>
      </c>
      <c r="Q28" s="514">
        <v>4.8</v>
      </c>
      <c r="R28" s="514">
        <v>2.8</v>
      </c>
      <c r="S28" s="523">
        <f>T28-R28</f>
        <v>2.9000000000000004</v>
      </c>
      <c r="T28" s="514">
        <v>5.7</v>
      </c>
      <c r="U28" s="514">
        <v>4.4000000000000004</v>
      </c>
      <c r="V28" s="523">
        <f>W28-U28</f>
        <v>4.2999999999999989</v>
      </c>
      <c r="W28" s="514">
        <v>8.6999999999999993</v>
      </c>
      <c r="X28" s="514">
        <f>5.1</f>
        <v>5.0999999999999996</v>
      </c>
      <c r="Y28" s="523">
        <f>Z28-X28</f>
        <v>5.7000000000000011</v>
      </c>
      <c r="Z28" s="514">
        <f>10.8</f>
        <v>10.8</v>
      </c>
      <c r="AA28" s="412"/>
      <c r="AB28" s="311"/>
      <c r="AC28" s="412"/>
      <c r="AD28" s="412"/>
      <c r="AE28" s="311"/>
      <c r="AF28" s="412"/>
      <c r="AG28" s="412"/>
      <c r="AH28" s="311"/>
      <c r="AI28" s="412"/>
      <c r="AJ28" s="412"/>
      <c r="AK28" s="311"/>
      <c r="AL28" s="412"/>
      <c r="AM28" s="412"/>
      <c r="AN28" s="311"/>
      <c r="AO28" s="412"/>
      <c r="AP28" s="412"/>
      <c r="AQ28" s="311"/>
      <c r="AR28" s="412"/>
      <c r="AS28" s="311"/>
      <c r="AT28" s="311"/>
      <c r="AU28" s="311"/>
    </row>
    <row r="29" spans="1:47">
      <c r="A29" s="290" t="s">
        <v>540</v>
      </c>
      <c r="B29" s="409" t="s">
        <v>525</v>
      </c>
      <c r="C29" s="526"/>
      <c r="D29" s="511"/>
      <c r="E29" s="526"/>
      <c r="F29" s="526"/>
      <c r="G29" s="526"/>
      <c r="H29" s="526"/>
      <c r="I29" s="526"/>
      <c r="J29" s="526"/>
      <c r="K29" s="526"/>
      <c r="L29" s="526"/>
      <c r="M29" s="526"/>
      <c r="N29" s="523">
        <f>N28+N27</f>
        <v>5.7</v>
      </c>
      <c r="O29" s="523">
        <f t="shared" ref="O29:Z29" si="50">O28+O27</f>
        <v>4.7</v>
      </c>
      <c r="P29" s="523">
        <f t="shared" si="50"/>
        <v>4.3999999999999995</v>
      </c>
      <c r="Q29" s="523">
        <f t="shared" si="50"/>
        <v>9.1</v>
      </c>
      <c r="R29" s="523">
        <f t="shared" si="50"/>
        <v>5.0999999999999996</v>
      </c>
      <c r="S29" s="523">
        <f t="shared" si="50"/>
        <v>5.1000000000000005</v>
      </c>
      <c r="T29" s="523">
        <f t="shared" si="50"/>
        <v>10.199999999999999</v>
      </c>
      <c r="U29" s="523">
        <f t="shared" si="50"/>
        <v>8.1999999999999993</v>
      </c>
      <c r="V29" s="523">
        <f t="shared" si="50"/>
        <v>7.7999999999999989</v>
      </c>
      <c r="W29" s="523">
        <f t="shared" si="50"/>
        <v>16</v>
      </c>
      <c r="X29" s="523">
        <f t="shared" si="50"/>
        <v>9</v>
      </c>
      <c r="Y29" s="523">
        <f t="shared" si="50"/>
        <v>10.200000000000001</v>
      </c>
      <c r="Z29" s="523">
        <f t="shared" si="50"/>
        <v>19.200000000000003</v>
      </c>
      <c r="AA29" s="313">
        <v>14</v>
      </c>
      <c r="AB29" s="394">
        <f>+AC29-AA29</f>
        <v>16.899999999999999</v>
      </c>
      <c r="AC29" s="313">
        <v>30.9</v>
      </c>
      <c r="AD29" s="313">
        <v>19.8</v>
      </c>
      <c r="AE29" s="394">
        <f>+AF29-AD29</f>
        <v>22.3</v>
      </c>
      <c r="AF29" s="313">
        <v>42.1</v>
      </c>
      <c r="AG29" s="313">
        <v>22.3</v>
      </c>
      <c r="AH29" s="394">
        <f>+AI29-AG29</f>
        <v>18.600000000000005</v>
      </c>
      <c r="AI29" s="313">
        <f>46.7-5.8</f>
        <v>40.900000000000006</v>
      </c>
      <c r="AJ29" s="313">
        <f>25.1-2.6</f>
        <v>22.5</v>
      </c>
      <c r="AK29" s="394">
        <f>+AL29-AJ29</f>
        <v>25.699999999999996</v>
      </c>
      <c r="AL29" s="313">
        <f>57.8-9.6</f>
        <v>48.199999999999996</v>
      </c>
      <c r="AM29" s="313">
        <f>35.6-7.1</f>
        <v>28.5</v>
      </c>
      <c r="AN29" s="394">
        <f>+AO29-AM29</f>
        <v>32.000000000000007</v>
      </c>
      <c r="AO29" s="313">
        <f>75.4-14.9</f>
        <v>60.500000000000007</v>
      </c>
      <c r="AP29" s="313">
        <f>42.7-7.7</f>
        <v>35</v>
      </c>
      <c r="AQ29" s="394">
        <f>+AR29-AP29</f>
        <v>39</v>
      </c>
      <c r="AR29" s="313">
        <f>90.3-16.3</f>
        <v>74</v>
      </c>
      <c r="AS29" s="1140">
        <f>+AR29*(1+AS62)</f>
        <v>118.4</v>
      </c>
      <c r="AT29" s="1140">
        <f t="shared" ref="AT29:AU29" si="51">+AS29*(1+AT62)</f>
        <v>136.16</v>
      </c>
      <c r="AU29" s="1140">
        <f t="shared" si="51"/>
        <v>149.77600000000001</v>
      </c>
    </row>
    <row r="30" spans="1:47" s="397" customFormat="1">
      <c r="A30" s="346" t="s">
        <v>539</v>
      </c>
      <c r="B30" s="380" t="s">
        <v>28</v>
      </c>
      <c r="C30" s="511"/>
      <c r="D30" s="511"/>
      <c r="E30" s="511"/>
      <c r="F30" s="511"/>
      <c r="G30" s="511"/>
      <c r="H30" s="511"/>
      <c r="I30" s="511"/>
      <c r="J30" s="511"/>
      <c r="K30" s="511"/>
      <c r="L30" s="511"/>
      <c r="M30" s="511"/>
      <c r="N30" s="523">
        <f t="shared" ref="N30:Z30" si="52">N24-N29</f>
        <v>16.200000000000006</v>
      </c>
      <c r="O30" s="523">
        <f t="shared" si="52"/>
        <v>9.4000000000000021</v>
      </c>
      <c r="P30" s="523">
        <f t="shared" si="52"/>
        <v>13</v>
      </c>
      <c r="Q30" s="523">
        <f t="shared" si="52"/>
        <v>22.4</v>
      </c>
      <c r="R30" s="523">
        <f t="shared" si="52"/>
        <v>18.899999999999999</v>
      </c>
      <c r="S30" s="523">
        <f t="shared" si="52"/>
        <v>24.9</v>
      </c>
      <c r="T30" s="523">
        <f t="shared" si="52"/>
        <v>43.8</v>
      </c>
      <c r="U30" s="523">
        <f t="shared" si="52"/>
        <v>23.600000000000005</v>
      </c>
      <c r="V30" s="523">
        <f t="shared" si="52"/>
        <v>38.500000000000007</v>
      </c>
      <c r="W30" s="523">
        <f t="shared" si="52"/>
        <v>62.100000000000009</v>
      </c>
      <c r="X30" s="523">
        <f t="shared" si="52"/>
        <v>39.5</v>
      </c>
      <c r="Y30" s="523">
        <f t="shared" si="52"/>
        <v>49.3</v>
      </c>
      <c r="Z30" s="523">
        <f t="shared" si="52"/>
        <v>88.8</v>
      </c>
      <c r="AA30" s="362">
        <f t="shared" ref="AA30:AU30" si="53">AA24-AA29</f>
        <v>28.899999999999991</v>
      </c>
      <c r="AB30" s="362">
        <f t="shared" si="53"/>
        <v>25.300000000000033</v>
      </c>
      <c r="AC30" s="362">
        <f t="shared" si="53"/>
        <v>54.200000000000024</v>
      </c>
      <c r="AD30" s="362">
        <f t="shared" si="53"/>
        <v>43.900000000000006</v>
      </c>
      <c r="AE30" s="362">
        <f t="shared" si="53"/>
        <v>68.099999999999994</v>
      </c>
      <c r="AF30" s="362">
        <f t="shared" si="53"/>
        <v>112</v>
      </c>
      <c r="AG30" s="362">
        <f t="shared" si="53"/>
        <v>79.500000000000014</v>
      </c>
      <c r="AH30" s="362">
        <f t="shared" si="53"/>
        <v>113.69999999999995</v>
      </c>
      <c r="AI30" s="362">
        <f t="shared" si="53"/>
        <v>193.19999999999996</v>
      </c>
      <c r="AJ30" s="362">
        <f t="shared" si="53"/>
        <v>110.79999999999998</v>
      </c>
      <c r="AK30" s="362">
        <f t="shared" si="53"/>
        <v>119.60000000000005</v>
      </c>
      <c r="AL30" s="362">
        <f t="shared" si="53"/>
        <v>230.40000000000003</v>
      </c>
      <c r="AM30" s="362">
        <f t="shared" si="53"/>
        <v>123.6</v>
      </c>
      <c r="AN30" s="362">
        <f t="shared" si="53"/>
        <v>144.1</v>
      </c>
      <c r="AO30" s="362">
        <f t="shared" si="53"/>
        <v>267.7</v>
      </c>
      <c r="AP30" s="362">
        <f t="shared" ref="AP30:AR30" si="54">AP24-AP29</f>
        <v>158.80000000000001</v>
      </c>
      <c r="AQ30" s="362">
        <f t="shared" si="54"/>
        <v>178.39999999999992</v>
      </c>
      <c r="AR30" s="362">
        <f t="shared" si="54"/>
        <v>337.19999999999993</v>
      </c>
      <c r="AS30" s="362">
        <f t="shared" si="53"/>
        <v>497.02949798863574</v>
      </c>
      <c r="AT30" s="362">
        <f t="shared" si="53"/>
        <v>622.81888631427421</v>
      </c>
      <c r="AU30" s="362">
        <f t="shared" si="53"/>
        <v>750.05132961535105</v>
      </c>
    </row>
    <row r="31" spans="1:47">
      <c r="B31" s="380"/>
      <c r="C31" s="512"/>
      <c r="D31" s="512"/>
      <c r="E31" s="527"/>
      <c r="F31" s="512"/>
      <c r="G31" s="512"/>
      <c r="H31" s="527"/>
      <c r="I31" s="526"/>
      <c r="J31" s="528"/>
      <c r="K31" s="527"/>
      <c r="L31" s="512"/>
      <c r="M31" s="512"/>
      <c r="N31" s="529"/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529"/>
      <c r="Z31" s="529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313"/>
      <c r="AN31" s="414"/>
      <c r="AO31" s="414"/>
      <c r="AP31" s="313"/>
      <c r="AQ31" s="414"/>
      <c r="AR31" s="414"/>
      <c r="AS31" s="415"/>
      <c r="AT31" s="415"/>
      <c r="AU31" s="415"/>
    </row>
    <row r="32" spans="1:47">
      <c r="B32" s="409" t="s">
        <v>359</v>
      </c>
      <c r="C32" s="512"/>
      <c r="D32" s="512"/>
      <c r="E32" s="527"/>
      <c r="F32" s="512"/>
      <c r="G32" s="512"/>
      <c r="H32" s="527"/>
      <c r="I32" s="526"/>
      <c r="J32" s="528"/>
      <c r="K32" s="527"/>
      <c r="L32" s="512"/>
      <c r="M32" s="512"/>
      <c r="N32" s="514"/>
      <c r="O32" s="514"/>
      <c r="P32" s="523">
        <f>Q32-O32</f>
        <v>-0.2</v>
      </c>
      <c r="Q32" s="514">
        <v>-0.2</v>
      </c>
      <c r="R32" s="514">
        <v>0</v>
      </c>
      <c r="S32" s="523">
        <f>T32-R32</f>
        <v>-0.2</v>
      </c>
      <c r="T32" s="514">
        <v>-0.2</v>
      </c>
      <c r="U32" s="514">
        <v>-0.5</v>
      </c>
      <c r="V32" s="523">
        <f>W32-U32</f>
        <v>-0.89999999999999991</v>
      </c>
      <c r="W32" s="514">
        <v>-1.4</v>
      </c>
      <c r="X32" s="514">
        <v>0</v>
      </c>
      <c r="Y32" s="523">
        <f>Z32-X32</f>
        <v>-4.0999999999999996</v>
      </c>
      <c r="Z32" s="514">
        <v>-4.0999999999999996</v>
      </c>
      <c r="AA32" s="313">
        <v>0</v>
      </c>
      <c r="AB32" s="394">
        <f>AC32-AA32</f>
        <v>0</v>
      </c>
      <c r="AC32" s="313">
        <v>0</v>
      </c>
      <c r="AD32" s="313">
        <v>0</v>
      </c>
      <c r="AE32" s="394">
        <f>AF32-AD32</f>
        <v>0</v>
      </c>
      <c r="AF32" s="313">
        <v>0</v>
      </c>
      <c r="AG32" s="313">
        <v>0</v>
      </c>
      <c r="AH32" s="394">
        <f>AI32-AG32</f>
        <v>0</v>
      </c>
      <c r="AI32" s="313">
        <v>0</v>
      </c>
      <c r="AJ32" s="313">
        <f>-0.2-0.1</f>
        <v>-0.30000000000000004</v>
      </c>
      <c r="AK32" s="394">
        <f>AL32-AJ32</f>
        <v>-0.39999999999999991</v>
      </c>
      <c r="AL32" s="313">
        <f>-0.5-0.2</f>
        <v>-0.7</v>
      </c>
      <c r="AM32" s="313">
        <f>-0.3-0.1</f>
        <v>-0.4</v>
      </c>
      <c r="AN32" s="394">
        <f>AO32-AM32</f>
        <v>9.9999999999999978E-2</v>
      </c>
      <c r="AO32" s="313">
        <f>-0.2-0.1</f>
        <v>-0.30000000000000004</v>
      </c>
      <c r="AP32" s="313">
        <f>-0.4-0.2-0.2</f>
        <v>-0.8</v>
      </c>
      <c r="AQ32" s="394">
        <f>AR32-AP32</f>
        <v>-0.19999999999999996</v>
      </c>
      <c r="AR32" s="313">
        <f>-0.7-0.3</f>
        <v>-1</v>
      </c>
      <c r="AS32" s="313">
        <v>0</v>
      </c>
      <c r="AT32" s="313">
        <v>0</v>
      </c>
      <c r="AU32" s="313">
        <v>0</v>
      </c>
    </row>
    <row r="33" spans="1:47">
      <c r="B33" s="409" t="s">
        <v>142</v>
      </c>
      <c r="C33" s="526"/>
      <c r="D33" s="511"/>
      <c r="E33" s="511"/>
      <c r="F33" s="511"/>
      <c r="G33" s="511"/>
      <c r="H33" s="511"/>
      <c r="I33" s="511"/>
      <c r="J33" s="511"/>
      <c r="K33" s="511"/>
      <c r="L33" s="511"/>
      <c r="M33" s="511"/>
      <c r="N33" s="514">
        <v>-0.5</v>
      </c>
      <c r="O33" s="514">
        <v>-0.1</v>
      </c>
      <c r="P33" s="523">
        <f>Q33-O33</f>
        <v>-0.19999999999999998</v>
      </c>
      <c r="Q33" s="514">
        <f>-0.3</f>
        <v>-0.3</v>
      </c>
      <c r="R33" s="514">
        <v>-1.9</v>
      </c>
      <c r="S33" s="523">
        <f>T33-R33</f>
        <v>-0.80000000000000027</v>
      </c>
      <c r="T33" s="514">
        <f>-2.7</f>
        <v>-2.7</v>
      </c>
      <c r="U33" s="514">
        <f>0.2</f>
        <v>0.2</v>
      </c>
      <c r="V33" s="523">
        <f>W33-U33</f>
        <v>1</v>
      </c>
      <c r="W33" s="514">
        <f>1.2</f>
        <v>1.2</v>
      </c>
      <c r="X33" s="514">
        <f>2.8-1.9</f>
        <v>0.89999999999999991</v>
      </c>
      <c r="Y33" s="523">
        <f>Z33-X33</f>
        <v>4.5</v>
      </c>
      <c r="Z33" s="514">
        <f>5.4</f>
        <v>5.4</v>
      </c>
      <c r="AA33" s="313">
        <v>2</v>
      </c>
      <c r="AB33" s="394">
        <f>+AC33-AA33</f>
        <v>4.4000000000000004</v>
      </c>
      <c r="AC33" s="313">
        <v>6.4</v>
      </c>
      <c r="AD33" s="313">
        <v>0.9</v>
      </c>
      <c r="AE33" s="394">
        <f>+AF33-AD33</f>
        <v>2.2000000000000002</v>
      </c>
      <c r="AF33" s="313">
        <v>3.1</v>
      </c>
      <c r="AG33" s="313">
        <v>1.4</v>
      </c>
      <c r="AH33" s="394">
        <f>+AI33-AG33</f>
        <v>0.60000000000000009</v>
      </c>
      <c r="AI33" s="313">
        <v>2</v>
      </c>
      <c r="AJ33" s="313">
        <v>-1.7</v>
      </c>
      <c r="AK33" s="394">
        <f>+AL33-AJ33</f>
        <v>1.2</v>
      </c>
      <c r="AL33" s="313">
        <v>-0.5</v>
      </c>
      <c r="AM33" s="313">
        <v>5.9</v>
      </c>
      <c r="AN33" s="394">
        <f>+AO33-AM33</f>
        <v>3.5</v>
      </c>
      <c r="AO33" s="313">
        <v>9.4</v>
      </c>
      <c r="AP33" s="313">
        <v>1.8</v>
      </c>
      <c r="AQ33" s="394">
        <f>+AR33-AP33</f>
        <v>1.7</v>
      </c>
      <c r="AR33" s="313">
        <v>3.5</v>
      </c>
      <c r="AS33" s="394">
        <f>AS129</f>
        <v>94.3</v>
      </c>
      <c r="AT33" s="394">
        <f>AT129</f>
        <v>99.5</v>
      </c>
      <c r="AU33" s="394">
        <f t="shared" ref="AU33" si="55">AU129</f>
        <v>93.9</v>
      </c>
    </row>
    <row r="34" spans="1:47">
      <c r="B34" s="380" t="s">
        <v>127</v>
      </c>
      <c r="C34" s="516"/>
      <c r="D34" s="516"/>
      <c r="E34" s="516"/>
      <c r="F34" s="516"/>
      <c r="G34" s="516"/>
      <c r="H34" s="516"/>
      <c r="I34" s="516"/>
      <c r="J34" s="516"/>
      <c r="K34" s="516"/>
      <c r="L34" s="516"/>
      <c r="M34" s="516"/>
      <c r="N34" s="515">
        <f>+N30-N33-N32</f>
        <v>16.700000000000006</v>
      </c>
      <c r="O34" s="515">
        <f>+O30-O33-O32</f>
        <v>9.5000000000000018</v>
      </c>
      <c r="P34" s="515">
        <f>+P30-P33-P32</f>
        <v>13.399999999999999</v>
      </c>
      <c r="Q34" s="515">
        <f t="shared" ref="Q34:Z34" si="56">+Q30-Q33-Q32</f>
        <v>22.9</v>
      </c>
      <c r="R34" s="515">
        <f>+R30-R33-R32</f>
        <v>20.799999999999997</v>
      </c>
      <c r="S34" s="515">
        <f>+S30-S33-S32</f>
        <v>25.9</v>
      </c>
      <c r="T34" s="515">
        <f t="shared" si="56"/>
        <v>46.7</v>
      </c>
      <c r="U34" s="515">
        <f>+U30-U33-U32</f>
        <v>23.900000000000006</v>
      </c>
      <c r="V34" s="515">
        <f>+V30-V33-V32</f>
        <v>38.400000000000006</v>
      </c>
      <c r="W34" s="515">
        <f t="shared" si="56"/>
        <v>62.300000000000004</v>
      </c>
      <c r="X34" s="515">
        <f t="shared" si="56"/>
        <v>38.6</v>
      </c>
      <c r="Y34" s="515">
        <f t="shared" si="56"/>
        <v>48.9</v>
      </c>
      <c r="Z34" s="515">
        <f t="shared" si="56"/>
        <v>87.499999999999986</v>
      </c>
      <c r="AA34" s="362">
        <f>+AA30-AA33-AA32</f>
        <v>26.899999999999991</v>
      </c>
      <c r="AB34" s="362">
        <f t="shared" ref="AB34:AU34" si="57">+AB30-AB33-AB32</f>
        <v>20.900000000000034</v>
      </c>
      <c r="AC34" s="362">
        <f t="shared" si="57"/>
        <v>47.800000000000026</v>
      </c>
      <c r="AD34" s="362">
        <f t="shared" si="57"/>
        <v>43.000000000000007</v>
      </c>
      <c r="AE34" s="362">
        <f t="shared" si="57"/>
        <v>65.899999999999991</v>
      </c>
      <c r="AF34" s="362">
        <f t="shared" si="57"/>
        <v>108.9</v>
      </c>
      <c r="AG34" s="362">
        <f t="shared" si="57"/>
        <v>78.100000000000009</v>
      </c>
      <c r="AH34" s="362">
        <f t="shared" si="57"/>
        <v>113.09999999999995</v>
      </c>
      <c r="AI34" s="362">
        <f t="shared" si="57"/>
        <v>191.19999999999996</v>
      </c>
      <c r="AJ34" s="362">
        <f t="shared" si="57"/>
        <v>112.79999999999998</v>
      </c>
      <c r="AK34" s="362">
        <f t="shared" si="57"/>
        <v>118.80000000000005</v>
      </c>
      <c r="AL34" s="362">
        <f t="shared" si="57"/>
        <v>231.60000000000002</v>
      </c>
      <c r="AM34" s="362">
        <f t="shared" si="57"/>
        <v>118.1</v>
      </c>
      <c r="AN34" s="362">
        <f t="shared" si="57"/>
        <v>140.5</v>
      </c>
      <c r="AO34" s="362">
        <f t="shared" si="57"/>
        <v>258.60000000000002</v>
      </c>
      <c r="AP34" s="362">
        <f t="shared" ref="AP34:AR34" si="58">+AP30-AP33-AP32</f>
        <v>157.80000000000001</v>
      </c>
      <c r="AQ34" s="362">
        <f t="shared" si="58"/>
        <v>176.89999999999992</v>
      </c>
      <c r="AR34" s="362">
        <f t="shared" si="58"/>
        <v>334.69999999999993</v>
      </c>
      <c r="AS34" s="362">
        <f t="shared" si="57"/>
        <v>402.72949798863573</v>
      </c>
      <c r="AT34" s="362">
        <f t="shared" si="57"/>
        <v>523.31888631427421</v>
      </c>
      <c r="AU34" s="362">
        <f t="shared" si="57"/>
        <v>656.15132961535107</v>
      </c>
    </row>
    <row r="35" spans="1:47">
      <c r="B35" s="409" t="s">
        <v>47</v>
      </c>
      <c r="C35" s="526"/>
      <c r="D35" s="511"/>
      <c r="E35" s="511"/>
      <c r="F35" s="511"/>
      <c r="G35" s="511"/>
      <c r="H35" s="511"/>
      <c r="I35" s="511"/>
      <c r="J35" s="511"/>
      <c r="K35" s="511"/>
      <c r="L35" s="511"/>
      <c r="M35" s="511"/>
      <c r="N35" s="514">
        <f>4.2+2.1*0.3</f>
        <v>4.83</v>
      </c>
      <c r="O35" s="514">
        <f>3.4+1.1*0.3</f>
        <v>3.73</v>
      </c>
      <c r="P35" s="523">
        <f>Q35-O35</f>
        <v>3.4699999999999993</v>
      </c>
      <c r="Q35" s="514">
        <f>6.6+(1.9-1.3)</f>
        <v>7.1999999999999993</v>
      </c>
      <c r="R35" s="514">
        <f>5.3+1*0.3</f>
        <v>5.6</v>
      </c>
      <c r="S35" s="523">
        <f>T35-R35</f>
        <v>7.1</v>
      </c>
      <c r="T35" s="514">
        <f>12+(2.2-1.5)</f>
        <v>12.7</v>
      </c>
      <c r="U35" s="514">
        <f>6.8+1.1-0.8</f>
        <v>7.1000000000000005</v>
      </c>
      <c r="V35" s="523">
        <f>W35-U35</f>
        <v>10.299999999999997</v>
      </c>
      <c r="W35" s="514">
        <f>16.4+(3.6-2.6)</f>
        <v>17.399999999999999</v>
      </c>
      <c r="X35" s="514">
        <f>10.1+3.7-2.7</f>
        <v>11.100000000000001</v>
      </c>
      <c r="Y35" s="523">
        <f>Z35-X35</f>
        <v>13.5</v>
      </c>
      <c r="Z35" s="514">
        <f>22.3+(8.6-6.3)</f>
        <v>24.6</v>
      </c>
      <c r="AA35" s="313">
        <v>8.1999999999999993</v>
      </c>
      <c r="AB35" s="311">
        <f>AC35-AA35</f>
        <v>4</v>
      </c>
      <c r="AC35" s="313">
        <f>14.2-2</f>
        <v>12.2</v>
      </c>
      <c r="AD35" s="313">
        <v>11.7</v>
      </c>
      <c r="AE35" s="311">
        <f>AF35-AD35</f>
        <v>18</v>
      </c>
      <c r="AF35" s="313">
        <v>29.7</v>
      </c>
      <c r="AG35" s="313">
        <f>21.1+0+0-0+0</f>
        <v>21.1</v>
      </c>
      <c r="AH35" s="311">
        <f>AI35-AG35</f>
        <v>31.199999999999996</v>
      </c>
      <c r="AI35" s="313">
        <f>41.9+8.8+5.8-4.2+0</f>
        <v>52.3</v>
      </c>
      <c r="AJ35" s="313">
        <f>29.3+0.4+2.6-1.9+0.1</f>
        <v>30.5</v>
      </c>
      <c r="AK35" s="311">
        <f>AL35-AJ35</f>
        <v>33.5</v>
      </c>
      <c r="AL35" s="313">
        <f>60+1.6+9.6-7.4+0.2</f>
        <v>64</v>
      </c>
      <c r="AM35" s="313">
        <f>31.6+1.1+7.1-5.5+0.1</f>
        <v>34.400000000000006</v>
      </c>
      <c r="AN35" s="311">
        <f>AO35-AM35</f>
        <v>38.400000000000006</v>
      </c>
      <c r="AO35" s="313">
        <f>68.2+1.2+14.9-11.6+0.1</f>
        <v>72.800000000000011</v>
      </c>
      <c r="AP35" s="313">
        <f>41.3+2.6+7.7-6+0.2</f>
        <v>45.800000000000004</v>
      </c>
      <c r="AQ35" s="311">
        <f>AR35-AP35</f>
        <v>46.999999999999993</v>
      </c>
      <c r="AR35" s="313">
        <f>87.1+2.8+16.3-12.6+0.3-1.1</f>
        <v>92.8</v>
      </c>
      <c r="AS35" s="311">
        <f>+AS34*AS71</f>
        <v>112.76425943681801</v>
      </c>
      <c r="AT35" s="311">
        <f>+AT34*AT71</f>
        <v>146.52928816799678</v>
      </c>
      <c r="AU35" s="311">
        <f t="shared" ref="AU35" si="59">+AU34*AU71</f>
        <v>183.72237229229833</v>
      </c>
    </row>
    <row r="36" spans="1:47" hidden="1" outlineLevel="1">
      <c r="B36" s="409" t="s">
        <v>254</v>
      </c>
      <c r="C36" s="511"/>
      <c r="D36" s="511"/>
      <c r="E36" s="511"/>
      <c r="F36" s="511"/>
      <c r="G36" s="511"/>
      <c r="H36" s="511"/>
      <c r="I36" s="511"/>
      <c r="J36" s="511"/>
      <c r="K36" s="511"/>
      <c r="L36" s="511"/>
      <c r="M36" s="511"/>
      <c r="N36" s="523">
        <f>N34-N35</f>
        <v>11.870000000000006</v>
      </c>
      <c r="O36" s="523">
        <f>O34-O35</f>
        <v>5.7700000000000014</v>
      </c>
      <c r="P36" s="523">
        <f>Q36-O36</f>
        <v>9.9299999999999979</v>
      </c>
      <c r="Q36" s="523">
        <f>Q34-Q35</f>
        <v>15.7</v>
      </c>
      <c r="R36" s="523">
        <f>R34-R35</f>
        <v>15.199999999999998</v>
      </c>
      <c r="S36" s="523">
        <f>T36-R36</f>
        <v>18.800000000000004</v>
      </c>
      <c r="T36" s="523">
        <f>T34-T35</f>
        <v>34</v>
      </c>
      <c r="U36" s="523">
        <f>U34-U35</f>
        <v>16.800000000000004</v>
      </c>
      <c r="V36" s="523">
        <f>W36-U36</f>
        <v>28.1</v>
      </c>
      <c r="W36" s="523">
        <f>W34-W35</f>
        <v>44.900000000000006</v>
      </c>
      <c r="X36" s="523">
        <f>X34-X35</f>
        <v>27.5</v>
      </c>
      <c r="Y36" s="523">
        <f>Z36-X36</f>
        <v>35.399999999999984</v>
      </c>
      <c r="Z36" s="523">
        <f>Z34-Z35</f>
        <v>62.899999999999984</v>
      </c>
      <c r="AA36" s="311">
        <f>AA34-AA35</f>
        <v>18.699999999999992</v>
      </c>
      <c r="AB36" s="311">
        <f>AC36-AA36</f>
        <v>16.900000000000031</v>
      </c>
      <c r="AC36" s="311">
        <f>AC34-AC35</f>
        <v>35.600000000000023</v>
      </c>
      <c r="AD36" s="311">
        <f>AD34-AD35</f>
        <v>31.300000000000008</v>
      </c>
      <c r="AE36" s="311">
        <f>AF36-AD36</f>
        <v>47.899999999999991</v>
      </c>
      <c r="AF36" s="311">
        <f>AF34-AF35</f>
        <v>79.2</v>
      </c>
      <c r="AG36" s="311">
        <f>AG34-AG35</f>
        <v>57.000000000000007</v>
      </c>
      <c r="AH36" s="311">
        <f>AI36-AG36</f>
        <v>81.899999999999977</v>
      </c>
      <c r="AI36" s="311">
        <f>AI34-AI35</f>
        <v>138.89999999999998</v>
      </c>
      <c r="AJ36" s="311">
        <f>AJ34-AJ35</f>
        <v>82.299999999999983</v>
      </c>
      <c r="AK36" s="311">
        <f>AL36-AJ36</f>
        <v>85.30000000000004</v>
      </c>
      <c r="AL36" s="311">
        <f>AL34-AL35</f>
        <v>167.60000000000002</v>
      </c>
      <c r="AM36" s="311">
        <f>AM34-AM35</f>
        <v>83.699999999999989</v>
      </c>
      <c r="AN36" s="311">
        <f>AO36-AM36</f>
        <v>102.10000000000002</v>
      </c>
      <c r="AO36" s="311">
        <f>AO34-AO35</f>
        <v>185.8</v>
      </c>
      <c r="AP36" s="311">
        <f>AP34-AP35</f>
        <v>112</v>
      </c>
      <c r="AQ36" s="311">
        <f>AR36-AP36</f>
        <v>129.89999999999992</v>
      </c>
      <c r="AR36" s="311">
        <f>AR34-AR35</f>
        <v>241.89999999999992</v>
      </c>
      <c r="AS36" s="311">
        <f>AS34-AS35</f>
        <v>289.96523855181772</v>
      </c>
      <c r="AT36" s="311">
        <f>AT34-AT35</f>
        <v>376.7895981462774</v>
      </c>
      <c r="AU36" s="311">
        <f t="shared" ref="AU36" si="60">AU34-AU35</f>
        <v>472.42895732305271</v>
      </c>
    </row>
    <row r="37" spans="1:47" hidden="1" outlineLevel="1">
      <c r="B37" s="409" t="s">
        <v>128</v>
      </c>
      <c r="C37" s="526"/>
      <c r="D37" s="511"/>
      <c r="E37" s="526"/>
      <c r="F37" s="526"/>
      <c r="G37" s="511"/>
      <c r="H37" s="526"/>
      <c r="I37" s="526"/>
      <c r="J37" s="511"/>
      <c r="K37" s="526"/>
      <c r="L37" s="526"/>
      <c r="M37" s="511"/>
      <c r="N37" s="526"/>
      <c r="O37" s="526"/>
      <c r="P37" s="526"/>
      <c r="Q37" s="526"/>
      <c r="R37" s="514">
        <v>0</v>
      </c>
      <c r="S37" s="523">
        <f>T37-R37</f>
        <v>-0.1</v>
      </c>
      <c r="T37" s="514">
        <v>-0.1</v>
      </c>
      <c r="U37" s="526"/>
      <c r="V37" s="526"/>
      <c r="W37" s="526"/>
      <c r="X37" s="526"/>
      <c r="Y37" s="526"/>
      <c r="Z37" s="526"/>
      <c r="AA37" s="412"/>
      <c r="AB37" s="412"/>
      <c r="AC37" s="412"/>
      <c r="AD37" s="412"/>
      <c r="AE37" s="412"/>
      <c r="AF37" s="412"/>
      <c r="AG37" s="412"/>
      <c r="AH37" s="412"/>
      <c r="AI37" s="412"/>
      <c r="AJ37" s="412"/>
      <c r="AK37" s="412"/>
      <c r="AL37" s="412"/>
      <c r="AM37" s="412"/>
      <c r="AN37" s="412"/>
      <c r="AO37" s="412"/>
      <c r="AP37" s="412"/>
      <c r="AQ37" s="412"/>
      <c r="AR37" s="412"/>
      <c r="AS37" s="412"/>
      <c r="AT37" s="412"/>
      <c r="AU37" s="412"/>
    </row>
    <row r="38" spans="1:47" hidden="1" outlineLevel="1">
      <c r="B38" s="409" t="s">
        <v>206</v>
      </c>
      <c r="C38" s="526"/>
      <c r="D38" s="511"/>
      <c r="E38" s="526"/>
      <c r="F38" s="526"/>
      <c r="G38" s="511"/>
      <c r="H38" s="526"/>
      <c r="I38" s="526"/>
      <c r="J38" s="511"/>
      <c r="K38" s="526"/>
      <c r="L38" s="526"/>
      <c r="M38" s="511"/>
      <c r="N38" s="514"/>
      <c r="O38" s="514"/>
      <c r="P38" s="511"/>
      <c r="Q38" s="514"/>
      <c r="R38" s="514">
        <v>0.1</v>
      </c>
      <c r="S38" s="523">
        <f>T38-R38</f>
        <v>0.19999999999999998</v>
      </c>
      <c r="T38" s="514">
        <v>0.3</v>
      </c>
      <c r="U38" s="514"/>
      <c r="V38" s="511"/>
      <c r="W38" s="514"/>
      <c r="X38" s="514"/>
      <c r="Y38" s="511"/>
      <c r="Z38" s="514"/>
      <c r="AA38" s="313"/>
      <c r="AB38" s="311"/>
      <c r="AC38" s="313"/>
      <c r="AD38" s="313"/>
      <c r="AE38" s="311"/>
      <c r="AF38" s="313"/>
      <c r="AG38" s="313"/>
      <c r="AH38" s="311"/>
      <c r="AI38" s="313"/>
      <c r="AJ38" s="313"/>
      <c r="AK38" s="311"/>
      <c r="AL38" s="313"/>
      <c r="AM38" s="313"/>
      <c r="AN38" s="311"/>
      <c r="AO38" s="313"/>
      <c r="AP38" s="313"/>
      <c r="AQ38" s="311"/>
      <c r="AR38" s="313"/>
      <c r="AS38" s="383"/>
      <c r="AT38" s="383"/>
      <c r="AU38" s="383"/>
    </row>
    <row r="39" spans="1:47" hidden="1" outlineLevel="1">
      <c r="B39" s="409" t="s">
        <v>110</v>
      </c>
      <c r="C39" s="526"/>
      <c r="D39" s="511"/>
      <c r="E39" s="526"/>
      <c r="F39" s="526"/>
      <c r="G39" s="511"/>
      <c r="H39" s="526"/>
      <c r="I39" s="526"/>
      <c r="J39" s="511"/>
      <c r="K39" s="526"/>
      <c r="L39" s="526"/>
      <c r="M39" s="511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412"/>
      <c r="AB39" s="412"/>
      <c r="AC39" s="412"/>
      <c r="AD39" s="412"/>
      <c r="AE39" s="412"/>
      <c r="AF39" s="313"/>
      <c r="AG39" s="412"/>
      <c r="AH39" s="412"/>
      <c r="AI39" s="313"/>
      <c r="AJ39" s="412"/>
      <c r="AK39" s="412"/>
      <c r="AL39" s="313"/>
      <c r="AM39" s="412"/>
      <c r="AN39" s="412"/>
      <c r="AO39" s="313"/>
      <c r="AP39" s="412"/>
      <c r="AQ39" s="412"/>
      <c r="AR39" s="313"/>
      <c r="AS39" s="412"/>
      <c r="AT39" s="412"/>
      <c r="AU39" s="412"/>
    </row>
    <row r="40" spans="1:47" collapsed="1">
      <c r="A40" s="290" t="s">
        <v>541</v>
      </c>
      <c r="B40" s="416" t="s">
        <v>688</v>
      </c>
      <c r="C40" s="530"/>
      <c r="D40" s="530"/>
      <c r="E40" s="530"/>
      <c r="F40" s="530"/>
      <c r="G40" s="530"/>
      <c r="H40" s="530"/>
      <c r="I40" s="530"/>
      <c r="J40" s="530"/>
      <c r="K40" s="530"/>
      <c r="L40" s="530"/>
      <c r="M40" s="530"/>
      <c r="N40" s="531">
        <f t="shared" ref="N40:Z40" si="61">N36-N38+N37+N39</f>
        <v>11.870000000000006</v>
      </c>
      <c r="O40" s="531">
        <f t="shared" si="61"/>
        <v>5.7700000000000014</v>
      </c>
      <c r="P40" s="531">
        <f t="shared" si="61"/>
        <v>9.9299999999999979</v>
      </c>
      <c r="Q40" s="531">
        <f t="shared" si="61"/>
        <v>15.7</v>
      </c>
      <c r="R40" s="531">
        <f t="shared" si="61"/>
        <v>15.099999999999998</v>
      </c>
      <c r="S40" s="531">
        <f t="shared" si="61"/>
        <v>18.500000000000004</v>
      </c>
      <c r="T40" s="531">
        <f t="shared" si="61"/>
        <v>33.6</v>
      </c>
      <c r="U40" s="531">
        <f t="shared" si="61"/>
        <v>16.800000000000004</v>
      </c>
      <c r="V40" s="531">
        <f t="shared" si="61"/>
        <v>28.1</v>
      </c>
      <c r="W40" s="531">
        <f t="shared" si="61"/>
        <v>44.900000000000006</v>
      </c>
      <c r="X40" s="531">
        <f t="shared" si="61"/>
        <v>27.5</v>
      </c>
      <c r="Y40" s="531">
        <f t="shared" si="61"/>
        <v>35.399999999999984</v>
      </c>
      <c r="Z40" s="531">
        <f t="shared" si="61"/>
        <v>62.899999999999984</v>
      </c>
      <c r="AA40" s="417">
        <f t="shared" ref="AA40:AC40" si="62">AA36-AA38+AA37+AA39</f>
        <v>18.699999999999992</v>
      </c>
      <c r="AB40" s="417">
        <f>+AC40-AA40</f>
        <v>16.900000000000031</v>
      </c>
      <c r="AC40" s="417">
        <f t="shared" si="62"/>
        <v>35.600000000000023</v>
      </c>
      <c r="AD40" s="417">
        <f t="shared" ref="AD40:AT40" si="63">AD36-AD38+AD37+AD39</f>
        <v>31.300000000000008</v>
      </c>
      <c r="AE40" s="417">
        <f>+AF40-AD40</f>
        <v>47.899999999999991</v>
      </c>
      <c r="AF40" s="417">
        <f t="shared" si="63"/>
        <v>79.2</v>
      </c>
      <c r="AG40" s="417">
        <f t="shared" ref="AG40:AL40" si="64">AG36-AG38+AG37+AG39</f>
        <v>57.000000000000007</v>
      </c>
      <c r="AH40" s="417">
        <f>+AI40-AG40</f>
        <v>81.899999999999977</v>
      </c>
      <c r="AI40" s="417">
        <f t="shared" si="64"/>
        <v>138.89999999999998</v>
      </c>
      <c r="AJ40" s="417">
        <f t="shared" si="64"/>
        <v>82.299999999999983</v>
      </c>
      <c r="AK40" s="417">
        <f>+AL40-AJ40</f>
        <v>85.30000000000004</v>
      </c>
      <c r="AL40" s="417">
        <f t="shared" si="64"/>
        <v>167.60000000000002</v>
      </c>
      <c r="AM40" s="417">
        <f t="shared" ref="AM40:AO40" si="65">AM36-AM38+AM37+AM39</f>
        <v>83.699999999999989</v>
      </c>
      <c r="AN40" s="417">
        <f>+AO40-AM40</f>
        <v>102.10000000000002</v>
      </c>
      <c r="AO40" s="417">
        <f t="shared" si="65"/>
        <v>185.8</v>
      </c>
      <c r="AP40" s="417">
        <f t="shared" ref="AP40" si="66">AP36-AP38+AP37+AP39</f>
        <v>112</v>
      </c>
      <c r="AQ40" s="417">
        <f>+AR40-AP40</f>
        <v>129.89999999999992</v>
      </c>
      <c r="AR40" s="417">
        <f t="shared" ref="AR40" si="67">AR36-AR38+AR37+AR39</f>
        <v>241.89999999999992</v>
      </c>
      <c r="AS40" s="417">
        <f t="shared" si="63"/>
        <v>289.96523855181772</v>
      </c>
      <c r="AT40" s="417">
        <f t="shared" si="63"/>
        <v>376.7895981462774</v>
      </c>
      <c r="AU40" s="417">
        <f t="shared" ref="AU40" si="68">AU36-AU38+AU37+AU39</f>
        <v>472.42895732305271</v>
      </c>
    </row>
    <row r="41" spans="1:47" s="388" customFormat="1">
      <c r="A41" s="370"/>
      <c r="B41" s="405" t="s">
        <v>48</v>
      </c>
      <c r="C41" s="526"/>
      <c r="D41" s="511"/>
      <c r="E41" s="526"/>
      <c r="F41" s="526"/>
      <c r="G41" s="511"/>
      <c r="H41" s="526"/>
      <c r="I41" s="526"/>
      <c r="J41" s="511"/>
      <c r="K41" s="526"/>
      <c r="L41" s="526"/>
      <c r="M41" s="511"/>
      <c r="N41" s="514">
        <f>-2.1*0.7</f>
        <v>-1.47</v>
      </c>
      <c r="O41" s="532">
        <f>-1.1*0.7</f>
        <v>-0.77</v>
      </c>
      <c r="P41" s="533">
        <f>Q41-O41</f>
        <v>-0.73</v>
      </c>
      <c r="Q41" s="514">
        <f>-1.3-0.2</f>
        <v>-1.5</v>
      </c>
      <c r="R41" s="532">
        <f>-1*0.7</f>
        <v>-0.7</v>
      </c>
      <c r="S41" s="533">
        <f>T41-R41</f>
        <v>-1</v>
      </c>
      <c r="T41" s="514">
        <f>-1.5-0.2</f>
        <v>-1.7</v>
      </c>
      <c r="U41" s="532">
        <f>-0.5-0.8</f>
        <v>-1.3</v>
      </c>
      <c r="V41" s="533">
        <f>W41-U41</f>
        <v>-2.7</v>
      </c>
      <c r="W41" s="532">
        <f>-2.6-1.4</f>
        <v>-4</v>
      </c>
      <c r="X41" s="532">
        <f>0.1-1.9-2.7</f>
        <v>-4.5</v>
      </c>
      <c r="Y41" s="533">
        <f>Z41-X41</f>
        <v>-4.2999999999999989</v>
      </c>
      <c r="Z41" s="532">
        <f>-4.1-6.3+1.6</f>
        <v>-8.7999999999999989</v>
      </c>
      <c r="AA41" s="375">
        <v>22.4</v>
      </c>
      <c r="AB41" s="388">
        <f>+AC41-AA41</f>
        <v>47.300000000000004</v>
      </c>
      <c r="AC41" s="375">
        <f>71.7-2</f>
        <v>69.7</v>
      </c>
      <c r="AD41" s="375">
        <v>0.6</v>
      </c>
      <c r="AE41" s="388">
        <f>+AF41-AD41</f>
        <v>1.1000000000000001</v>
      </c>
      <c r="AF41" s="375">
        <v>1.7</v>
      </c>
      <c r="AG41" s="418">
        <v>0.1</v>
      </c>
      <c r="AH41" s="388">
        <f>+AI41-AG41</f>
        <v>2.9</v>
      </c>
      <c r="AI41" s="375">
        <f>0.1+8.8-4.2-1.7</f>
        <v>3</v>
      </c>
      <c r="AJ41" s="418">
        <f>0.4-0.2-1.9-6.8</f>
        <v>-8.5</v>
      </c>
      <c r="AK41" s="388">
        <f>+AL41-AJ41</f>
        <v>-15.399999999999999</v>
      </c>
      <c r="AL41" s="375">
        <f>0.1+1.6-0.5-7.4-17.7</f>
        <v>-23.9</v>
      </c>
      <c r="AM41" s="418">
        <f>1.1-0.3-5.5-2</f>
        <v>-6.7</v>
      </c>
      <c r="AN41" s="388">
        <f>+AO41-AM41</f>
        <v>-6.9000000000000012</v>
      </c>
      <c r="AO41" s="375">
        <f>0.2+1.2-0.2-11.6-3.2</f>
        <v>-13.600000000000001</v>
      </c>
      <c r="AP41" s="418">
        <f>2.6-0.4-6-1.6-0.2</f>
        <v>-5.6000000000000005</v>
      </c>
      <c r="AQ41" s="388">
        <f>+AR41-AP41</f>
        <v>-35.4</v>
      </c>
      <c r="AR41" s="375">
        <f>-30.6-0.7-12.6+2.8+0.1</f>
        <v>-41</v>
      </c>
      <c r="AS41" s="418"/>
      <c r="AT41" s="418"/>
      <c r="AU41" s="418"/>
    </row>
    <row r="42" spans="1:47">
      <c r="B42" s="409" t="s">
        <v>49</v>
      </c>
      <c r="C42" s="511"/>
      <c r="D42" s="511"/>
      <c r="E42" s="511"/>
      <c r="F42" s="511"/>
      <c r="G42" s="511"/>
      <c r="H42" s="511"/>
      <c r="I42" s="511"/>
      <c r="J42" s="511"/>
      <c r="K42" s="511"/>
      <c r="L42" s="511"/>
      <c r="M42" s="511"/>
      <c r="N42" s="523">
        <f t="shared" ref="N42:Z42" si="69">N40+N41</f>
        <v>10.400000000000006</v>
      </c>
      <c r="O42" s="523">
        <f t="shared" si="69"/>
        <v>5.0000000000000018</v>
      </c>
      <c r="P42" s="523">
        <f t="shared" si="69"/>
        <v>9.1999999999999975</v>
      </c>
      <c r="Q42" s="523">
        <f t="shared" si="69"/>
        <v>14.2</v>
      </c>
      <c r="R42" s="523">
        <f t="shared" si="69"/>
        <v>14.399999999999999</v>
      </c>
      <c r="S42" s="523">
        <f t="shared" si="69"/>
        <v>17.500000000000004</v>
      </c>
      <c r="T42" s="523">
        <f t="shared" si="69"/>
        <v>31.900000000000002</v>
      </c>
      <c r="U42" s="523">
        <f t="shared" si="69"/>
        <v>15.500000000000004</v>
      </c>
      <c r="V42" s="523">
        <f t="shared" si="69"/>
        <v>25.400000000000002</v>
      </c>
      <c r="W42" s="523">
        <f t="shared" si="69"/>
        <v>40.900000000000006</v>
      </c>
      <c r="X42" s="523">
        <f t="shared" si="69"/>
        <v>23</v>
      </c>
      <c r="Y42" s="523">
        <f t="shared" si="69"/>
        <v>31.099999999999987</v>
      </c>
      <c r="Z42" s="523">
        <f t="shared" si="69"/>
        <v>54.099999999999987</v>
      </c>
      <c r="AA42" s="311">
        <f t="shared" ref="AA42:AT42" si="70">AA40+AA41</f>
        <v>41.099999999999994</v>
      </c>
      <c r="AB42" s="311">
        <f>+AC42-AA42</f>
        <v>64.200000000000031</v>
      </c>
      <c r="AC42" s="311">
        <f t="shared" si="70"/>
        <v>105.30000000000003</v>
      </c>
      <c r="AD42" s="311">
        <f t="shared" si="70"/>
        <v>31.900000000000009</v>
      </c>
      <c r="AE42" s="311">
        <f t="shared" si="70"/>
        <v>48.999999999999993</v>
      </c>
      <c r="AF42" s="311">
        <f t="shared" si="70"/>
        <v>80.900000000000006</v>
      </c>
      <c r="AG42" s="311">
        <f t="shared" si="70"/>
        <v>57.100000000000009</v>
      </c>
      <c r="AH42" s="311">
        <f t="shared" ref="AH42:AM42" si="71">AH40+AH41</f>
        <v>84.799999999999983</v>
      </c>
      <c r="AI42" s="311">
        <f t="shared" si="71"/>
        <v>141.89999999999998</v>
      </c>
      <c r="AJ42" s="311">
        <f t="shared" si="71"/>
        <v>73.799999999999983</v>
      </c>
      <c r="AK42" s="311">
        <f t="shared" si="71"/>
        <v>69.900000000000034</v>
      </c>
      <c r="AL42" s="311">
        <f t="shared" si="71"/>
        <v>143.70000000000002</v>
      </c>
      <c r="AM42" s="311">
        <f t="shared" si="71"/>
        <v>76.999999999999986</v>
      </c>
      <c r="AN42" s="311">
        <f t="shared" ref="AN42:AP42" si="72">AN40+AN41</f>
        <v>95.200000000000017</v>
      </c>
      <c r="AO42" s="311">
        <f t="shared" si="72"/>
        <v>172.20000000000002</v>
      </c>
      <c r="AP42" s="311">
        <f t="shared" si="72"/>
        <v>106.4</v>
      </c>
      <c r="AQ42" s="311">
        <f t="shared" ref="AQ42:AR42" si="73">AQ40+AQ41</f>
        <v>94.499999999999915</v>
      </c>
      <c r="AR42" s="311">
        <f t="shared" si="73"/>
        <v>200.89999999999992</v>
      </c>
      <c r="AS42" s="311">
        <f t="shared" si="70"/>
        <v>289.96523855181772</v>
      </c>
      <c r="AT42" s="311">
        <f t="shared" si="70"/>
        <v>376.7895981462774</v>
      </c>
      <c r="AU42" s="311">
        <f t="shared" ref="AU42" si="74">AU40+AU41</f>
        <v>472.42895732305271</v>
      </c>
    </row>
    <row r="43" spans="1:47" s="388" customFormat="1">
      <c r="A43" s="370"/>
      <c r="B43" s="419"/>
      <c r="C43" s="511"/>
      <c r="D43" s="511"/>
      <c r="E43" s="511"/>
      <c r="F43" s="511"/>
      <c r="G43" s="511"/>
      <c r="H43" s="514"/>
      <c r="I43" s="514"/>
      <c r="J43" s="514"/>
      <c r="K43" s="514"/>
      <c r="L43" s="514"/>
      <c r="M43" s="514"/>
      <c r="N43" s="514">
        <v>10.4</v>
      </c>
      <c r="O43" s="514">
        <v>5</v>
      </c>
      <c r="P43" s="523">
        <f>Q43-O43</f>
        <v>9.1999999999999993</v>
      </c>
      <c r="Q43" s="514">
        <v>14.2</v>
      </c>
      <c r="R43" s="514">
        <v>14.4</v>
      </c>
      <c r="S43" s="523">
        <f>T43-R43</f>
        <v>17.5</v>
      </c>
      <c r="T43" s="514">
        <v>31.9</v>
      </c>
      <c r="U43" s="514">
        <v>15.6</v>
      </c>
      <c r="V43" s="523">
        <f>W43-U43</f>
        <v>25.199999999999996</v>
      </c>
      <c r="W43" s="514">
        <v>40.799999999999997</v>
      </c>
      <c r="X43" s="514">
        <v>23.1</v>
      </c>
      <c r="Y43" s="523">
        <f>Z43-X43</f>
        <v>31</v>
      </c>
      <c r="Z43" s="514">
        <v>54.1</v>
      </c>
      <c r="AA43" s="420"/>
      <c r="AB43" s="421"/>
      <c r="AC43" s="420"/>
      <c r="AD43" s="420"/>
      <c r="AE43" s="421"/>
      <c r="AF43" s="420"/>
      <c r="AG43" s="420"/>
      <c r="AH43" s="421"/>
      <c r="AI43" s="420"/>
      <c r="AJ43" s="420"/>
      <c r="AK43" s="421"/>
      <c r="AL43" s="420"/>
      <c r="AM43" s="422"/>
      <c r="AN43" s="421"/>
      <c r="AO43" s="420"/>
      <c r="AP43" s="422"/>
      <c r="AQ43" s="421"/>
      <c r="AR43" s="420"/>
      <c r="AS43" s="420"/>
      <c r="AT43" s="420"/>
      <c r="AU43" s="420"/>
    </row>
    <row r="44" spans="1:47" s="388" customFormat="1">
      <c r="A44" s="370"/>
      <c r="B44" s="405"/>
      <c r="C44" s="511"/>
      <c r="D44" s="511"/>
      <c r="E44" s="512"/>
      <c r="F44" s="511"/>
      <c r="G44" s="511"/>
      <c r="H44" s="512"/>
      <c r="I44" s="511"/>
      <c r="J44" s="511"/>
      <c r="K44" s="512"/>
      <c r="L44" s="511"/>
      <c r="M44" s="534"/>
      <c r="N44" s="512"/>
      <c r="O44" s="534"/>
      <c r="P44" s="534"/>
      <c r="Q44" s="512"/>
      <c r="R44" s="534"/>
      <c r="S44" s="534"/>
      <c r="T44" s="534"/>
      <c r="U44" s="534"/>
      <c r="V44" s="534"/>
      <c r="W44" s="534"/>
      <c r="X44" s="534"/>
      <c r="Y44" s="534"/>
      <c r="Z44" s="512"/>
      <c r="AA44" s="423"/>
      <c r="AB44" s="423"/>
      <c r="AC44" s="423"/>
      <c r="AD44" s="423"/>
      <c r="AE44" s="423"/>
      <c r="AF44" s="423"/>
      <c r="AG44" s="423"/>
      <c r="AH44" s="423"/>
      <c r="AI44" s="423"/>
      <c r="AJ44" s="423"/>
      <c r="AK44" s="423"/>
      <c r="AL44" s="423"/>
      <c r="AM44" s="423"/>
      <c r="AN44" s="423"/>
      <c r="AO44" s="423"/>
      <c r="AP44" s="423"/>
      <c r="AQ44" s="423"/>
      <c r="AR44" s="423"/>
      <c r="AS44" s="423"/>
      <c r="AT44" s="423"/>
      <c r="AU44" s="423"/>
    </row>
    <row r="45" spans="1:47">
      <c r="B45" s="409" t="s">
        <v>229</v>
      </c>
      <c r="C45" s="511"/>
      <c r="D45" s="511"/>
      <c r="E45" s="511"/>
      <c r="F45" s="511"/>
      <c r="G45" s="511"/>
      <c r="H45" s="511"/>
      <c r="I45" s="511"/>
      <c r="J45" s="511"/>
      <c r="K45" s="511"/>
      <c r="L45" s="511"/>
      <c r="M45" s="511"/>
      <c r="N45" s="523">
        <f>N267</f>
        <v>4.8657887165991607</v>
      </c>
      <c r="O45" s="523">
        <f>O267</f>
        <v>0</v>
      </c>
      <c r="P45" s="523">
        <f>P267</f>
        <v>0</v>
      </c>
      <c r="Q45" s="523">
        <f>Q267</f>
        <v>5.9952189007546961</v>
      </c>
      <c r="R45" s="523">
        <f>R267</f>
        <v>5.1533334260478298</v>
      </c>
      <c r="S45" s="523">
        <f>T45-R45</f>
        <v>6.3160578391170645</v>
      </c>
      <c r="T45" s="523">
        <f t="shared" ref="T45:Z45" si="75">T267</f>
        <v>11.469391265164894</v>
      </c>
      <c r="U45" s="523">
        <f>U267</f>
        <v>5.733510036927389</v>
      </c>
      <c r="V45" s="523">
        <f>W45-U45</f>
        <v>9.563649778930106</v>
      </c>
      <c r="W45" s="523">
        <f t="shared" si="75"/>
        <v>15.297159815857496</v>
      </c>
      <c r="X45" s="523">
        <f t="shared" si="75"/>
        <v>9.1119946984758116</v>
      </c>
      <c r="Y45" s="523">
        <f>Z45-X45</f>
        <v>11.416725928156037</v>
      </c>
      <c r="Z45" s="523">
        <f t="shared" si="75"/>
        <v>20.528720626631848</v>
      </c>
      <c r="AA45" s="311">
        <f t="shared" ref="AA45" si="76">AA267</f>
        <v>5.8583959899749356</v>
      </c>
      <c r="AB45" s="311">
        <f>AC45-AA45</f>
        <v>5.2770434845324221</v>
      </c>
      <c r="AC45" s="311">
        <f>AC267</f>
        <v>11.135439474507358</v>
      </c>
      <c r="AD45" s="311">
        <f>AD267</f>
        <v>9.6366995073891655</v>
      </c>
      <c r="AE45" s="311">
        <f>AF45-AD45</f>
        <v>14.740031794549894</v>
      </c>
      <c r="AF45" s="311">
        <f>AF267</f>
        <v>24.37673130193906</v>
      </c>
      <c r="AG45" s="311">
        <f>AG267</f>
        <v>17.500767577525334</v>
      </c>
      <c r="AH45" s="311">
        <f>AI45-AG45</f>
        <v>25.106594385664845</v>
      </c>
      <c r="AI45" s="311">
        <f>AI267</f>
        <v>42.607361963190179</v>
      </c>
      <c r="AJ45" s="311">
        <f>AJ267</f>
        <v>25.175894769042518</v>
      </c>
      <c r="AK45" s="311">
        <f>AL45-AJ45</f>
        <v>25.99967775004146</v>
      </c>
      <c r="AL45" s="311">
        <f>AL267</f>
        <v>51.175572519083978</v>
      </c>
      <c r="AM45" s="311">
        <f>AM267</f>
        <v>25.302297460701325</v>
      </c>
      <c r="AN45" s="311">
        <f>AO45-AM45</f>
        <v>30.830633052893837</v>
      </c>
      <c r="AO45" s="311">
        <f>AO267</f>
        <v>56.132930513595163</v>
      </c>
      <c r="AP45" s="311">
        <f>AP267</f>
        <v>33.724781692261367</v>
      </c>
      <c r="AQ45" s="311">
        <f>AR45-AP45</f>
        <v>39.092798078960776</v>
      </c>
      <c r="AR45" s="311">
        <f>AR267</f>
        <v>72.817579771222142</v>
      </c>
      <c r="AS45" s="311">
        <f>AS267</f>
        <v>86.660262567787711</v>
      </c>
      <c r="AT45" s="311">
        <f>AT267</f>
        <v>112.60896537545648</v>
      </c>
      <c r="AU45" s="311">
        <f t="shared" ref="AU45" si="77">AU267</f>
        <v>140.26988044033632</v>
      </c>
    </row>
    <row r="46" spans="1:47">
      <c r="B46" s="409"/>
      <c r="C46" s="534"/>
      <c r="D46" s="534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5">
        <f t="shared" ref="Q46:Z46" si="78">Q45/N45-1</f>
        <v>0.23211656936574232</v>
      </c>
      <c r="R46" s="535" t="e">
        <f t="shared" si="78"/>
        <v>#DIV/0!</v>
      </c>
      <c r="S46" s="535" t="e">
        <f t="shared" si="78"/>
        <v>#DIV/0!</v>
      </c>
      <c r="T46" s="535">
        <f t="shared" si="78"/>
        <v>0.91308965611265558</v>
      </c>
      <c r="U46" s="535">
        <f t="shared" si="78"/>
        <v>0.112582781456954</v>
      </c>
      <c r="V46" s="535">
        <f t="shared" si="78"/>
        <v>0.51418020900629213</v>
      </c>
      <c r="W46" s="535">
        <f t="shared" si="78"/>
        <v>0.33373772523729217</v>
      </c>
      <c r="X46" s="535">
        <f t="shared" si="78"/>
        <v>0.58925241951071317</v>
      </c>
      <c r="Y46" s="535">
        <f t="shared" si="78"/>
        <v>0.19376244342494475</v>
      </c>
      <c r="Z46" s="535">
        <f t="shared" si="78"/>
        <v>0.34199556478132354</v>
      </c>
      <c r="AA46" s="276"/>
      <c r="AB46" s="276"/>
      <c r="AC46" s="276"/>
      <c r="AD46" s="276">
        <f t="shared" ref="AD46:AJ46" si="79">AD45/AA45-1</f>
        <v>0.64493822607412965</v>
      </c>
      <c r="AE46" s="276">
        <f t="shared" si="79"/>
        <v>1.7932367504180138</v>
      </c>
      <c r="AF46" s="276">
        <f t="shared" si="79"/>
        <v>1.1891126396713236</v>
      </c>
      <c r="AG46" s="276">
        <f t="shared" si="79"/>
        <v>0.81605409238984872</v>
      </c>
      <c r="AH46" s="276">
        <f t="shared" si="79"/>
        <v>0.70329309567350951</v>
      </c>
      <c r="AI46" s="276">
        <f t="shared" si="79"/>
        <v>0.74787018962632423</v>
      </c>
      <c r="AJ46" s="276">
        <f t="shared" si="79"/>
        <v>0.43855946075037644</v>
      </c>
      <c r="AK46" s="276">
        <f t="shared" ref="AK46" si="80">AK45/AH45-1</f>
        <v>3.5571664984022755E-2</v>
      </c>
      <c r="AL46" s="276">
        <f t="shared" ref="AL46:AM46" si="81">AL45/AI45-1</f>
        <v>0.20109695041190623</v>
      </c>
      <c r="AM46" s="276">
        <f t="shared" si="81"/>
        <v>5.0207824912835708E-3</v>
      </c>
      <c r="AN46" s="276">
        <f t="shared" ref="AN46" si="82">AN45/AK45-1</f>
        <v>0.18580827613698681</v>
      </c>
      <c r="AO46" s="276">
        <f t="shared" ref="AO46:AP46" si="83">AO45/AL45-1</f>
        <v>9.6869614749547361E-2</v>
      </c>
      <c r="AP46" s="276">
        <f t="shared" si="83"/>
        <v>0.33287428719236112</v>
      </c>
      <c r="AQ46" s="276">
        <f t="shared" ref="AQ46" si="84">AQ45/AN45-1</f>
        <v>0.2679855782361702</v>
      </c>
      <c r="AR46" s="276">
        <f t="shared" ref="AR46" si="85">AR45/AO45-1</f>
        <v>0.29723460195234286</v>
      </c>
      <c r="AS46" s="276">
        <f>AS45/AR45-1</f>
        <v>0.19010083609008199</v>
      </c>
      <c r="AT46" s="276">
        <f>AT45/AS45-1</f>
        <v>0.29943023525195378</v>
      </c>
      <c r="AU46" s="276">
        <f t="shared" ref="AU46" si="86">AU45/AT45-1</f>
        <v>0.24563688133226247</v>
      </c>
    </row>
    <row r="47" spans="1:47">
      <c r="B47" s="380" t="s">
        <v>687</v>
      </c>
      <c r="C47" s="511"/>
      <c r="D47" s="511"/>
      <c r="E47" s="534"/>
      <c r="F47" s="511"/>
      <c r="G47" s="511"/>
      <c r="H47" s="534"/>
      <c r="I47" s="511"/>
      <c r="J47" s="511"/>
      <c r="K47" s="534"/>
      <c r="L47" s="511"/>
      <c r="M47" s="511"/>
      <c r="N47" s="534"/>
      <c r="O47" s="511"/>
      <c r="P47" s="511"/>
      <c r="Q47" s="511"/>
      <c r="R47" s="511"/>
      <c r="S47" s="511"/>
      <c r="T47" s="511"/>
      <c r="U47" s="511"/>
      <c r="V47" s="511"/>
      <c r="W47" s="511"/>
      <c r="X47" s="511"/>
      <c r="Y47" s="511"/>
      <c r="Z47" s="511"/>
      <c r="AA47" s="311"/>
      <c r="AB47" s="311"/>
      <c r="AC47" s="311"/>
      <c r="AD47" s="311"/>
      <c r="AE47" s="311"/>
      <c r="AF47" s="311"/>
      <c r="AG47" s="311"/>
      <c r="AH47" s="311"/>
      <c r="AI47" s="311"/>
      <c r="AJ47" s="311"/>
      <c r="AK47" s="311"/>
      <c r="AL47" s="311"/>
      <c r="AM47" s="311"/>
      <c r="AN47" s="311"/>
      <c r="AO47" s="311"/>
      <c r="AP47" s="311"/>
      <c r="AQ47" s="311"/>
      <c r="AR47" s="311"/>
      <c r="AS47" s="311"/>
      <c r="AT47" s="311"/>
      <c r="AU47" s="311"/>
    </row>
    <row r="48" spans="1:47">
      <c r="B48" s="409" t="s">
        <v>50</v>
      </c>
      <c r="C48" s="526"/>
      <c r="D48" s="511"/>
      <c r="E48" s="511"/>
      <c r="F48" s="526"/>
      <c r="G48" s="511"/>
      <c r="H48" s="511"/>
      <c r="I48" s="526"/>
      <c r="J48" s="511"/>
      <c r="K48" s="511"/>
      <c r="L48" s="514">
        <v>0</v>
      </c>
      <c r="M48" s="526"/>
      <c r="N48" s="523">
        <f>L48</f>
        <v>0</v>
      </c>
      <c r="O48" s="514">
        <v>0.6</v>
      </c>
      <c r="P48" s="526"/>
      <c r="Q48" s="523">
        <f>O48</f>
        <v>0.6</v>
      </c>
      <c r="R48" s="514">
        <v>1</v>
      </c>
      <c r="S48" s="526"/>
      <c r="T48" s="523">
        <f>R48</f>
        <v>1</v>
      </c>
      <c r="U48" s="514">
        <v>1.05</v>
      </c>
      <c r="V48" s="526"/>
      <c r="W48" s="523">
        <f>U48</f>
        <v>1.05</v>
      </c>
      <c r="X48" s="514">
        <v>1.5</v>
      </c>
      <c r="Y48" s="526"/>
      <c r="Z48" s="523">
        <f>X48</f>
        <v>1.5</v>
      </c>
      <c r="AA48" s="312">
        <v>1.7</v>
      </c>
      <c r="AB48" s="413"/>
      <c r="AC48" s="664">
        <f>AA48</f>
        <v>1.7</v>
      </c>
      <c r="AD48" s="665">
        <v>2.7</v>
      </c>
      <c r="AE48" s="666"/>
      <c r="AF48" s="664">
        <f>AD48</f>
        <v>2.7</v>
      </c>
      <c r="AG48" s="666">
        <v>4.75</v>
      </c>
      <c r="AH48" s="666"/>
      <c r="AI48" s="664">
        <f>AG48</f>
        <v>4.75</v>
      </c>
      <c r="AJ48" s="666">
        <v>6.6</v>
      </c>
      <c r="AK48" s="666"/>
      <c r="AL48" s="664">
        <f>AJ48</f>
        <v>6.6</v>
      </c>
      <c r="AM48" s="666">
        <v>7.7</v>
      </c>
      <c r="AN48" s="666"/>
      <c r="AO48" s="664">
        <f>AM48</f>
        <v>7.7</v>
      </c>
      <c r="AP48" s="666">
        <v>6.7</v>
      </c>
      <c r="AQ48" s="666"/>
      <c r="AR48" s="664">
        <f>AP48</f>
        <v>6.7</v>
      </c>
      <c r="AS48" s="413">
        <f>ROUNDUP(AS45*0.42*AS52,0)</f>
        <v>8</v>
      </c>
      <c r="AT48" s="413">
        <f>ROUNDUP(AT45*0.42*AT52,0)</f>
        <v>10</v>
      </c>
      <c r="AU48" s="413">
        <f t="shared" ref="AU48" si="87">ROUNDUP(AU45*0.42*AU52,0)</f>
        <v>12</v>
      </c>
    </row>
    <row r="49" spans="1:47">
      <c r="B49" s="409" t="s">
        <v>51</v>
      </c>
      <c r="C49" s="511"/>
      <c r="D49" s="526"/>
      <c r="E49" s="511"/>
      <c r="F49" s="511"/>
      <c r="G49" s="514"/>
      <c r="H49" s="511"/>
      <c r="I49" s="511"/>
      <c r="J49" s="514"/>
      <c r="K49" s="511"/>
      <c r="L49" s="511"/>
      <c r="M49" s="514">
        <v>0.91</v>
      </c>
      <c r="N49" s="523">
        <f>M49</f>
        <v>0.91</v>
      </c>
      <c r="O49" s="511"/>
      <c r="P49" s="514">
        <v>0</v>
      </c>
      <c r="Q49" s="523">
        <f>P49</f>
        <v>0</v>
      </c>
      <c r="R49" s="511"/>
      <c r="S49" s="514">
        <v>1.2</v>
      </c>
      <c r="T49" s="523">
        <f>S49</f>
        <v>1.2</v>
      </c>
      <c r="U49" s="511"/>
      <c r="V49" s="514">
        <v>1.65</v>
      </c>
      <c r="W49" s="523">
        <f>V49</f>
        <v>1.65</v>
      </c>
      <c r="X49" s="511"/>
      <c r="Y49" s="514">
        <v>1.95</v>
      </c>
      <c r="Z49" s="523">
        <f>Y49</f>
        <v>1.95</v>
      </c>
      <c r="AA49" s="295"/>
      <c r="AB49" s="312">
        <v>1.6</v>
      </c>
      <c r="AC49" s="664">
        <f>AB49</f>
        <v>1.6</v>
      </c>
      <c r="AD49" s="664"/>
      <c r="AE49" s="665">
        <v>3.85</v>
      </c>
      <c r="AF49" s="664">
        <f>AE49</f>
        <v>3.85</v>
      </c>
      <c r="AG49" s="664"/>
      <c r="AH49" s="665">
        <v>6.4</v>
      </c>
      <c r="AI49" s="664">
        <f>AH49</f>
        <v>6.4</v>
      </c>
      <c r="AJ49" s="664"/>
      <c r="AK49" s="665">
        <v>8.4</v>
      </c>
      <c r="AL49" s="664">
        <f>AK49</f>
        <v>8.4</v>
      </c>
      <c r="AM49" s="664"/>
      <c r="AN49" s="665">
        <v>9.1999999999999993</v>
      </c>
      <c r="AO49" s="664">
        <f>AN49</f>
        <v>9.1999999999999993</v>
      </c>
      <c r="AP49" s="664"/>
      <c r="AQ49" s="665">
        <v>7.7</v>
      </c>
      <c r="AR49" s="664">
        <f>AQ49</f>
        <v>7.7</v>
      </c>
      <c r="AS49" s="295">
        <f>AS50-AS48</f>
        <v>9</v>
      </c>
      <c r="AT49" s="295">
        <f>AT50-AT48</f>
        <v>13</v>
      </c>
      <c r="AU49" s="295">
        <f t="shared" ref="AU49" si="88">AU50-AU48</f>
        <v>16</v>
      </c>
    </row>
    <row r="50" spans="1:47">
      <c r="A50" s="290" t="s">
        <v>45</v>
      </c>
      <c r="B50" s="409" t="s">
        <v>228</v>
      </c>
      <c r="C50" s="511"/>
      <c r="D50" s="511"/>
      <c r="E50" s="526"/>
      <c r="F50" s="511"/>
      <c r="G50" s="511"/>
      <c r="H50" s="526"/>
      <c r="I50" s="511"/>
      <c r="J50" s="511"/>
      <c r="K50" s="526"/>
      <c r="L50" s="523">
        <f t="shared" ref="L50:T50" si="89">SUM(L48:L49)</f>
        <v>0</v>
      </c>
      <c r="M50" s="523">
        <f t="shared" si="89"/>
        <v>0.91</v>
      </c>
      <c r="N50" s="523">
        <f t="shared" si="89"/>
        <v>0.91</v>
      </c>
      <c r="O50" s="523">
        <f t="shared" si="89"/>
        <v>0.6</v>
      </c>
      <c r="P50" s="523">
        <f t="shared" si="89"/>
        <v>0</v>
      </c>
      <c r="Q50" s="523">
        <f t="shared" si="89"/>
        <v>0.6</v>
      </c>
      <c r="R50" s="523">
        <f t="shared" si="89"/>
        <v>1</v>
      </c>
      <c r="S50" s="523">
        <f t="shared" si="89"/>
        <v>1.2</v>
      </c>
      <c r="T50" s="523">
        <f t="shared" si="89"/>
        <v>2.2000000000000002</v>
      </c>
      <c r="U50" s="523">
        <f t="shared" ref="U50:Z50" si="90">SUM(U48:U49)</f>
        <v>1.05</v>
      </c>
      <c r="V50" s="523">
        <f t="shared" si="90"/>
        <v>1.65</v>
      </c>
      <c r="W50" s="523">
        <f t="shared" si="90"/>
        <v>2.7</v>
      </c>
      <c r="X50" s="523">
        <f t="shared" si="90"/>
        <v>1.5</v>
      </c>
      <c r="Y50" s="523">
        <f t="shared" si="90"/>
        <v>1.95</v>
      </c>
      <c r="Z50" s="523">
        <f t="shared" si="90"/>
        <v>3.45</v>
      </c>
      <c r="AA50" s="295">
        <f t="shared" ref="AA50" si="91">SUM(AA48:AA49)</f>
        <v>1.7</v>
      </c>
      <c r="AB50" s="295">
        <f t="shared" ref="AB50:AG50" si="92">SUM(AB48:AB49)</f>
        <v>1.6</v>
      </c>
      <c r="AC50" s="664">
        <f t="shared" si="92"/>
        <v>3.3</v>
      </c>
      <c r="AD50" s="664">
        <f t="shared" si="92"/>
        <v>2.7</v>
      </c>
      <c r="AE50" s="664">
        <f t="shared" si="92"/>
        <v>3.85</v>
      </c>
      <c r="AF50" s="664">
        <f t="shared" si="92"/>
        <v>6.5500000000000007</v>
      </c>
      <c r="AG50" s="664">
        <f t="shared" si="92"/>
        <v>4.75</v>
      </c>
      <c r="AH50" s="664">
        <f t="shared" ref="AH50:AM50" si="93">SUM(AH48:AH49)</f>
        <v>6.4</v>
      </c>
      <c r="AI50" s="664">
        <f t="shared" si="93"/>
        <v>11.15</v>
      </c>
      <c r="AJ50" s="664">
        <f t="shared" si="93"/>
        <v>6.6</v>
      </c>
      <c r="AK50" s="664">
        <f t="shared" si="93"/>
        <v>8.4</v>
      </c>
      <c r="AL50" s="664">
        <f t="shared" si="93"/>
        <v>15</v>
      </c>
      <c r="AM50" s="664">
        <f t="shared" si="93"/>
        <v>7.7</v>
      </c>
      <c r="AN50" s="664">
        <f t="shared" ref="AN50:AP50" si="94">SUM(AN48:AN49)</f>
        <v>9.1999999999999993</v>
      </c>
      <c r="AO50" s="664">
        <f t="shared" si="94"/>
        <v>16.899999999999999</v>
      </c>
      <c r="AP50" s="664">
        <f t="shared" si="94"/>
        <v>6.7</v>
      </c>
      <c r="AQ50" s="664">
        <f t="shared" ref="AQ50:AR50" si="95">SUM(AQ48:AQ49)</f>
        <v>7.7</v>
      </c>
      <c r="AR50" s="664">
        <f t="shared" si="95"/>
        <v>14.4</v>
      </c>
      <c r="AS50" s="295">
        <f>ROUND(AS52*AS45,0)</f>
        <v>17</v>
      </c>
      <c r="AT50" s="295">
        <f>ROUND(AT52*AT45,0)</f>
        <v>23</v>
      </c>
      <c r="AU50" s="295">
        <f t="shared" ref="AU50" si="96">ROUND(AU52*AU45,0)</f>
        <v>28</v>
      </c>
    </row>
    <row r="51" spans="1:47">
      <c r="B51" s="409" t="s">
        <v>122</v>
      </c>
      <c r="C51" s="511"/>
      <c r="D51" s="511"/>
      <c r="E51" s="511"/>
      <c r="F51" s="511"/>
      <c r="G51" s="511"/>
      <c r="H51" s="511"/>
      <c r="I51" s="511"/>
      <c r="J51" s="511"/>
      <c r="K51" s="511"/>
      <c r="L51" s="511"/>
      <c r="M51" s="511"/>
      <c r="N51" s="511"/>
      <c r="O51" s="511"/>
      <c r="P51" s="511"/>
      <c r="Q51" s="511"/>
      <c r="R51" s="523">
        <f>R252*(R50)/100</f>
        <v>2.9301422500000003</v>
      </c>
      <c r="S51" s="511"/>
      <c r="T51" s="523">
        <f>T252*(T50)/100</f>
        <v>6.4449802340000009</v>
      </c>
      <c r="U51" s="523">
        <f>U252*(U50)/100</f>
        <v>3.0766493625000004</v>
      </c>
      <c r="V51" s="511"/>
      <c r="W51" s="523">
        <f>W252*(W50)/100</f>
        <v>7.9250005530000003</v>
      </c>
      <c r="X51" s="523">
        <f>X252*(X50)/100</f>
        <v>4.5270000000000001</v>
      </c>
      <c r="Y51" s="511"/>
      <c r="Z51" s="523">
        <f>Z252*(Z50)/100</f>
        <v>10.570799999999998</v>
      </c>
      <c r="AA51" s="295">
        <f>AA252*(AA50)/100</f>
        <v>5.4264000000000001</v>
      </c>
      <c r="AB51" s="295"/>
      <c r="AC51" s="664">
        <f>AC252*(AC50)/100</f>
        <v>10.5501</v>
      </c>
      <c r="AD51" s="664">
        <f>AD252*(AD50)/100</f>
        <v>8.7696000000000005</v>
      </c>
      <c r="AE51" s="664"/>
      <c r="AF51" s="664">
        <f>AF252*(AF50)/100</f>
        <v>21.280950000000004</v>
      </c>
      <c r="AG51" s="664">
        <f>AG252*(AG50)/100</f>
        <v>15.470750000000001</v>
      </c>
      <c r="AH51" s="664"/>
      <c r="AI51" s="664">
        <f>AI252*(AI50)/100</f>
        <v>36.349000000000004</v>
      </c>
      <c r="AJ51" s="664">
        <f>AJ252*(AJ50)/100</f>
        <v>21.575399999999995</v>
      </c>
      <c r="AK51" s="664"/>
      <c r="AL51" s="664">
        <f>AL252*(AL50)/100</f>
        <v>49.125</v>
      </c>
      <c r="AM51" s="664">
        <f>AM252*(AM50)/100</f>
        <v>25.471600000000002</v>
      </c>
      <c r="AN51" s="664"/>
      <c r="AO51" s="664">
        <f>AO252*(AO50)/100</f>
        <v>55.938999999999993</v>
      </c>
      <c r="AP51" s="664">
        <f>AP252*(AP50)/100</f>
        <v>22.250700000000002</v>
      </c>
      <c r="AQ51" s="664"/>
      <c r="AR51" s="664">
        <f>AR252*(AR50)/100</f>
        <v>47.836800000000004</v>
      </c>
      <c r="AS51" s="295">
        <f>AS252*(AS50)/100</f>
        <v>56.882000000000005</v>
      </c>
      <c r="AT51" s="295">
        <f>AT252*(AT50)/100</f>
        <v>76.957999999999998</v>
      </c>
      <c r="AU51" s="295">
        <f t="shared" ref="AU51" si="97">AU252*(AU50)/100</f>
        <v>93.688000000000017</v>
      </c>
    </row>
    <row r="52" spans="1:47">
      <c r="B52" s="409" t="s">
        <v>174</v>
      </c>
      <c r="C52" s="536"/>
      <c r="D52" s="536"/>
      <c r="E52" s="537"/>
      <c r="F52" s="536"/>
      <c r="G52" s="536"/>
      <c r="H52" s="537"/>
      <c r="I52" s="536"/>
      <c r="J52" s="536"/>
      <c r="K52" s="537"/>
      <c r="L52" s="536"/>
      <c r="M52" s="536"/>
      <c r="N52" s="537"/>
      <c r="O52" s="536"/>
      <c r="P52" s="536"/>
      <c r="Q52" s="537"/>
      <c r="R52" s="538">
        <f>R51/R40</f>
        <v>0.19404915562913913</v>
      </c>
      <c r="S52" s="537"/>
      <c r="T52" s="538">
        <f>T51/T40</f>
        <v>0.19181488791666668</v>
      </c>
      <c r="U52" s="538">
        <f>U51/U40</f>
        <v>0.18313389062499999</v>
      </c>
      <c r="V52" s="537"/>
      <c r="W52" s="538">
        <f>W51/W40</f>
        <v>0.17650335307349665</v>
      </c>
      <c r="X52" s="538">
        <f>X51/X40</f>
        <v>0.16461818181818183</v>
      </c>
      <c r="Y52" s="537"/>
      <c r="Z52" s="538">
        <f>Z51/Z40</f>
        <v>0.16805723370429254</v>
      </c>
      <c r="AA52" s="425">
        <f>AA51/AA40</f>
        <v>0.29018181818181832</v>
      </c>
      <c r="AB52" s="425"/>
      <c r="AC52" s="667">
        <f>AC51/AC40</f>
        <v>0.29635112359550542</v>
      </c>
      <c r="AD52" s="667">
        <f>AD51/AD40</f>
        <v>0.28017891373801912</v>
      </c>
      <c r="AE52" s="667"/>
      <c r="AF52" s="667">
        <f>AF51/AF40</f>
        <v>0.26869886363636369</v>
      </c>
      <c r="AG52" s="667">
        <f>AG51/AG40</f>
        <v>0.27141666666666664</v>
      </c>
      <c r="AH52" s="667"/>
      <c r="AI52" s="667">
        <f>AI51/AI40</f>
        <v>0.261691864650828</v>
      </c>
      <c r="AJ52" s="667">
        <f>AJ51/AJ40</f>
        <v>0.26215552855407048</v>
      </c>
      <c r="AK52" s="667"/>
      <c r="AL52" s="667">
        <f>AL51/AL40</f>
        <v>0.29310859188544147</v>
      </c>
      <c r="AM52" s="667">
        <f>AM51/AM40</f>
        <v>0.30432019115890091</v>
      </c>
      <c r="AN52" s="667"/>
      <c r="AO52" s="667">
        <f>AO51/AO40</f>
        <v>0.3010710441334768</v>
      </c>
      <c r="AP52" s="667">
        <f>AP51/AP40</f>
        <v>0.19866696428571431</v>
      </c>
      <c r="AQ52" s="667"/>
      <c r="AR52" s="667">
        <f>AR51/AR40</f>
        <v>0.19775444398511791</v>
      </c>
      <c r="AS52" s="426">
        <v>0.2</v>
      </c>
      <c r="AT52" s="426">
        <v>0.2</v>
      </c>
      <c r="AU52" s="426">
        <v>0.2</v>
      </c>
    </row>
    <row r="53" spans="1:47">
      <c r="B53" s="409" t="s">
        <v>175</v>
      </c>
      <c r="C53" s="536"/>
      <c r="D53" s="536"/>
      <c r="E53" s="537"/>
      <c r="F53" s="536"/>
      <c r="G53" s="536"/>
      <c r="H53" s="537"/>
      <c r="I53" s="536"/>
      <c r="J53" s="536"/>
      <c r="K53" s="537"/>
      <c r="L53" s="536"/>
      <c r="M53" s="536"/>
      <c r="N53" s="537"/>
      <c r="O53" s="536"/>
      <c r="P53" s="536"/>
      <c r="Q53" s="537"/>
      <c r="R53" s="538">
        <f>(R$51+R$39)/R$40</f>
        <v>0.19404915562913913</v>
      </c>
      <c r="S53" s="537"/>
      <c r="T53" s="538">
        <f>(T$51+T$39)/T$40</f>
        <v>0.19181488791666668</v>
      </c>
      <c r="U53" s="538">
        <f t="shared" ref="U53:Z53" si="98">(U$51+U$39)/U$40</f>
        <v>0.18313389062499999</v>
      </c>
      <c r="V53" s="537"/>
      <c r="W53" s="538">
        <f t="shared" si="98"/>
        <v>0.17650335307349665</v>
      </c>
      <c r="X53" s="538">
        <f t="shared" si="98"/>
        <v>0.16461818181818183</v>
      </c>
      <c r="Y53" s="537"/>
      <c r="Z53" s="538">
        <f t="shared" si="98"/>
        <v>0.16805723370429254</v>
      </c>
      <c r="AA53" s="425">
        <f>(AA$51+AA$39)/AA$40</f>
        <v>0.29018181818181832</v>
      </c>
      <c r="AB53" s="425"/>
      <c r="AC53" s="667">
        <f>(AC$51+AC$39)/AC$40</f>
        <v>0.29635112359550542</v>
      </c>
      <c r="AD53" s="667">
        <f>(AD$51+AD$39)/AD$40</f>
        <v>0.28017891373801912</v>
      </c>
      <c r="AE53" s="667"/>
      <c r="AF53" s="667">
        <f>(AF$51+AF$39)/AF$40</f>
        <v>0.26869886363636369</v>
      </c>
      <c r="AG53" s="667">
        <f>(AG$51+AG$39)/AG$40</f>
        <v>0.27141666666666664</v>
      </c>
      <c r="AH53" s="667"/>
      <c r="AI53" s="667">
        <f>(AI$51+AI$39)/AI$40</f>
        <v>0.261691864650828</v>
      </c>
      <c r="AJ53" s="667">
        <f>(AJ$51+AJ$39)/AJ$40</f>
        <v>0.26215552855407048</v>
      </c>
      <c r="AK53" s="667"/>
      <c r="AL53" s="667">
        <f>(AL$51+AL$39)/AL$40</f>
        <v>0.29310859188544147</v>
      </c>
      <c r="AM53" s="667">
        <f>(AM$51+AM$39)/AM$40</f>
        <v>0.30432019115890091</v>
      </c>
      <c r="AN53" s="667"/>
      <c r="AO53" s="667">
        <f>(AO$51+AO$39)/AO$40</f>
        <v>0.3010710441334768</v>
      </c>
      <c r="AP53" s="667">
        <f>(AP$51+AP$39)/AP$40</f>
        <v>0.19866696428571431</v>
      </c>
      <c r="AQ53" s="667"/>
      <c r="AR53" s="667">
        <f>(AR$51+AR$39)/AR$40</f>
        <v>0.19775444398511791</v>
      </c>
      <c r="AS53" s="425">
        <f t="shared" ref="AS53:AU53" si="99">(AS$51+AS$39)/AS$40</f>
        <v>0.19616834170912184</v>
      </c>
      <c r="AT53" s="425">
        <f t="shared" si="99"/>
        <v>0.20424661503028896</v>
      </c>
      <c r="AU53" s="425">
        <f t="shared" si="99"/>
        <v>0.19831129855136084</v>
      </c>
    </row>
    <row r="54" spans="1:47">
      <c r="B54" s="409"/>
      <c r="C54" s="539"/>
      <c r="D54" s="539"/>
      <c r="E54" s="539"/>
      <c r="F54" s="539"/>
      <c r="G54" s="539"/>
      <c r="H54" s="539"/>
      <c r="I54" s="539"/>
      <c r="J54" s="539"/>
      <c r="K54" s="539"/>
      <c r="L54" s="539"/>
      <c r="M54" s="539"/>
      <c r="N54" s="539"/>
      <c r="O54" s="539"/>
      <c r="P54" s="539"/>
      <c r="Q54" s="539"/>
      <c r="R54" s="539"/>
      <c r="S54" s="539"/>
      <c r="T54" s="539"/>
      <c r="U54" s="539"/>
      <c r="V54" s="539"/>
      <c r="W54" s="539"/>
      <c r="X54" s="539"/>
      <c r="Y54" s="539"/>
      <c r="Z54" s="539"/>
      <c r="AA54" s="198"/>
      <c r="AB54" s="198"/>
      <c r="AC54" s="198"/>
      <c r="AD54" s="198"/>
      <c r="AE54" s="198"/>
      <c r="AF54" s="198"/>
      <c r="AG54" s="198"/>
      <c r="AH54" s="198"/>
      <c r="AI54" s="198"/>
      <c r="AJ54" s="198"/>
      <c r="AK54" s="198"/>
      <c r="AL54" s="198"/>
      <c r="AM54" s="198"/>
      <c r="AN54" s="198"/>
      <c r="AO54" s="198"/>
      <c r="AP54" s="350"/>
      <c r="AQ54" s="198"/>
      <c r="AR54" s="198"/>
      <c r="AS54" s="350"/>
      <c r="AT54" s="350"/>
      <c r="AU54" s="198"/>
    </row>
    <row r="55" spans="1:47">
      <c r="B55" s="380" t="s">
        <v>151</v>
      </c>
      <c r="C55" s="539"/>
      <c r="D55" s="539"/>
      <c r="E55" s="539"/>
      <c r="F55" s="539"/>
      <c r="G55" s="539"/>
      <c r="H55" s="539"/>
      <c r="I55" s="539"/>
      <c r="J55" s="539"/>
      <c r="K55" s="539"/>
      <c r="L55" s="539"/>
      <c r="M55" s="539"/>
      <c r="N55" s="539"/>
      <c r="O55" s="539"/>
      <c r="P55" s="539"/>
      <c r="Q55" s="539"/>
      <c r="R55" s="539"/>
      <c r="S55" s="539"/>
      <c r="T55" s="539"/>
      <c r="U55" s="539"/>
      <c r="V55" s="539"/>
      <c r="W55" s="539"/>
      <c r="X55" s="539"/>
      <c r="Y55" s="539"/>
      <c r="Z55" s="539"/>
      <c r="AA55" s="198"/>
      <c r="AB55" s="198"/>
      <c r="AC55" s="198"/>
      <c r="AD55" s="198"/>
      <c r="AE55" s="198"/>
      <c r="AF55" s="198"/>
      <c r="AG55" s="198"/>
      <c r="AH55" s="198"/>
      <c r="AI55" s="198"/>
      <c r="AJ55" s="198"/>
      <c r="AK55" s="198"/>
      <c r="AL55" s="198"/>
      <c r="AM55" s="198"/>
      <c r="AN55" s="198"/>
      <c r="AO55" s="198"/>
      <c r="AP55" s="198"/>
      <c r="AQ55" s="198"/>
      <c r="AR55" s="198"/>
      <c r="AS55" s="198"/>
      <c r="AT55" s="198"/>
      <c r="AU55" s="198"/>
    </row>
    <row r="56" spans="1:47" s="428" customFormat="1">
      <c r="A56" s="290"/>
      <c r="B56" s="427" t="s">
        <v>26</v>
      </c>
      <c r="C56" s="512"/>
      <c r="D56" s="512"/>
      <c r="E56" s="512"/>
      <c r="F56" s="540" t="e">
        <f t="shared" ref="F56:Z56" si="100">F$8/C$8-1</f>
        <v>#DIV/0!</v>
      </c>
      <c r="G56" s="540" t="e">
        <f t="shared" si="100"/>
        <v>#DIV/0!</v>
      </c>
      <c r="H56" s="512"/>
      <c r="I56" s="512"/>
      <c r="J56" s="512"/>
      <c r="K56" s="512"/>
      <c r="L56" s="540" t="e">
        <f t="shared" si="100"/>
        <v>#DIV/0!</v>
      </c>
      <c r="M56" s="540" t="e">
        <f t="shared" si="100"/>
        <v>#DIV/0!</v>
      </c>
      <c r="N56" s="540" t="e">
        <f t="shared" si="100"/>
        <v>#DIV/0!</v>
      </c>
      <c r="O56" s="540" t="e">
        <f t="shared" si="100"/>
        <v>#DIV/0!</v>
      </c>
      <c r="P56" s="540" t="e">
        <f t="shared" si="100"/>
        <v>#DIV/0!</v>
      </c>
      <c r="Q56" s="540">
        <f t="shared" si="100"/>
        <v>0.29773869346733672</v>
      </c>
      <c r="R56" s="540">
        <f t="shared" si="100"/>
        <v>0.442190669371197</v>
      </c>
      <c r="S56" s="540">
        <f t="shared" si="100"/>
        <v>0.53148148148148122</v>
      </c>
      <c r="T56" s="540">
        <f t="shared" si="100"/>
        <v>0.48886737657308821</v>
      </c>
      <c r="U56" s="540">
        <f t="shared" si="100"/>
        <v>0.31364275668073138</v>
      </c>
      <c r="V56" s="540">
        <f t="shared" si="100"/>
        <v>0.55018137847642068</v>
      </c>
      <c r="W56" s="540">
        <f t="shared" si="100"/>
        <v>0.44083224967490242</v>
      </c>
      <c r="X56" s="540">
        <f>X$8/U$8-1</f>
        <v>0.67773019271948587</v>
      </c>
      <c r="Y56" s="540">
        <f>Y$8/V$8-1</f>
        <v>0.49375975039001574</v>
      </c>
      <c r="Z56" s="540">
        <f t="shared" si="100"/>
        <v>0.57129963898916958</v>
      </c>
      <c r="AA56" s="1144">
        <v>0.3133375877472877</v>
      </c>
      <c r="AB56" s="1144">
        <v>0.16814621409921671</v>
      </c>
      <c r="AC56" s="1144">
        <v>0.23348650201033894</v>
      </c>
      <c r="AD56" s="365">
        <f t="shared" ref="AD56:AJ56" si="101">AD$8/AA$8-1</f>
        <v>0.20311394196744503</v>
      </c>
      <c r="AE56" s="365">
        <f t="shared" si="101"/>
        <v>0.41200545702592084</v>
      </c>
      <c r="AF56" s="365">
        <f t="shared" si="101"/>
        <v>0.30948245918721784</v>
      </c>
      <c r="AG56" s="365">
        <f t="shared" si="101"/>
        <v>0.22176470588235286</v>
      </c>
      <c r="AH56" s="365">
        <f t="shared" si="101"/>
        <v>0.22318840579710142</v>
      </c>
      <c r="AI56" s="365">
        <f t="shared" si="101"/>
        <v>0.22254641909814321</v>
      </c>
      <c r="AJ56" s="365">
        <f t="shared" si="101"/>
        <v>0.22917669715936451</v>
      </c>
      <c r="AK56" s="365">
        <f t="shared" ref="AK56" si="102">AK$8/AH$8-1</f>
        <v>0.17259083728278024</v>
      </c>
      <c r="AL56" s="365">
        <f t="shared" ref="AL56:AM56" si="103">AL$8/AI$8-1</f>
        <v>0.19809069212410502</v>
      </c>
      <c r="AM56" s="365">
        <f t="shared" si="103"/>
        <v>0.28084606345475915</v>
      </c>
      <c r="AN56" s="365">
        <f t="shared" ref="AN56" si="104">AN$8/AK$8-1</f>
        <v>0.20107780397440256</v>
      </c>
      <c r="AO56" s="365">
        <f t="shared" ref="AO56:AP56" si="105">AO$8/AL$8-1</f>
        <v>0.23795726186164456</v>
      </c>
      <c r="AP56" s="365">
        <f t="shared" si="105"/>
        <v>0.16513761467889898</v>
      </c>
      <c r="AQ56" s="365">
        <f t="shared" ref="AQ56" si="106">AQ$8/AN$8-1</f>
        <v>0.11525518788558586</v>
      </c>
      <c r="AR56" s="365">
        <f t="shared" ref="AR56" si="107">AR$8/AO$8-1</f>
        <v>0.13911644236395548</v>
      </c>
      <c r="AS56" s="365">
        <f>AS$8/AR$8-1</f>
        <v>0.81804796965493765</v>
      </c>
      <c r="AT56" s="365">
        <f>AT$8/AS$8-1</f>
        <v>0.17886987652435216</v>
      </c>
      <c r="AU56" s="365">
        <f t="shared" ref="AU56" si="108">AU$8/AT$8-1</f>
        <v>0.15271059592026393</v>
      </c>
    </row>
    <row r="57" spans="1:47" s="428" customFormat="1">
      <c r="A57" s="290"/>
      <c r="B57" s="411" t="s">
        <v>349</v>
      </c>
      <c r="C57" s="512"/>
      <c r="D57" s="512"/>
      <c r="E57" s="512"/>
      <c r="F57" s="512"/>
      <c r="G57" s="512"/>
      <c r="H57" s="512"/>
      <c r="I57" s="512"/>
      <c r="J57" s="512"/>
      <c r="K57" s="512"/>
      <c r="L57" s="512"/>
      <c r="M57" s="512"/>
      <c r="N57" s="512"/>
      <c r="O57" s="512"/>
      <c r="P57" s="512"/>
      <c r="Q57" s="540">
        <f>Q15/N15-1</f>
        <v>0.24117647058823533</v>
      </c>
      <c r="R57" s="512"/>
      <c r="S57" s="512"/>
      <c r="T57" s="540">
        <f>T15/Q15-1</f>
        <v>0.34597156398104256</v>
      </c>
      <c r="U57" s="512"/>
      <c r="V57" s="512"/>
      <c r="W57" s="540">
        <f t="shared" ref="W57:Z59" si="109">W15/T15-1</f>
        <v>0.44718309859154948</v>
      </c>
      <c r="X57" s="540">
        <f t="shared" si="109"/>
        <v>0.81395348837209314</v>
      </c>
      <c r="Y57" s="540">
        <f t="shared" si="109"/>
        <v>0.46025104602510414</v>
      </c>
      <c r="Z57" s="540">
        <f t="shared" si="109"/>
        <v>0.60827250608272476</v>
      </c>
      <c r="AA57" s="1144">
        <v>0.22756410256410242</v>
      </c>
      <c r="AB57" s="1144">
        <v>0.33524355300859665</v>
      </c>
      <c r="AC57" s="1144">
        <v>0.2844175491679275</v>
      </c>
      <c r="AD57" s="365">
        <f t="shared" ref="AD57:AP57" si="110">AD15/AA15-1</f>
        <v>0.209125475285171</v>
      </c>
      <c r="AE57" s="365">
        <f t="shared" si="110"/>
        <v>0.10784313725490224</v>
      </c>
      <c r="AF57" s="365">
        <f t="shared" si="110"/>
        <v>0.15465729349736379</v>
      </c>
      <c r="AG57" s="365">
        <f t="shared" si="110"/>
        <v>5.031446540880502E-2</v>
      </c>
      <c r="AH57" s="365">
        <f t="shared" si="110"/>
        <v>0.10029498525073732</v>
      </c>
      <c r="AI57" s="365">
        <f t="shared" si="110"/>
        <v>7.6103500761035114E-2</v>
      </c>
      <c r="AJ57" s="365">
        <f t="shared" si="110"/>
        <v>9.8802395209580895E-2</v>
      </c>
      <c r="AK57" s="365">
        <f t="shared" si="110"/>
        <v>0.329758713136729</v>
      </c>
      <c r="AL57" s="365">
        <f t="shared" si="110"/>
        <v>0.2206506364922205</v>
      </c>
      <c r="AM57" s="365">
        <f t="shared" si="110"/>
        <v>0.45776566757493176</v>
      </c>
      <c r="AN57" s="365">
        <f t="shared" si="110"/>
        <v>0.20564516129032273</v>
      </c>
      <c r="AO57" s="365">
        <f t="shared" si="110"/>
        <v>0.31286210892236377</v>
      </c>
      <c r="AP57" s="365">
        <f t="shared" si="110"/>
        <v>0.17009345794392527</v>
      </c>
      <c r="AQ57" s="365">
        <f t="shared" ref="AQ57:AQ59" si="111">AQ15/AN15-1</f>
        <v>-6.1872909698996614E-2</v>
      </c>
      <c r="AR57" s="365">
        <f t="shared" ref="AR57:AR59" si="112">AR15/AO15-1</f>
        <v>4.7661076787290479E-2</v>
      </c>
      <c r="AS57" s="365">
        <f t="shared" ref="AS57:AU57" si="113">AS15/AR15-1</f>
        <v>1.0037063543977283</v>
      </c>
      <c r="AT57" s="365">
        <f>AT15/AS15-1</f>
        <v>0.15431008743009489</v>
      </c>
      <c r="AU57" s="365">
        <f t="shared" si="113"/>
        <v>0.1281848385602582</v>
      </c>
    </row>
    <row r="58" spans="1:47" s="428" customFormat="1">
      <c r="A58" s="290"/>
      <c r="B58" s="411" t="s">
        <v>350</v>
      </c>
      <c r="C58" s="512"/>
      <c r="D58" s="512"/>
      <c r="E58" s="512"/>
      <c r="F58" s="512"/>
      <c r="G58" s="512"/>
      <c r="H58" s="512"/>
      <c r="I58" s="512"/>
      <c r="J58" s="512"/>
      <c r="K58" s="512"/>
      <c r="L58" s="512"/>
      <c r="M58" s="512"/>
      <c r="N58" s="512"/>
      <c r="O58" s="512"/>
      <c r="P58" s="512"/>
      <c r="Q58" s="540">
        <f>Q16/N16-1</f>
        <v>0.26446280991735538</v>
      </c>
      <c r="R58" s="512"/>
      <c r="S58" s="512"/>
      <c r="T58" s="540">
        <f>T16/Q16-1</f>
        <v>6.5359477124182774E-3</v>
      </c>
      <c r="U58" s="512"/>
      <c r="V58" s="512"/>
      <c r="W58" s="540">
        <f t="shared" si="109"/>
        <v>0.46753246753246769</v>
      </c>
      <c r="X58" s="540">
        <f t="shared" si="109"/>
        <v>0.74038461538461542</v>
      </c>
      <c r="Y58" s="540">
        <f t="shared" si="109"/>
        <v>1.122950819672131</v>
      </c>
      <c r="Z58" s="540">
        <f t="shared" si="109"/>
        <v>0.94690265486725655</v>
      </c>
      <c r="AA58" s="1144">
        <v>0.59116022099447507</v>
      </c>
      <c r="AB58" s="1144">
        <v>8.8803088803088848E-2</v>
      </c>
      <c r="AC58" s="1144">
        <v>0.29545454545454541</v>
      </c>
      <c r="AD58" s="365">
        <f t="shared" ref="AD58:AP59" si="114">AD16/AA16-1</f>
        <v>-0.1262626262626263</v>
      </c>
      <c r="AE58" s="365">
        <f t="shared" si="114"/>
        <v>-0.14054054054054022</v>
      </c>
      <c r="AF58" s="365">
        <f t="shared" si="114"/>
        <v>-0.1331592689295038</v>
      </c>
      <c r="AG58" s="365">
        <f t="shared" si="114"/>
        <v>-0.1560693641618498</v>
      </c>
      <c r="AH58" s="365">
        <f t="shared" si="114"/>
        <v>0.13836477987421381</v>
      </c>
      <c r="AI58" s="365">
        <f t="shared" si="114"/>
        <v>-1.5060240963855387E-2</v>
      </c>
      <c r="AJ58" s="365">
        <f t="shared" si="114"/>
        <v>0.11643835616438358</v>
      </c>
      <c r="AK58" s="365">
        <f t="shared" si="114"/>
        <v>0.29834254143646377</v>
      </c>
      <c r="AL58" s="365">
        <f t="shared" si="114"/>
        <v>0.21712538226299682</v>
      </c>
      <c r="AM58" s="365">
        <f t="shared" si="114"/>
        <v>0.52760736196319002</v>
      </c>
      <c r="AN58" s="365">
        <f t="shared" si="114"/>
        <v>0.14468085106383</v>
      </c>
      <c r="AO58" s="365">
        <f t="shared" si="114"/>
        <v>0.30150753768844218</v>
      </c>
      <c r="AP58" s="365">
        <f t="shared" si="114"/>
        <v>-0.10843373493975905</v>
      </c>
      <c r="AQ58" s="365">
        <f t="shared" si="111"/>
        <v>-0.20446096654275081</v>
      </c>
      <c r="AR58" s="365">
        <f t="shared" si="112"/>
        <v>-0.15830115830115821</v>
      </c>
      <c r="AS58" s="351">
        <v>2.0499999999999998</v>
      </c>
      <c r="AT58" s="351">
        <v>0.15</v>
      </c>
      <c r="AU58" s="351">
        <v>0.125</v>
      </c>
    </row>
    <row r="59" spans="1:47" s="428" customFormat="1">
      <c r="A59" s="290"/>
      <c r="B59" s="411" t="s">
        <v>351</v>
      </c>
      <c r="C59" s="512"/>
      <c r="D59" s="512"/>
      <c r="E59" s="512"/>
      <c r="F59" s="512"/>
      <c r="G59" s="512"/>
      <c r="H59" s="512"/>
      <c r="I59" s="512"/>
      <c r="J59" s="512"/>
      <c r="K59" s="512"/>
      <c r="L59" s="512"/>
      <c r="M59" s="512"/>
      <c r="N59" s="512"/>
      <c r="O59" s="512"/>
      <c r="P59" s="512"/>
      <c r="Q59" s="540">
        <f>Q17/N17-1</f>
        <v>0.42038216560509567</v>
      </c>
      <c r="R59" s="512"/>
      <c r="S59" s="512"/>
      <c r="T59" s="540">
        <f>T17/Q17-1</f>
        <v>0.49327354260089673</v>
      </c>
      <c r="U59" s="512"/>
      <c r="V59" s="512"/>
      <c r="W59" s="540">
        <f t="shared" si="109"/>
        <v>0.36636636636636655</v>
      </c>
      <c r="X59" s="540">
        <f t="shared" si="109"/>
        <v>0.56000000000000005</v>
      </c>
      <c r="Y59" s="540">
        <f t="shared" si="109"/>
        <v>0.45490196078431344</v>
      </c>
      <c r="Z59" s="540">
        <f t="shared" si="109"/>
        <v>0.50109890109890109</v>
      </c>
      <c r="AA59" s="1144">
        <v>0.27564102564102555</v>
      </c>
      <c r="AB59" s="1144">
        <v>0.19407008086253374</v>
      </c>
      <c r="AC59" s="1144">
        <v>0.23133235724743773</v>
      </c>
      <c r="AD59" s="365">
        <f t="shared" si="114"/>
        <v>0.17582417582417587</v>
      </c>
      <c r="AE59" s="365">
        <f t="shared" si="114"/>
        <v>0.17301038062283713</v>
      </c>
      <c r="AF59" s="365">
        <f t="shared" si="114"/>
        <v>0.17437722419928825</v>
      </c>
      <c r="AG59" s="365">
        <f t="shared" si="114"/>
        <v>-7.7881619937694713E-2</v>
      </c>
      <c r="AH59" s="365">
        <f t="shared" si="114"/>
        <v>-2.3598820058996939E-2</v>
      </c>
      <c r="AI59" s="365">
        <f t="shared" si="114"/>
        <v>-4.9999999999999933E-2</v>
      </c>
      <c r="AJ59" s="365">
        <f t="shared" si="114"/>
        <v>0.15878378378378377</v>
      </c>
      <c r="AK59" s="365">
        <f t="shared" si="114"/>
        <v>9.6676737160120485E-2</v>
      </c>
      <c r="AL59" s="365">
        <f t="shared" si="114"/>
        <v>0.12599681020733633</v>
      </c>
      <c r="AM59" s="365">
        <f t="shared" si="114"/>
        <v>0.31195335276967917</v>
      </c>
      <c r="AN59" s="365">
        <f t="shared" si="114"/>
        <v>0.24242424242424265</v>
      </c>
      <c r="AO59" s="365">
        <f t="shared" si="114"/>
        <v>0.27620396600566566</v>
      </c>
      <c r="AP59" s="365">
        <f t="shared" si="114"/>
        <v>0.11999999999999988</v>
      </c>
      <c r="AQ59" s="365">
        <f t="shared" si="111"/>
        <v>0.27272727272727293</v>
      </c>
      <c r="AR59" s="365">
        <f t="shared" si="112"/>
        <v>0.19644839067702558</v>
      </c>
      <c r="AS59" s="351">
        <v>0.62</v>
      </c>
      <c r="AT59" s="351">
        <v>0.1</v>
      </c>
      <c r="AU59" s="351">
        <v>0.1</v>
      </c>
    </row>
    <row r="60" spans="1:47" s="428" customFormat="1">
      <c r="A60" s="290"/>
      <c r="B60" s="427" t="s">
        <v>152</v>
      </c>
      <c r="C60" s="512"/>
      <c r="D60" s="512"/>
      <c r="E60" s="512"/>
      <c r="F60" s="540" t="e">
        <f t="shared" ref="F60:M60" si="115">F$18/C$18-1</f>
        <v>#DIV/0!</v>
      </c>
      <c r="G60" s="540" t="e">
        <f t="shared" si="115"/>
        <v>#DIV/0!</v>
      </c>
      <c r="H60" s="512"/>
      <c r="I60" s="512"/>
      <c r="J60" s="512"/>
      <c r="K60" s="512"/>
      <c r="L60" s="540" t="e">
        <f t="shared" si="115"/>
        <v>#DIV/0!</v>
      </c>
      <c r="M60" s="540" t="e">
        <f t="shared" si="115"/>
        <v>#DIV/0!</v>
      </c>
      <c r="N60" s="512"/>
      <c r="O60" s="540" t="e">
        <f t="shared" ref="O60:Z60" si="116">O$18/L$18-1</f>
        <v>#DIV/0!</v>
      </c>
      <c r="P60" s="540" t="e">
        <f t="shared" si="116"/>
        <v>#DIV/0!</v>
      </c>
      <c r="Q60" s="540">
        <f t="shared" si="116"/>
        <v>0.31026785714285721</v>
      </c>
      <c r="R60" s="540">
        <f t="shared" si="116"/>
        <v>0.26712328767123306</v>
      </c>
      <c r="S60" s="540">
        <f t="shared" si="116"/>
        <v>0.35932203389830453</v>
      </c>
      <c r="T60" s="540">
        <f t="shared" si="116"/>
        <v>0.31345826235093677</v>
      </c>
      <c r="U60" s="540">
        <f t="shared" si="116"/>
        <v>0.28648648648648645</v>
      </c>
      <c r="V60" s="540">
        <f t="shared" si="116"/>
        <v>0.53615960099750648</v>
      </c>
      <c r="W60" s="540">
        <f t="shared" si="116"/>
        <v>0.41634241245136194</v>
      </c>
      <c r="X60" s="540">
        <f>X$18/U$18-1</f>
        <v>0.69117647058823528</v>
      </c>
      <c r="Y60" s="540">
        <f>Y$18/V$18-1</f>
        <v>0.58928571428571397</v>
      </c>
      <c r="Z60" s="540">
        <f t="shared" si="116"/>
        <v>0.63369963369963345</v>
      </c>
      <c r="AA60" s="1144">
        <v>0.32795031055900603</v>
      </c>
      <c r="AB60" s="1144">
        <v>0.21654749744637414</v>
      </c>
      <c r="AC60" s="1144">
        <v>0.26681614349775806</v>
      </c>
      <c r="AD60" s="365">
        <f t="shared" ref="AD60:AJ60" si="117">AD$18/AA$18-1</f>
        <v>0.10626702997275195</v>
      </c>
      <c r="AE60" s="365">
        <f t="shared" si="117"/>
        <v>7.3076923076923483E-2</v>
      </c>
      <c r="AF60" s="365">
        <f t="shared" si="117"/>
        <v>8.9167767503302686E-2</v>
      </c>
      <c r="AG60" s="365">
        <f t="shared" si="117"/>
        <v>-4.4334975369458185E-2</v>
      </c>
      <c r="AH60" s="365">
        <f t="shared" si="117"/>
        <v>5.7347670250896376E-2</v>
      </c>
      <c r="AI60" s="365">
        <f t="shared" si="117"/>
        <v>7.2771376591875825E-3</v>
      </c>
      <c r="AJ60" s="365">
        <f t="shared" si="117"/>
        <v>0.12500000000000022</v>
      </c>
      <c r="AK60" s="365">
        <f t="shared" ref="AK60" si="118">AK$18/AH$18-1</f>
        <v>0.23615819209039479</v>
      </c>
      <c r="AL60" s="365">
        <f t="shared" ref="AL60:AM60" si="119">AL$18/AI$18-1</f>
        <v>0.18422636965683292</v>
      </c>
      <c r="AM60" s="365">
        <f t="shared" si="119"/>
        <v>0.41351660939289792</v>
      </c>
      <c r="AN60" s="365">
        <f t="shared" ref="AN60" si="120">AN$18/AK$18-1</f>
        <v>0.20475319926873858</v>
      </c>
      <c r="AO60" s="365">
        <f t="shared" ref="AO60:AP60" si="121">AO$18/AL$18-1</f>
        <v>0.29740721911540424</v>
      </c>
      <c r="AP60" s="365">
        <f t="shared" si="121"/>
        <v>9.5623987034035407E-2</v>
      </c>
      <c r="AQ60" s="365">
        <f t="shared" ref="AQ60" si="122">AQ$18/AN$18-1</f>
        <v>2.352048558421882E-2</v>
      </c>
      <c r="AR60" s="365">
        <f t="shared" ref="AR60" si="123">AR$18/AO$18-1</f>
        <v>5.8385579937304311E-2</v>
      </c>
      <c r="AS60" s="365">
        <f>AS$18/AR$18-1</f>
        <v>1.019459253117402</v>
      </c>
      <c r="AT60" s="365">
        <f>AT$18/AS$18-1</f>
        <v>0.13587110631602606</v>
      </c>
      <c r="AU60" s="365">
        <f t="shared" ref="AU60" si="124">AU$18/AT$18-1</f>
        <v>0.11865989959694812</v>
      </c>
    </row>
    <row r="61" spans="1:47" s="428" customFormat="1">
      <c r="A61" s="290" t="s">
        <v>542</v>
      </c>
      <c r="B61" s="427" t="s">
        <v>27</v>
      </c>
      <c r="C61" s="512"/>
      <c r="D61" s="512"/>
      <c r="E61" s="512"/>
      <c r="F61" s="540" t="e">
        <f>F24/C24-1</f>
        <v>#DIV/0!</v>
      </c>
      <c r="G61" s="540" t="e">
        <f>G24/D24-1</f>
        <v>#DIV/0!</v>
      </c>
      <c r="H61" s="512"/>
      <c r="I61" s="512"/>
      <c r="J61" s="512"/>
      <c r="K61" s="512"/>
      <c r="L61" s="540" t="e">
        <f>L24/I24-1</f>
        <v>#DIV/0!</v>
      </c>
      <c r="M61" s="540" t="e">
        <f>M24/J24-1</f>
        <v>#DIV/0!</v>
      </c>
      <c r="N61" s="512"/>
      <c r="O61" s="540" t="e">
        <f t="shared" ref="O61:Z61" si="125">O24/L24-1</f>
        <v>#DIV/0!</v>
      </c>
      <c r="P61" s="540" t="e">
        <f t="shared" si="125"/>
        <v>#DIV/0!</v>
      </c>
      <c r="Q61" s="540">
        <f t="shared" si="125"/>
        <v>0.43835616438356118</v>
      </c>
      <c r="R61" s="540">
        <f t="shared" si="125"/>
        <v>0.70212765957446788</v>
      </c>
      <c r="S61" s="540">
        <f t="shared" si="125"/>
        <v>0.72413793103448287</v>
      </c>
      <c r="T61" s="540">
        <f t="shared" si="125"/>
        <v>0.71428571428571419</v>
      </c>
      <c r="U61" s="540">
        <f t="shared" si="125"/>
        <v>0.32500000000000018</v>
      </c>
      <c r="V61" s="540">
        <f t="shared" si="125"/>
        <v>0.54333333333333345</v>
      </c>
      <c r="W61" s="540">
        <f t="shared" si="125"/>
        <v>0.44629629629629641</v>
      </c>
      <c r="X61" s="540">
        <f t="shared" si="125"/>
        <v>0.52515723270440229</v>
      </c>
      <c r="Y61" s="540">
        <f t="shared" si="125"/>
        <v>0.28509719222462193</v>
      </c>
      <c r="Z61" s="540">
        <f t="shared" si="125"/>
        <v>0.38284250960307276</v>
      </c>
      <c r="AA61" s="1144">
        <v>0.2886597938144333</v>
      </c>
      <c r="AB61" s="1144">
        <v>7.899159663865496E-2</v>
      </c>
      <c r="AC61" s="1144">
        <v>0.17314814814814805</v>
      </c>
      <c r="AD61" s="365">
        <f t="shared" ref="AD61:AJ61" si="126">AD24/AA24-1</f>
        <v>0.48484848484848531</v>
      </c>
      <c r="AE61" s="365">
        <f t="shared" si="126"/>
        <v>1.142180094786728</v>
      </c>
      <c r="AF61" s="365">
        <f t="shared" si="126"/>
        <v>0.8108108108108103</v>
      </c>
      <c r="AG61" s="365">
        <f t="shared" si="126"/>
        <v>0.59811616954474101</v>
      </c>
      <c r="AH61" s="365">
        <f t="shared" si="126"/>
        <v>0.46349557522123863</v>
      </c>
      <c r="AI61" s="365">
        <f t="shared" si="126"/>
        <v>0.51914341336794267</v>
      </c>
      <c r="AJ61" s="365">
        <f t="shared" si="126"/>
        <v>0.30943025540275015</v>
      </c>
      <c r="AK61" s="365">
        <f t="shared" ref="AK61" si="127">AK24/AH24-1</f>
        <v>9.8261526832956081E-2</v>
      </c>
      <c r="AL61" s="365">
        <f t="shared" ref="AL61:AM61" si="128">AL24/AI24-1</f>
        <v>0.19008970525416524</v>
      </c>
      <c r="AM61" s="365">
        <f t="shared" si="128"/>
        <v>0.14103525881470369</v>
      </c>
      <c r="AN61" s="365">
        <f t="shared" ref="AN61" si="129">AN24/AK24-1</f>
        <v>0.21197522367515442</v>
      </c>
      <c r="AO61" s="365">
        <f t="shared" ref="AO61:AP61" si="130">AO24/AL24-1</f>
        <v>0.17803302225412754</v>
      </c>
      <c r="AP61" s="365">
        <f t="shared" si="130"/>
        <v>0.27416173570019731</v>
      </c>
      <c r="AQ61" s="365">
        <f t="shared" ref="AQ61" si="131">AQ24/AN24-1</f>
        <v>0.23452583759227674</v>
      </c>
      <c r="AR61" s="365">
        <f t="shared" ref="AR61" si="132">AR24/AO24-1</f>
        <v>0.25289457647775726</v>
      </c>
      <c r="AS61" s="365">
        <f t="shared" ref="AS61:AU61" si="133">AS24/AR24-1</f>
        <v>0.49666706709298603</v>
      </c>
      <c r="AT61" s="365">
        <f t="shared" si="133"/>
        <v>0.23325074406538948</v>
      </c>
      <c r="AU61" s="365">
        <f t="shared" si="133"/>
        <v>0.18557623385949507</v>
      </c>
    </row>
    <row r="62" spans="1:47" s="428" customFormat="1">
      <c r="A62" s="290" t="s">
        <v>542</v>
      </c>
      <c r="B62" s="427" t="s">
        <v>713</v>
      </c>
      <c r="C62" s="512"/>
      <c r="D62" s="512"/>
      <c r="E62" s="512"/>
      <c r="F62" s="540" t="e">
        <f>F29/C29-1</f>
        <v>#DIV/0!</v>
      </c>
      <c r="G62" s="540" t="e">
        <f>G29/D29-1</f>
        <v>#DIV/0!</v>
      </c>
      <c r="H62" s="512"/>
      <c r="I62" s="512"/>
      <c r="J62" s="512"/>
      <c r="K62" s="512"/>
      <c r="L62" s="540" t="e">
        <f>L29/I29-1</f>
        <v>#DIV/0!</v>
      </c>
      <c r="M62" s="540" t="e">
        <f>M29/J29-1</f>
        <v>#DIV/0!</v>
      </c>
      <c r="N62" s="512"/>
      <c r="O62" s="540" t="e">
        <f t="shared" ref="O62:Z62" si="134">O29/L29-1</f>
        <v>#DIV/0!</v>
      </c>
      <c r="P62" s="540" t="e">
        <f t="shared" si="134"/>
        <v>#DIV/0!</v>
      </c>
      <c r="Q62" s="540">
        <f t="shared" si="134"/>
        <v>0.59649122807017529</v>
      </c>
      <c r="R62" s="540">
        <f t="shared" si="134"/>
        <v>8.5106382978723305E-2</v>
      </c>
      <c r="S62" s="540">
        <f t="shared" si="134"/>
        <v>0.15909090909090939</v>
      </c>
      <c r="T62" s="540">
        <f t="shared" si="134"/>
        <v>0.12087912087912089</v>
      </c>
      <c r="U62" s="540">
        <f t="shared" si="134"/>
        <v>0.60784313725490202</v>
      </c>
      <c r="V62" s="540">
        <f t="shared" si="134"/>
        <v>0.52941176470588203</v>
      </c>
      <c r="W62" s="540">
        <f t="shared" si="134"/>
        <v>0.56862745098039236</v>
      </c>
      <c r="X62" s="540">
        <f t="shared" si="134"/>
        <v>9.7560975609756184E-2</v>
      </c>
      <c r="Y62" s="540">
        <f t="shared" si="134"/>
        <v>0.30769230769230793</v>
      </c>
      <c r="Z62" s="540">
        <f t="shared" si="134"/>
        <v>0.20000000000000018</v>
      </c>
      <c r="AA62" s="1144">
        <v>0.2886597938144333</v>
      </c>
      <c r="AB62" s="1144">
        <v>7.899159663865496E-2</v>
      </c>
      <c r="AC62" s="1144">
        <v>0.17314814814814805</v>
      </c>
      <c r="AD62" s="365">
        <f t="shared" ref="AD62:AP62" si="135">AD29/AA29-1</f>
        <v>0.41428571428571437</v>
      </c>
      <c r="AE62" s="365">
        <f t="shared" si="135"/>
        <v>0.31952662721893499</v>
      </c>
      <c r="AF62" s="365">
        <f t="shared" si="135"/>
        <v>0.36245954692556648</v>
      </c>
      <c r="AG62" s="365">
        <f t="shared" si="135"/>
        <v>0.1262626262626263</v>
      </c>
      <c r="AH62" s="365">
        <f t="shared" si="135"/>
        <v>-0.16591928251121058</v>
      </c>
      <c r="AI62" s="365">
        <f t="shared" si="135"/>
        <v>-2.8503562945368044E-2</v>
      </c>
      <c r="AJ62" s="365">
        <f t="shared" si="135"/>
        <v>8.9686098654708779E-3</v>
      </c>
      <c r="AK62" s="365">
        <f t="shared" si="135"/>
        <v>0.38172043010752632</v>
      </c>
      <c r="AL62" s="365">
        <f t="shared" si="135"/>
        <v>0.17848410757946187</v>
      </c>
      <c r="AM62" s="365">
        <f t="shared" si="135"/>
        <v>0.26666666666666661</v>
      </c>
      <c r="AN62" s="365">
        <f t="shared" si="135"/>
        <v>0.24513618677042848</v>
      </c>
      <c r="AO62" s="365">
        <f t="shared" si="135"/>
        <v>0.25518672199170145</v>
      </c>
      <c r="AP62" s="365">
        <f t="shared" si="135"/>
        <v>0.22807017543859653</v>
      </c>
      <c r="AQ62" s="365">
        <f t="shared" ref="AQ62" si="136">AQ29/AN29-1</f>
        <v>0.21874999999999978</v>
      </c>
      <c r="AR62" s="365">
        <f t="shared" ref="AR62" si="137">AR29/AO29-1</f>
        <v>0.22314049586776852</v>
      </c>
      <c r="AS62" s="351">
        <v>0.6</v>
      </c>
      <c r="AT62" s="351">
        <v>0.15</v>
      </c>
      <c r="AU62" s="351">
        <v>0.1</v>
      </c>
    </row>
    <row r="63" spans="1:47" s="428" customFormat="1">
      <c r="A63" s="290"/>
      <c r="B63" s="427" t="s">
        <v>153</v>
      </c>
      <c r="C63" s="512"/>
      <c r="D63" s="512"/>
      <c r="E63" s="512"/>
      <c r="F63" s="512"/>
      <c r="G63" s="512"/>
      <c r="H63" s="512"/>
      <c r="I63" s="512"/>
      <c r="J63" s="512"/>
      <c r="K63" s="512"/>
      <c r="L63" s="512"/>
      <c r="M63" s="512"/>
      <c r="N63" s="512"/>
      <c r="O63" s="512"/>
      <c r="P63" s="512"/>
      <c r="Q63" s="540">
        <f>Q36/N36-1</f>
        <v>0.32266217354675586</v>
      </c>
      <c r="R63" s="512"/>
      <c r="S63" s="512"/>
      <c r="T63" s="540">
        <f t="shared" ref="T63:Z63" si="138">T36/Q36-1</f>
        <v>1.1656050955414012</v>
      </c>
      <c r="U63" s="540">
        <f t="shared" si="138"/>
        <v>0.10526315789473739</v>
      </c>
      <c r="V63" s="540">
        <f t="shared" si="138"/>
        <v>0.49468085106382942</v>
      </c>
      <c r="W63" s="540">
        <f t="shared" si="138"/>
        <v>0.32058823529411784</v>
      </c>
      <c r="X63" s="540">
        <f t="shared" si="138"/>
        <v>0.63690476190476142</v>
      </c>
      <c r="Y63" s="540">
        <f t="shared" si="138"/>
        <v>0.25978647686832668</v>
      </c>
      <c r="Z63" s="540">
        <f t="shared" si="138"/>
        <v>0.4008908685968815</v>
      </c>
      <c r="AA63" s="1144">
        <v>0.2181818181818187</v>
      </c>
      <c r="AB63" s="1144">
        <v>-0.12429378531073443</v>
      </c>
      <c r="AC63" s="1144">
        <v>2.5437201907790419E-2</v>
      </c>
      <c r="AD63" s="365">
        <f t="shared" ref="AD63:AJ63" si="139">AD36/AA36-1</f>
        <v>0.67379679144385141</v>
      </c>
      <c r="AE63" s="365">
        <f t="shared" si="139"/>
        <v>1.8343195266272132</v>
      </c>
      <c r="AF63" s="365">
        <f t="shared" si="139"/>
        <v>1.2247191011235943</v>
      </c>
      <c r="AG63" s="365">
        <f t="shared" si="139"/>
        <v>0.82108626198083035</v>
      </c>
      <c r="AH63" s="365">
        <f t="shared" si="139"/>
        <v>0.70981210855949883</v>
      </c>
      <c r="AI63" s="365">
        <f t="shared" si="139"/>
        <v>0.75378787878787845</v>
      </c>
      <c r="AJ63" s="365">
        <f t="shared" si="139"/>
        <v>0.44385964912280662</v>
      </c>
      <c r="AK63" s="365">
        <f t="shared" ref="AK63" si="140">AK36/AH36-1</f>
        <v>4.1514041514042255E-2</v>
      </c>
      <c r="AL63" s="365">
        <f t="shared" ref="AL63:AM63" si="141">AL36/AI36-1</f>
        <v>0.20662347012239057</v>
      </c>
      <c r="AM63" s="365">
        <f t="shared" si="141"/>
        <v>1.7010935601458055E-2</v>
      </c>
      <c r="AN63" s="365">
        <f t="shared" ref="AN63" si="142">AN36/AK36-1</f>
        <v>0.19695193434935487</v>
      </c>
      <c r="AO63" s="365">
        <f t="shared" ref="AO63:AP63" si="143">AO36/AL36-1</f>
        <v>0.10859188544152731</v>
      </c>
      <c r="AP63" s="365">
        <f t="shared" si="143"/>
        <v>0.33811230585424146</v>
      </c>
      <c r="AQ63" s="365">
        <f t="shared" ref="AQ63" si="144">AQ36/AN36-1</f>
        <v>0.27228207639568947</v>
      </c>
      <c r="AR63" s="365">
        <f t="shared" ref="AR63" si="145">AR36/AO36-1</f>
        <v>0.30193756727664112</v>
      </c>
      <c r="AS63" s="365">
        <f>AS36/AR36-1</f>
        <v>0.19869879517080546</v>
      </c>
      <c r="AT63" s="365">
        <f>AT36/AS36-1</f>
        <v>0.29943023525195378</v>
      </c>
      <c r="AU63" s="365">
        <f t="shared" ref="AU63" si="146">AU36/AT36-1</f>
        <v>0.25382696244084246</v>
      </c>
    </row>
    <row r="64" spans="1:47" s="428" customFormat="1">
      <c r="A64" s="290"/>
      <c r="B64" s="427" t="s">
        <v>147</v>
      </c>
      <c r="C64" s="512"/>
      <c r="D64" s="512"/>
      <c r="E64" s="512"/>
      <c r="F64" s="512"/>
      <c r="G64" s="512"/>
      <c r="H64" s="512"/>
      <c r="I64" s="512"/>
      <c r="J64" s="512"/>
      <c r="K64" s="512"/>
      <c r="L64" s="512"/>
      <c r="M64" s="512"/>
      <c r="N64" s="512"/>
      <c r="O64" s="512"/>
      <c r="P64" s="512"/>
      <c r="Q64" s="540">
        <f>Q40/N40-1</f>
        <v>0.32266217354675586</v>
      </c>
      <c r="R64" s="512"/>
      <c r="S64" s="512"/>
      <c r="T64" s="540">
        <f t="shared" ref="T64:Z64" si="147">T40/Q40-1</f>
        <v>1.1401273885350318</v>
      </c>
      <c r="U64" s="540">
        <f t="shared" si="147"/>
        <v>0.112582781456954</v>
      </c>
      <c r="V64" s="540">
        <f t="shared" si="147"/>
        <v>0.51891891891891873</v>
      </c>
      <c r="W64" s="540">
        <f t="shared" si="147"/>
        <v>0.33630952380952395</v>
      </c>
      <c r="X64" s="540">
        <f t="shared" si="147"/>
        <v>0.63690476190476142</v>
      </c>
      <c r="Y64" s="540">
        <f t="shared" si="147"/>
        <v>0.25978647686832668</v>
      </c>
      <c r="Z64" s="540">
        <f t="shared" si="147"/>
        <v>0.4008908685968815</v>
      </c>
      <c r="AA64" s="1144">
        <v>0.2181818181818187</v>
      </c>
      <c r="AB64" s="1144">
        <v>-0.12429378531073443</v>
      </c>
      <c r="AC64" s="1144">
        <v>2.5437201907790419E-2</v>
      </c>
      <c r="AD64" s="365">
        <f t="shared" ref="AD64:AJ64" si="148">AD40/AA40-1</f>
        <v>0.67379679144385141</v>
      </c>
      <c r="AE64" s="365">
        <f t="shared" si="148"/>
        <v>1.8343195266272132</v>
      </c>
      <c r="AF64" s="365">
        <f t="shared" si="148"/>
        <v>1.2247191011235943</v>
      </c>
      <c r="AG64" s="365">
        <f t="shared" si="148"/>
        <v>0.82108626198083035</v>
      </c>
      <c r="AH64" s="365">
        <f t="shared" si="148"/>
        <v>0.70981210855949883</v>
      </c>
      <c r="AI64" s="365">
        <f t="shared" si="148"/>
        <v>0.75378787878787845</v>
      </c>
      <c r="AJ64" s="365">
        <f t="shared" si="148"/>
        <v>0.44385964912280662</v>
      </c>
      <c r="AK64" s="365">
        <f t="shared" ref="AK64" si="149">AK40/AH40-1</f>
        <v>4.1514041514042255E-2</v>
      </c>
      <c r="AL64" s="365">
        <f t="shared" ref="AL64:AM64" si="150">AL40/AI40-1</f>
        <v>0.20662347012239057</v>
      </c>
      <c r="AM64" s="365">
        <f t="shared" si="150"/>
        <v>1.7010935601458055E-2</v>
      </c>
      <c r="AN64" s="365">
        <f t="shared" ref="AN64" si="151">AN40/AK40-1</f>
        <v>0.19695193434935487</v>
      </c>
      <c r="AO64" s="365">
        <f t="shared" ref="AO64:AP64" si="152">AO40/AL40-1</f>
        <v>0.10859188544152731</v>
      </c>
      <c r="AP64" s="365">
        <f t="shared" si="152"/>
        <v>0.33811230585424146</v>
      </c>
      <c r="AQ64" s="365">
        <f t="shared" ref="AQ64" si="153">AQ40/AN40-1</f>
        <v>0.27228207639568947</v>
      </c>
      <c r="AR64" s="365">
        <f t="shared" ref="AR64" si="154">AR40/AO40-1</f>
        <v>0.30193756727664112</v>
      </c>
      <c r="AS64" s="365">
        <f>AS40/AR40-1</f>
        <v>0.19869879517080546</v>
      </c>
      <c r="AT64" s="365">
        <f>AT40/AS40-1</f>
        <v>0.29943023525195378</v>
      </c>
      <c r="AU64" s="365">
        <f t="shared" ref="AU64" si="155">AU40/AT40-1</f>
        <v>0.25382696244084246</v>
      </c>
    </row>
    <row r="65" spans="1:47" s="428" customFormat="1">
      <c r="A65" s="290" t="s">
        <v>543</v>
      </c>
      <c r="B65" s="409" t="s">
        <v>229</v>
      </c>
      <c r="C65" s="512"/>
      <c r="D65" s="512"/>
      <c r="E65" s="512"/>
      <c r="F65" s="512"/>
      <c r="G65" s="512"/>
      <c r="H65" s="512"/>
      <c r="I65" s="512"/>
      <c r="J65" s="512"/>
      <c r="K65" s="512"/>
      <c r="L65" s="512"/>
      <c r="M65" s="512"/>
      <c r="N65" s="512"/>
      <c r="O65" s="512"/>
      <c r="P65" s="512"/>
      <c r="Q65" s="540">
        <f>Q45/N45-1</f>
        <v>0.23211656936574232</v>
      </c>
      <c r="R65" s="512"/>
      <c r="S65" s="512"/>
      <c r="T65" s="540">
        <f>T45/Q45-1</f>
        <v>0.91308965611265558</v>
      </c>
      <c r="U65" s="512"/>
      <c r="V65" s="512"/>
      <c r="W65" s="540">
        <f t="shared" ref="W65:Z65" si="156">W45/T45-1</f>
        <v>0.33373772523729217</v>
      </c>
      <c r="X65" s="540">
        <f t="shared" si="156"/>
        <v>0.58925241951071317</v>
      </c>
      <c r="Y65" s="540">
        <f t="shared" si="156"/>
        <v>0.19376244342494475</v>
      </c>
      <c r="Z65" s="540">
        <f t="shared" si="156"/>
        <v>0.34199556478132354</v>
      </c>
      <c r="AA65" s="1144">
        <v>0.15177717019822357</v>
      </c>
      <c r="AB65" s="1144">
        <v>-0.15210570800268608</v>
      </c>
      <c r="AC65" s="1144">
        <v>-1.7222525290750856E-2</v>
      </c>
      <c r="AD65" s="365">
        <f t="shared" ref="AD65:AJ65" si="157">AD45/AA45-1</f>
        <v>0.64493822607412965</v>
      </c>
      <c r="AE65" s="365">
        <f t="shared" si="157"/>
        <v>1.7932367504180138</v>
      </c>
      <c r="AF65" s="365">
        <f t="shared" si="157"/>
        <v>1.1891126396713236</v>
      </c>
      <c r="AG65" s="365">
        <f t="shared" si="157"/>
        <v>0.81605409238984872</v>
      </c>
      <c r="AH65" s="365">
        <f t="shared" si="157"/>
        <v>0.70329309567350951</v>
      </c>
      <c r="AI65" s="365">
        <f t="shared" si="157"/>
        <v>0.74787018962632423</v>
      </c>
      <c r="AJ65" s="365">
        <f t="shared" si="157"/>
        <v>0.43855946075037644</v>
      </c>
      <c r="AK65" s="365">
        <f t="shared" ref="AK65" si="158">AK45/AH45-1</f>
        <v>3.5571664984022755E-2</v>
      </c>
      <c r="AL65" s="365">
        <f t="shared" ref="AL65:AM65" si="159">AL45/AI45-1</f>
        <v>0.20109695041190623</v>
      </c>
      <c r="AM65" s="365">
        <f t="shared" si="159"/>
        <v>5.0207824912835708E-3</v>
      </c>
      <c r="AN65" s="365">
        <f t="shared" ref="AN65" si="160">AN45/AK45-1</f>
        <v>0.18580827613698681</v>
      </c>
      <c r="AO65" s="365">
        <f t="shared" ref="AO65:AP65" si="161">AO45/AL45-1</f>
        <v>9.6869614749547361E-2</v>
      </c>
      <c r="AP65" s="365">
        <f t="shared" si="161"/>
        <v>0.33287428719236112</v>
      </c>
      <c r="AQ65" s="365">
        <f t="shared" ref="AQ65" si="162">AQ45/AN45-1</f>
        <v>0.2679855782361702</v>
      </c>
      <c r="AR65" s="365">
        <f t="shared" ref="AR65" si="163">AR45/AO45-1</f>
        <v>0.29723460195234286</v>
      </c>
      <c r="AS65" s="365">
        <f>AS45/AR45-1</f>
        <v>0.19010083609008199</v>
      </c>
      <c r="AT65" s="365">
        <f>AT45/AS45-1</f>
        <v>0.29943023525195378</v>
      </c>
      <c r="AU65" s="365">
        <f t="shared" ref="AU65" si="164">AU45/AT45-1</f>
        <v>0.24563688133226247</v>
      </c>
    </row>
    <row r="66" spans="1:47" s="428" customFormat="1">
      <c r="A66" s="290"/>
      <c r="B66" s="427"/>
      <c r="C66" s="512"/>
      <c r="D66" s="512"/>
      <c r="E66" s="512"/>
      <c r="F66" s="512"/>
      <c r="G66" s="512"/>
      <c r="H66" s="512"/>
      <c r="I66" s="512"/>
      <c r="J66" s="512"/>
      <c r="K66" s="512"/>
      <c r="L66" s="512"/>
      <c r="M66" s="512"/>
      <c r="N66" s="512"/>
      <c r="O66" s="512"/>
      <c r="P66" s="512"/>
      <c r="Q66" s="512"/>
      <c r="R66" s="512"/>
      <c r="S66" s="512"/>
      <c r="T66" s="512"/>
      <c r="U66" s="512"/>
      <c r="V66" s="512"/>
      <c r="W66" s="512"/>
      <c r="X66" s="512"/>
      <c r="Y66" s="512"/>
      <c r="Z66" s="512"/>
      <c r="AA66" s="278"/>
      <c r="AB66" s="278"/>
      <c r="AC66" s="278"/>
      <c r="AD66" s="278"/>
      <c r="AE66" s="278"/>
      <c r="AF66" s="278"/>
      <c r="AG66" s="278"/>
      <c r="AH66" s="278"/>
      <c r="AI66" s="278"/>
      <c r="AJ66" s="278"/>
      <c r="AK66" s="278"/>
      <c r="AL66" s="278"/>
      <c r="AM66" s="278"/>
      <c r="AN66" s="278"/>
      <c r="AO66" s="278"/>
      <c r="AP66" s="278"/>
      <c r="AQ66" s="278"/>
      <c r="AR66" s="278"/>
      <c r="AS66" s="278"/>
      <c r="AT66" s="278"/>
      <c r="AU66" s="278"/>
    </row>
    <row r="67" spans="1:47" s="428" customFormat="1">
      <c r="A67" s="290"/>
      <c r="B67" s="429" t="s">
        <v>154</v>
      </c>
      <c r="C67" s="541"/>
      <c r="D67" s="541"/>
      <c r="E67" s="512"/>
      <c r="F67" s="541"/>
      <c r="G67" s="541"/>
      <c r="H67" s="512"/>
      <c r="I67" s="541"/>
      <c r="J67" s="541"/>
      <c r="K67" s="512"/>
      <c r="L67" s="541"/>
      <c r="M67" s="541"/>
      <c r="N67" s="542"/>
      <c r="O67" s="543"/>
      <c r="P67" s="543"/>
      <c r="Q67" s="542"/>
      <c r="R67" s="543"/>
      <c r="S67" s="542"/>
      <c r="T67" s="542"/>
      <c r="U67" s="542"/>
      <c r="V67" s="542"/>
      <c r="W67" s="542"/>
      <c r="X67" s="542"/>
      <c r="Y67" s="542"/>
      <c r="Z67" s="542"/>
      <c r="AA67" s="430"/>
      <c r="AB67" s="430"/>
      <c r="AC67" s="430"/>
      <c r="AD67" s="430"/>
      <c r="AE67" s="430"/>
      <c r="AF67" s="430"/>
      <c r="AG67" s="430"/>
      <c r="AH67" s="430"/>
      <c r="AI67" s="430"/>
      <c r="AJ67" s="430"/>
      <c r="AK67" s="430"/>
      <c r="AL67" s="430"/>
      <c r="AM67" s="430"/>
      <c r="AN67" s="430"/>
      <c r="AO67" s="430"/>
      <c r="AP67" s="430"/>
      <c r="AQ67" s="430"/>
      <c r="AR67" s="430"/>
      <c r="AS67" s="430"/>
      <c r="AT67" s="430"/>
      <c r="AU67" s="430"/>
    </row>
    <row r="68" spans="1:47" s="428" customFormat="1">
      <c r="A68" s="290" t="s">
        <v>544</v>
      </c>
      <c r="B68" s="427" t="s">
        <v>353</v>
      </c>
      <c r="C68" s="541"/>
      <c r="D68" s="541"/>
      <c r="E68" s="512"/>
      <c r="F68" s="541"/>
      <c r="G68" s="541"/>
      <c r="H68" s="534"/>
      <c r="I68" s="534"/>
      <c r="J68" s="534"/>
      <c r="K68" s="534"/>
      <c r="L68" s="535" t="e">
        <f t="shared" ref="L68:Z68" si="165">L12/L8</f>
        <v>#DIV/0!</v>
      </c>
      <c r="M68" s="535" t="e">
        <f t="shared" si="165"/>
        <v>#DIV/0!</v>
      </c>
      <c r="N68" s="540">
        <f t="shared" si="165"/>
        <v>0.83793969849246241</v>
      </c>
      <c r="O68" s="540">
        <f t="shared" si="165"/>
        <v>0.87829614604462469</v>
      </c>
      <c r="P68" s="540">
        <f t="shared" si="165"/>
        <v>0.86851851851851836</v>
      </c>
      <c r="Q68" s="540">
        <f t="shared" si="165"/>
        <v>0.8731848983543079</v>
      </c>
      <c r="R68" s="540">
        <f t="shared" si="165"/>
        <v>0.85794655414908572</v>
      </c>
      <c r="S68" s="540">
        <f t="shared" si="165"/>
        <v>0.8476420798065295</v>
      </c>
      <c r="T68" s="540">
        <f t="shared" si="165"/>
        <v>0.85240572171651485</v>
      </c>
      <c r="U68" s="540">
        <f t="shared" si="165"/>
        <v>0.8501070663811563</v>
      </c>
      <c r="V68" s="540">
        <f t="shared" si="165"/>
        <v>0.84165366614664594</v>
      </c>
      <c r="W68" s="540">
        <f t="shared" si="165"/>
        <v>0.84521660649819497</v>
      </c>
      <c r="X68" s="540">
        <f t="shared" si="165"/>
        <v>0.82322910019144868</v>
      </c>
      <c r="Y68" s="540">
        <f t="shared" si="165"/>
        <v>0.82193211488250639</v>
      </c>
      <c r="Z68" s="540">
        <f t="shared" si="165"/>
        <v>0.82251579551981613</v>
      </c>
      <c r="AA68" s="410">
        <f t="shared" ref="AA68:AU68" si="166">AA12/AA8</f>
        <v>0.8230714791224345</v>
      </c>
      <c r="AB68" s="410">
        <f t="shared" si="166"/>
        <v>0.81991814461118684</v>
      </c>
      <c r="AC68" s="410">
        <f t="shared" si="166"/>
        <v>0.82146578673150406</v>
      </c>
      <c r="AD68" s="410">
        <f t="shared" si="166"/>
        <v>0.85235294117647065</v>
      </c>
      <c r="AE68" s="410">
        <f t="shared" si="166"/>
        <v>0.84106280193236704</v>
      </c>
      <c r="AF68" s="410">
        <f t="shared" si="166"/>
        <v>0.84615384615384615</v>
      </c>
      <c r="AG68" s="410">
        <f t="shared" si="166"/>
        <v>0.86374578719306705</v>
      </c>
      <c r="AH68" s="410">
        <f t="shared" si="166"/>
        <v>0.87203791469194303</v>
      </c>
      <c r="AI68" s="410">
        <f t="shared" si="166"/>
        <v>0.8683011499240616</v>
      </c>
      <c r="AJ68" s="410">
        <f t="shared" si="166"/>
        <v>0.86408147277712488</v>
      </c>
      <c r="AK68" s="410">
        <f t="shared" si="166"/>
        <v>0.85786460087571581</v>
      </c>
      <c r="AL68" s="410">
        <f t="shared" si="166"/>
        <v>0.86073886273089473</v>
      </c>
      <c r="AM68" s="410">
        <f t="shared" si="166"/>
        <v>0.84250764525993882</v>
      </c>
      <c r="AN68" s="410">
        <f t="shared" si="166"/>
        <v>0.86343241727425657</v>
      </c>
      <c r="AO68" s="410">
        <f t="shared" si="166"/>
        <v>0.8534230544177881</v>
      </c>
      <c r="AP68" s="410">
        <f t="shared" ref="AP68:AR68" si="167">AP12/AP8</f>
        <v>0.86351706036745401</v>
      </c>
      <c r="AQ68" s="410">
        <f t="shared" si="167"/>
        <v>0.88584360070404811</v>
      </c>
      <c r="AR68" s="410">
        <f t="shared" si="167"/>
        <v>0.87491973802491319</v>
      </c>
      <c r="AS68" s="410">
        <f t="shared" si="166"/>
        <v>0.82</v>
      </c>
      <c r="AT68" s="410">
        <f t="shared" si="166"/>
        <v>0.82599999999999996</v>
      </c>
      <c r="AU68" s="410">
        <f t="shared" si="166"/>
        <v>0.82799999999999996</v>
      </c>
    </row>
    <row r="69" spans="1:47" s="428" customFormat="1">
      <c r="A69" s="290" t="s">
        <v>545</v>
      </c>
      <c r="B69" s="427" t="s">
        <v>155</v>
      </c>
      <c r="C69" s="541"/>
      <c r="D69" s="541"/>
      <c r="E69" s="512"/>
      <c r="F69" s="544" t="e">
        <f>F$24/F$8</f>
        <v>#DIV/0!</v>
      </c>
      <c r="G69" s="544" t="e">
        <f>G$24/G$8</f>
        <v>#DIV/0!</v>
      </c>
      <c r="H69" s="512"/>
      <c r="I69" s="541"/>
      <c r="J69" s="541"/>
      <c r="K69" s="512"/>
      <c r="L69" s="544" t="e">
        <f t="shared" ref="L69:Z69" si="168">L$24/L$8</f>
        <v>#DIV/0!</v>
      </c>
      <c r="M69" s="544" t="e">
        <f t="shared" si="168"/>
        <v>#DIV/0!</v>
      </c>
      <c r="N69" s="540">
        <f t="shared" si="168"/>
        <v>0.27512562814070363</v>
      </c>
      <c r="O69" s="544">
        <f t="shared" si="168"/>
        <v>0.28600405679513191</v>
      </c>
      <c r="P69" s="544">
        <f t="shared" si="168"/>
        <v>0.32222222222222213</v>
      </c>
      <c r="Q69" s="540">
        <f t="shared" si="168"/>
        <v>0.30493707647628265</v>
      </c>
      <c r="R69" s="544">
        <f t="shared" si="168"/>
        <v>0.33755274261603374</v>
      </c>
      <c r="S69" s="544">
        <f t="shared" si="168"/>
        <v>0.36275695284159609</v>
      </c>
      <c r="T69" s="540">
        <f t="shared" si="168"/>
        <v>0.35110533159947982</v>
      </c>
      <c r="U69" s="540">
        <f t="shared" si="168"/>
        <v>0.34047109207708781</v>
      </c>
      <c r="V69" s="540">
        <f t="shared" si="168"/>
        <v>0.3611544461778472</v>
      </c>
      <c r="W69" s="540">
        <f t="shared" si="168"/>
        <v>0.35243682310469321</v>
      </c>
      <c r="X69" s="540">
        <f t="shared" si="168"/>
        <v>0.30950861518825784</v>
      </c>
      <c r="Y69" s="540">
        <f t="shared" si="168"/>
        <v>0.31070496083550914</v>
      </c>
      <c r="Z69" s="540">
        <f t="shared" si="168"/>
        <v>0.31016657093624356</v>
      </c>
      <c r="AA69" s="278">
        <f t="shared" ref="AA69:AU69" si="169">AA$24/AA$8</f>
        <v>0.30360934182590227</v>
      </c>
      <c r="AB69" s="278">
        <f t="shared" si="169"/>
        <v>0.28785811732605748</v>
      </c>
      <c r="AC69" s="278">
        <f t="shared" si="169"/>
        <v>0.29558874609239327</v>
      </c>
      <c r="AD69" s="278">
        <f t="shared" si="169"/>
        <v>0.37470588235294117</v>
      </c>
      <c r="AE69" s="278">
        <f t="shared" si="169"/>
        <v>0.43671497584541052</v>
      </c>
      <c r="AF69" s="278">
        <f t="shared" si="169"/>
        <v>0.40875331564986733</v>
      </c>
      <c r="AG69" s="278">
        <f t="shared" si="169"/>
        <v>0.4901299951853636</v>
      </c>
      <c r="AH69" s="278">
        <f t="shared" si="169"/>
        <v>0.52251184834123199</v>
      </c>
      <c r="AI69" s="278">
        <f t="shared" si="169"/>
        <v>0.50791928834888256</v>
      </c>
      <c r="AJ69" s="278">
        <f t="shared" si="169"/>
        <v>0.5221308264786525</v>
      </c>
      <c r="AK69" s="278">
        <f t="shared" si="169"/>
        <v>0.48939036712697898</v>
      </c>
      <c r="AL69" s="278">
        <f t="shared" si="169"/>
        <v>0.50452734516479547</v>
      </c>
      <c r="AM69" s="278">
        <f t="shared" si="169"/>
        <v>0.46513761467889908</v>
      </c>
      <c r="AN69" s="278">
        <f t="shared" si="169"/>
        <v>0.49383062254627019</v>
      </c>
      <c r="AO69" s="278">
        <f t="shared" si="169"/>
        <v>0.48010532475131651</v>
      </c>
      <c r="AP69" s="278">
        <f t="shared" si="169"/>
        <v>0.50866141732283465</v>
      </c>
      <c r="AQ69" s="278">
        <f t="shared" si="169"/>
        <v>0.54664319839074649</v>
      </c>
      <c r="AR69" s="278">
        <f t="shared" si="169"/>
        <v>0.52805958649030427</v>
      </c>
      <c r="AS69" s="410">
        <f t="shared" si="169"/>
        <v>0.43471316805396598</v>
      </c>
      <c r="AT69" s="410">
        <f>AT$24/AT$8</f>
        <v>0.45476633904514041</v>
      </c>
      <c r="AU69" s="278">
        <f t="shared" si="169"/>
        <v>0.46773246072295405</v>
      </c>
    </row>
    <row r="70" spans="1:47" s="428" customFormat="1">
      <c r="A70" s="290" t="s">
        <v>616</v>
      </c>
      <c r="B70" s="427" t="s">
        <v>670</v>
      </c>
      <c r="C70" s="541"/>
      <c r="D70" s="541"/>
      <c r="E70" s="512"/>
      <c r="F70" s="541"/>
      <c r="G70" s="541"/>
      <c r="H70" s="512"/>
      <c r="I70" s="541"/>
      <c r="J70" s="541"/>
      <c r="K70" s="512"/>
      <c r="L70" s="544" t="e">
        <f>+L30/L8</f>
        <v>#DIV/0!</v>
      </c>
      <c r="M70" s="541"/>
      <c r="N70" s="512"/>
      <c r="O70" s="541"/>
      <c r="P70" s="541"/>
      <c r="Q70" s="512"/>
      <c r="R70" s="541"/>
      <c r="S70" s="512"/>
      <c r="T70" s="512"/>
      <c r="U70" s="512"/>
      <c r="V70" s="512"/>
      <c r="W70" s="512"/>
      <c r="X70" s="512"/>
      <c r="Y70" s="512"/>
      <c r="Z70" s="512"/>
      <c r="AA70" s="278"/>
      <c r="AB70" s="278"/>
      <c r="AC70" s="350">
        <f t="shared" ref="AC70:AU70" si="170">+AC30/AC8</f>
        <v>0.18825981243487333</v>
      </c>
      <c r="AD70" s="350">
        <f t="shared" si="170"/>
        <v>0.25823529411764712</v>
      </c>
      <c r="AE70" s="350">
        <f t="shared" si="170"/>
        <v>0.32898550724637676</v>
      </c>
      <c r="AF70" s="350">
        <f t="shared" si="170"/>
        <v>0.29708222811671087</v>
      </c>
      <c r="AG70" s="350">
        <f t="shared" si="170"/>
        <v>0.38276360134809828</v>
      </c>
      <c r="AH70" s="350">
        <f t="shared" si="170"/>
        <v>0.44905213270142158</v>
      </c>
      <c r="AI70" s="350">
        <f t="shared" si="170"/>
        <v>0.41917986548058139</v>
      </c>
      <c r="AJ70" s="350">
        <f t="shared" si="170"/>
        <v>0.43399921660791219</v>
      </c>
      <c r="AK70" s="350">
        <f t="shared" si="170"/>
        <v>0.40282923543280585</v>
      </c>
      <c r="AL70" s="350">
        <f t="shared" si="170"/>
        <v>0.41724013038754088</v>
      </c>
      <c r="AM70" s="350">
        <f t="shared" si="170"/>
        <v>0.37798165137614675</v>
      </c>
      <c r="AN70" s="350">
        <f t="shared" si="170"/>
        <v>0.40409422321929322</v>
      </c>
      <c r="AO70" s="350">
        <f t="shared" si="170"/>
        <v>0.39160327677004092</v>
      </c>
      <c r="AP70" s="350">
        <f t="shared" ref="AP70:AR70" si="171">+AP30/AP8</f>
        <v>0.41679790026246721</v>
      </c>
      <c r="AQ70" s="350">
        <f t="shared" si="171"/>
        <v>0.44857933115413601</v>
      </c>
      <c r="AR70" s="350">
        <f t="shared" si="171"/>
        <v>0.43302940798767164</v>
      </c>
      <c r="AS70" s="350">
        <f t="shared" si="170"/>
        <v>0.3510804542080983</v>
      </c>
      <c r="AT70" s="350">
        <f t="shared" si="170"/>
        <v>0.37318174447876878</v>
      </c>
      <c r="AU70" s="350">
        <f t="shared" si="170"/>
        <v>0.38987852727198008</v>
      </c>
    </row>
    <row r="71" spans="1:47">
      <c r="B71" s="380" t="s">
        <v>52</v>
      </c>
      <c r="C71" s="545"/>
      <c r="D71" s="545"/>
      <c r="E71" s="546"/>
      <c r="F71" s="546"/>
      <c r="G71" s="546"/>
      <c r="H71" s="546"/>
      <c r="I71" s="546"/>
      <c r="J71" s="546"/>
      <c r="K71" s="546"/>
      <c r="L71" s="546">
        <v>0.3</v>
      </c>
      <c r="M71" s="546">
        <v>0.3</v>
      </c>
      <c r="N71" s="546">
        <v>0.3</v>
      </c>
      <c r="O71" s="546">
        <v>0.3</v>
      </c>
      <c r="P71" s="546">
        <v>0.3</v>
      </c>
      <c r="Q71" s="547">
        <f>+Q35/Q34</f>
        <v>0.31441048034934499</v>
      </c>
      <c r="R71" s="547">
        <f>+R35/R34</f>
        <v>0.26923076923076927</v>
      </c>
      <c r="S71" s="547">
        <f>+S35/S34</f>
        <v>0.27413127413127414</v>
      </c>
      <c r="T71" s="547">
        <f t="shared" ref="T71:Z71" si="172">+T35/T34</f>
        <v>0.27194860813704491</v>
      </c>
      <c r="U71" s="538">
        <f t="shared" si="172"/>
        <v>0.29707112970711291</v>
      </c>
      <c r="V71" s="538">
        <f t="shared" si="172"/>
        <v>0.26822916666666657</v>
      </c>
      <c r="W71" s="538">
        <f t="shared" si="172"/>
        <v>0.27929373996789725</v>
      </c>
      <c r="X71" s="538">
        <f t="shared" si="172"/>
        <v>0.28756476683937826</v>
      </c>
      <c r="Y71" s="538">
        <f t="shared" si="172"/>
        <v>0.27607361963190186</v>
      </c>
      <c r="Z71" s="538">
        <f t="shared" si="172"/>
        <v>0.28114285714285719</v>
      </c>
      <c r="AA71" s="425">
        <f t="shared" ref="AA71:AF71" si="173">+AA35/AA34</f>
        <v>0.30483271375464693</v>
      </c>
      <c r="AB71" s="425">
        <f t="shared" si="173"/>
        <v>0.19138755980861213</v>
      </c>
      <c r="AC71" s="425">
        <f t="shared" si="173"/>
        <v>0.25523012552301239</v>
      </c>
      <c r="AD71" s="425">
        <f t="shared" si="173"/>
        <v>0.27209302325581392</v>
      </c>
      <c r="AE71" s="425">
        <f t="shared" si="173"/>
        <v>0.27314112291350534</v>
      </c>
      <c r="AF71" s="425">
        <f t="shared" si="173"/>
        <v>0.27272727272727271</v>
      </c>
      <c r="AG71" s="425">
        <f t="shared" ref="AG71:AL71" si="174">+AG35/AG34</f>
        <v>0.27016645326504479</v>
      </c>
      <c r="AH71" s="425">
        <f t="shared" si="174"/>
        <v>0.27586206896551735</v>
      </c>
      <c r="AI71" s="425">
        <f t="shared" si="174"/>
        <v>0.27353556485355651</v>
      </c>
      <c r="AJ71" s="425">
        <f t="shared" si="174"/>
        <v>0.27039007092198586</v>
      </c>
      <c r="AK71" s="425">
        <f t="shared" si="174"/>
        <v>0.28198653198653184</v>
      </c>
      <c r="AL71" s="425">
        <f t="shared" si="174"/>
        <v>0.27633851468048354</v>
      </c>
      <c r="AM71" s="425">
        <f t="shared" ref="AM71:AN71" si="175">+AM35/AM34</f>
        <v>0.29127857747671471</v>
      </c>
      <c r="AN71" s="425">
        <f t="shared" si="175"/>
        <v>0.27330960854092529</v>
      </c>
      <c r="AO71" s="425">
        <f>+AO35/AO34</f>
        <v>0.28151585460170148</v>
      </c>
      <c r="AP71" s="425">
        <f t="shared" ref="AP71:AQ71" si="176">+AP35/AP34</f>
        <v>0.2902408111533587</v>
      </c>
      <c r="AQ71" s="425">
        <f t="shared" si="176"/>
        <v>0.26568682871678923</v>
      </c>
      <c r="AR71" s="425">
        <f>+AR35/AR34</f>
        <v>0.27726322079474158</v>
      </c>
      <c r="AS71" s="433">
        <v>0.28000000000000003</v>
      </c>
      <c r="AT71" s="433">
        <v>0.28000000000000003</v>
      </c>
      <c r="AU71" s="433">
        <v>0.28000000000000003</v>
      </c>
    </row>
    <row r="72" spans="1:47">
      <c r="B72" s="305" t="s">
        <v>524</v>
      </c>
      <c r="C72" s="545"/>
      <c r="D72" s="545"/>
      <c r="E72" s="546"/>
      <c r="F72" s="546"/>
      <c r="G72" s="546"/>
      <c r="H72" s="546"/>
      <c r="I72" s="546"/>
      <c r="J72" s="546"/>
      <c r="K72" s="546"/>
      <c r="L72" s="546"/>
      <c r="M72" s="546"/>
      <c r="N72" s="547">
        <f>N29/N317</f>
        <v>0.35849056603773588</v>
      </c>
      <c r="O72" s="546"/>
      <c r="P72" s="546"/>
      <c r="Q72" s="547">
        <f>Q29/Q317</f>
        <v>0.45197178901360879</v>
      </c>
      <c r="R72" s="546"/>
      <c r="S72" s="546"/>
      <c r="T72" s="547">
        <f>T29/T317</f>
        <v>0.35297781776655013</v>
      </c>
      <c r="U72" s="537"/>
      <c r="V72" s="537"/>
      <c r="W72" s="547">
        <f t="shared" ref="W72:Z72" si="177">W29/W317</f>
        <v>0.42367271282933933</v>
      </c>
      <c r="X72" s="547">
        <f t="shared" si="177"/>
        <v>0.42056074766355134</v>
      </c>
      <c r="Y72" s="547">
        <f t="shared" si="177"/>
        <v>0.35172413793103458</v>
      </c>
      <c r="Z72" s="547">
        <f t="shared" si="177"/>
        <v>0.38095238095238104</v>
      </c>
      <c r="AA72" s="431">
        <f t="shared" ref="AA72:AO72" si="178">AA29/AA317</f>
        <v>0.48951048951048948</v>
      </c>
      <c r="AB72" s="431">
        <f t="shared" si="178"/>
        <v>0.52647975077881615</v>
      </c>
      <c r="AC72" s="431">
        <f t="shared" si="178"/>
        <v>0.50906095551894559</v>
      </c>
      <c r="AD72" s="431">
        <f t="shared" si="178"/>
        <v>0.64077669902912626</v>
      </c>
      <c r="AE72" s="431">
        <f t="shared" si="178"/>
        <v>0.61263736263736268</v>
      </c>
      <c r="AF72" s="431">
        <f t="shared" si="178"/>
        <v>0.62555720653789004</v>
      </c>
      <c r="AG72" s="431">
        <f t="shared" si="178"/>
        <v>0.67781155015197569</v>
      </c>
      <c r="AH72" s="431">
        <f t="shared" si="178"/>
        <v>0.44711538461538469</v>
      </c>
      <c r="AI72" s="431">
        <f t="shared" si="178"/>
        <v>0.54899328859060414</v>
      </c>
      <c r="AJ72" s="431">
        <f t="shared" si="178"/>
        <v>0.51252847380410016</v>
      </c>
      <c r="AK72" s="431">
        <f t="shared" si="178"/>
        <v>0.49709864603481629</v>
      </c>
      <c r="AL72" s="431">
        <f t="shared" si="178"/>
        <v>0.50418410041841</v>
      </c>
      <c r="AM72" s="431">
        <f t="shared" si="178"/>
        <v>0.46116504854368928</v>
      </c>
      <c r="AN72" s="431">
        <f t="shared" si="178"/>
        <v>0.46852122986822864</v>
      </c>
      <c r="AO72" s="431">
        <f t="shared" si="178"/>
        <v>0.46502690238278255</v>
      </c>
      <c r="AP72" s="431">
        <f>AP29/AP317</f>
        <v>0.44529262086513999</v>
      </c>
      <c r="AQ72" s="431">
        <f t="shared" ref="AQ72:AU72" si="179">AQ29/AQ317</f>
        <v>0.55007052186177707</v>
      </c>
      <c r="AR72" s="431">
        <f t="shared" si="179"/>
        <v>0.49498327759197325</v>
      </c>
      <c r="AS72" s="431">
        <f t="shared" si="179"/>
        <v>0.41402333587063217</v>
      </c>
      <c r="AT72" s="431">
        <f t="shared" si="179"/>
        <v>0.3970053263570395</v>
      </c>
      <c r="AU72" s="431">
        <f t="shared" si="179"/>
        <v>0.37250685861710042</v>
      </c>
    </row>
    <row r="73" spans="1:47">
      <c r="B73" s="397"/>
      <c r="C73" s="545"/>
      <c r="D73" s="545"/>
      <c r="E73" s="546"/>
      <c r="F73" s="546"/>
      <c r="G73" s="546"/>
      <c r="H73" s="546"/>
      <c r="I73" s="546"/>
      <c r="J73" s="546"/>
      <c r="K73" s="546"/>
      <c r="L73" s="546"/>
      <c r="M73" s="546"/>
      <c r="N73" s="546"/>
      <c r="O73" s="546"/>
      <c r="P73" s="546"/>
      <c r="Q73" s="546"/>
      <c r="R73" s="546"/>
      <c r="S73" s="546"/>
      <c r="T73" s="545"/>
      <c r="U73" s="537"/>
      <c r="V73" s="537"/>
      <c r="W73" s="537"/>
      <c r="X73" s="537"/>
      <c r="Y73" s="537"/>
      <c r="Z73" s="537"/>
      <c r="AA73" s="425"/>
      <c r="AB73" s="425"/>
      <c r="AC73" s="425"/>
      <c r="AD73" s="425"/>
      <c r="AE73" s="425"/>
      <c r="AF73" s="425"/>
      <c r="AG73" s="425"/>
      <c r="AH73" s="425"/>
      <c r="AI73" s="425"/>
      <c r="AJ73" s="425"/>
      <c r="AK73" s="425"/>
      <c r="AL73" s="425"/>
      <c r="AM73" s="425"/>
      <c r="AN73" s="425"/>
      <c r="AO73" s="425"/>
      <c r="AP73" s="425"/>
      <c r="AQ73" s="425"/>
      <c r="AR73" s="425"/>
      <c r="AS73" s="432"/>
      <c r="AT73" s="432"/>
      <c r="AU73" s="432"/>
    </row>
    <row r="74" spans="1:47">
      <c r="B74" s="397" t="s">
        <v>352</v>
      </c>
      <c r="C74" s="545"/>
      <c r="D74" s="545"/>
      <c r="E74" s="546"/>
      <c r="F74" s="546"/>
      <c r="G74" s="546"/>
      <c r="H74" s="546"/>
      <c r="I74" s="546"/>
      <c r="J74" s="546"/>
      <c r="K74" s="546"/>
      <c r="L74" s="546"/>
      <c r="M74" s="546"/>
      <c r="N74" s="546"/>
      <c r="O74" s="546"/>
      <c r="P74" s="546"/>
      <c r="Q74" s="546"/>
      <c r="R74" s="546"/>
      <c r="S74" s="546"/>
      <c r="T74" s="545"/>
      <c r="U74" s="537"/>
      <c r="V74" s="537"/>
      <c r="W74" s="537"/>
      <c r="X74" s="537"/>
      <c r="Y74" s="537"/>
      <c r="Z74" s="537"/>
      <c r="AA74" s="425"/>
      <c r="AB74" s="425"/>
      <c r="AC74" s="425"/>
      <c r="AD74" s="425"/>
      <c r="AE74" s="425"/>
      <c r="AF74" s="425"/>
      <c r="AG74" s="425"/>
      <c r="AH74" s="425"/>
      <c r="AI74" s="425"/>
      <c r="AJ74" s="425"/>
      <c r="AK74" s="425"/>
      <c r="AL74" s="425"/>
      <c r="AM74" s="425"/>
      <c r="AN74" s="425"/>
      <c r="AO74" s="425"/>
      <c r="AP74" s="425"/>
      <c r="AQ74" s="425"/>
      <c r="AR74" s="425"/>
      <c r="AS74" s="432"/>
      <c r="AT74" s="432"/>
      <c r="AU74" s="432"/>
    </row>
    <row r="75" spans="1:47">
      <c r="A75" s="290" t="s">
        <v>546</v>
      </c>
      <c r="B75" s="392" t="s">
        <v>349</v>
      </c>
      <c r="C75" s="545"/>
      <c r="D75" s="545"/>
      <c r="E75" s="546"/>
      <c r="F75" s="546"/>
      <c r="G75" s="546"/>
      <c r="H75" s="546"/>
      <c r="I75" s="546"/>
      <c r="J75" s="546"/>
      <c r="K75" s="546"/>
      <c r="L75" s="546"/>
      <c r="M75" s="546"/>
      <c r="N75" s="547">
        <f>N15/N$8</f>
        <v>0.21356783919597991</v>
      </c>
      <c r="O75" s="546"/>
      <c r="P75" s="546"/>
      <c r="Q75" s="547">
        <f>Q15/Q$8</f>
        <v>0.20425943852855763</v>
      </c>
      <c r="R75" s="546"/>
      <c r="S75" s="546"/>
      <c r="T75" s="547">
        <f>T15/T$8</f>
        <v>0.18465539661898567</v>
      </c>
      <c r="U75" s="537"/>
      <c r="V75" s="537"/>
      <c r="W75" s="547">
        <f t="shared" ref="W75:Z75" si="180">W15/W$8</f>
        <v>0.18546931407942238</v>
      </c>
      <c r="X75" s="547">
        <f t="shared" si="180"/>
        <v>0.19910657306955967</v>
      </c>
      <c r="Y75" s="547">
        <f t="shared" si="180"/>
        <v>0.18224543080939942</v>
      </c>
      <c r="Z75" s="547">
        <f t="shared" si="180"/>
        <v>0.18983342906375644</v>
      </c>
      <c r="AA75" s="431">
        <f t="shared" ref="AA75:AU75" si="181">AA15/AA$8</f>
        <v>0.18612880396319886</v>
      </c>
      <c r="AB75" s="431">
        <f t="shared" si="181"/>
        <v>0.20873124147339694</v>
      </c>
      <c r="AC75" s="431">
        <f t="shared" si="181"/>
        <v>0.19763806877387982</v>
      </c>
      <c r="AD75" s="431">
        <f t="shared" si="181"/>
        <v>0.18705882352941178</v>
      </c>
      <c r="AE75" s="431">
        <f t="shared" si="181"/>
        <v>0.163768115942029</v>
      </c>
      <c r="AF75" s="431">
        <f t="shared" si="181"/>
        <v>0.17427055702917774</v>
      </c>
      <c r="AG75" s="431">
        <f t="shared" si="181"/>
        <v>0.16080885893115071</v>
      </c>
      <c r="AH75" s="425">
        <f t="shared" si="181"/>
        <v>0.14731437598736177</v>
      </c>
      <c r="AI75" s="431">
        <f t="shared" si="181"/>
        <v>0.15339553048383597</v>
      </c>
      <c r="AJ75" s="431">
        <f t="shared" si="181"/>
        <v>0.14375244810027418</v>
      </c>
      <c r="AK75" s="425">
        <f t="shared" si="181"/>
        <v>0.1670596160323341</v>
      </c>
      <c r="AL75" s="431">
        <f t="shared" si="181"/>
        <v>0.15628395508873599</v>
      </c>
      <c r="AM75" s="425">
        <f t="shared" si="181"/>
        <v>0.1636085626911315</v>
      </c>
      <c r="AN75" s="425">
        <f t="shared" si="181"/>
        <v>0.16769489624228823</v>
      </c>
      <c r="AO75" s="425">
        <f t="shared" si="181"/>
        <v>0.16574019894675249</v>
      </c>
      <c r="AP75" s="425">
        <f t="shared" ref="AP75:AR75" si="182">AP15/AP$8</f>
        <v>0.16430446194225723</v>
      </c>
      <c r="AQ75" s="425">
        <f t="shared" si="182"/>
        <v>0.14106110133266281</v>
      </c>
      <c r="AR75" s="425">
        <f t="shared" si="182"/>
        <v>0.15243354308462823</v>
      </c>
      <c r="AS75" s="425">
        <f t="shared" si="181"/>
        <v>0.16799999999999998</v>
      </c>
      <c r="AT75" s="425">
        <f t="shared" si="181"/>
        <v>0.16449999999999998</v>
      </c>
      <c r="AU75" s="431">
        <f t="shared" si="181"/>
        <v>0.16099999999999998</v>
      </c>
    </row>
    <row r="76" spans="1:47">
      <c r="A76" s="290" t="s">
        <v>615</v>
      </c>
      <c r="B76" s="305" t="s">
        <v>614</v>
      </c>
      <c r="C76" s="539"/>
      <c r="D76" s="539"/>
      <c r="E76" s="539"/>
      <c r="F76" s="539"/>
      <c r="G76" s="539"/>
      <c r="H76" s="539"/>
      <c r="I76" s="539"/>
      <c r="J76" s="539"/>
      <c r="K76" s="539"/>
      <c r="L76" s="539"/>
      <c r="M76" s="539"/>
      <c r="N76" s="539"/>
      <c r="O76" s="539"/>
      <c r="P76" s="539"/>
      <c r="Q76" s="539"/>
      <c r="R76" s="539"/>
      <c r="S76" s="539"/>
      <c r="T76" s="539"/>
      <c r="U76" s="547">
        <f>U321/U$8</f>
        <v>0.37794432548179868</v>
      </c>
      <c r="V76" s="547">
        <f>V321/V$8</f>
        <v>0.3205928237129485</v>
      </c>
      <c r="W76" s="547">
        <f>W321/W$8</f>
        <v>0.34476534296028882</v>
      </c>
      <c r="X76" s="547">
        <f t="shared" ref="X76:Z76" si="183">X321/X$8</f>
        <v>0.32737715379706445</v>
      </c>
      <c r="Y76" s="547">
        <f t="shared" si="183"/>
        <v>0.32219321148825059</v>
      </c>
      <c r="Z76" s="547">
        <f t="shared" si="183"/>
        <v>0.32452613440551409</v>
      </c>
      <c r="AA76" s="431">
        <f t="shared" ref="AA76:AO76" si="184">AA321/AA$8</f>
        <v>0.3616418966737438</v>
      </c>
      <c r="AB76" s="431">
        <f t="shared" si="184"/>
        <v>0.38881309686221005</v>
      </c>
      <c r="AC76" s="431">
        <f t="shared" si="184"/>
        <v>0.37547759638763462</v>
      </c>
      <c r="AD76" s="431">
        <f t="shared" si="184"/>
        <v>0.3488235294117647</v>
      </c>
      <c r="AE76" s="431">
        <f t="shared" si="184"/>
        <v>0.31256038647342993</v>
      </c>
      <c r="AF76" s="431">
        <f t="shared" si="184"/>
        <v>0.32891246684350134</v>
      </c>
      <c r="AG76" s="431">
        <f t="shared" si="184"/>
        <v>0.30091478093403951</v>
      </c>
      <c r="AH76" s="431">
        <f t="shared" si="184"/>
        <v>0.27804107424960506</v>
      </c>
      <c r="AI76" s="431">
        <f t="shared" si="184"/>
        <v>0.28834888262095903</v>
      </c>
      <c r="AJ76" s="431">
        <f t="shared" si="184"/>
        <v>0.30591461026243633</v>
      </c>
      <c r="AK76" s="425">
        <f t="shared" si="184"/>
        <v>0.3341192320646682</v>
      </c>
      <c r="AL76" s="431">
        <f t="shared" si="184"/>
        <v>0.32107931908728726</v>
      </c>
      <c r="AM76" s="425">
        <f t="shared" si="184"/>
        <v>0.3559633027522936</v>
      </c>
      <c r="AN76" s="425">
        <f t="shared" si="184"/>
        <v>0.35249579360628147</v>
      </c>
      <c r="AO76" s="425">
        <f t="shared" si="184"/>
        <v>0.35415447630193098</v>
      </c>
      <c r="AP76" s="425">
        <f t="shared" ref="AP76:AR76" si="185">AP321/AP$8</f>
        <v>0.35958005249343833</v>
      </c>
      <c r="AQ76" s="425">
        <f t="shared" si="185"/>
        <v>0.31883329142569766</v>
      </c>
      <c r="AR76" s="425">
        <f t="shared" si="185"/>
        <v>0.33876974444587132</v>
      </c>
      <c r="AS76" s="426">
        <v>0.35</v>
      </c>
      <c r="AT76" s="426">
        <v>0.35</v>
      </c>
      <c r="AU76" s="426">
        <v>0.35</v>
      </c>
    </row>
    <row r="77" spans="1:47">
      <c r="A77" s="290" t="s">
        <v>547</v>
      </c>
      <c r="B77" s="392" t="s">
        <v>350</v>
      </c>
      <c r="C77" s="545"/>
      <c r="D77" s="545"/>
      <c r="E77" s="546"/>
      <c r="F77" s="546"/>
      <c r="G77" s="546"/>
      <c r="H77" s="546"/>
      <c r="I77" s="546"/>
      <c r="J77" s="546"/>
      <c r="K77" s="546"/>
      <c r="L77" s="546"/>
      <c r="M77" s="546"/>
      <c r="N77" s="547">
        <f>N16/N$8</f>
        <v>0.1520100502512563</v>
      </c>
      <c r="O77" s="546"/>
      <c r="P77" s="546"/>
      <c r="Q77" s="547">
        <f>Q16/Q$8</f>
        <v>0.14811229428848016</v>
      </c>
      <c r="R77" s="546"/>
      <c r="S77" s="546"/>
      <c r="T77" s="547">
        <f>T16/T$8</f>
        <v>0.1001300390117035</v>
      </c>
      <c r="U77" s="537"/>
      <c r="V77" s="537"/>
      <c r="W77" s="547">
        <f t="shared" ref="W77:Z78" si="186">W16/W$8</f>
        <v>0.10198555956678701</v>
      </c>
      <c r="X77" s="547">
        <f t="shared" si="186"/>
        <v>0.1155073388640715</v>
      </c>
      <c r="Y77" s="547">
        <f t="shared" si="186"/>
        <v>0.13524804177545691</v>
      </c>
      <c r="Z77" s="547">
        <f t="shared" si="186"/>
        <v>0.12636415852958072</v>
      </c>
      <c r="AA77" s="431">
        <f t="shared" ref="AA77:AU77" si="187">AA16/AA$8</f>
        <v>0.14012738853503184</v>
      </c>
      <c r="AB77" s="431">
        <f t="shared" si="187"/>
        <v>0.12619372442019094</v>
      </c>
      <c r="AC77" s="431">
        <f t="shared" si="187"/>
        <v>0.13303230288294546</v>
      </c>
      <c r="AD77" s="431">
        <f t="shared" si="187"/>
        <v>0.10176470588235295</v>
      </c>
      <c r="AE77" s="431">
        <f t="shared" si="187"/>
        <v>7.6811594202898556E-2</v>
      </c>
      <c r="AF77" s="431">
        <f t="shared" si="187"/>
        <v>8.8063660477453592E-2</v>
      </c>
      <c r="AG77" s="431">
        <f t="shared" si="187"/>
        <v>7.029369282619162E-2</v>
      </c>
      <c r="AH77" s="425">
        <f t="shared" si="187"/>
        <v>7.1484992101105843E-2</v>
      </c>
      <c r="AI77" s="431">
        <f t="shared" si="187"/>
        <v>7.0948144933825133E-2</v>
      </c>
      <c r="AJ77" s="431">
        <f t="shared" si="187"/>
        <v>6.3846455150802978E-2</v>
      </c>
      <c r="AK77" s="425">
        <f t="shared" si="187"/>
        <v>7.9151229370158296E-2</v>
      </c>
      <c r="AL77" s="431">
        <f t="shared" si="187"/>
        <v>7.20753350235422E-2</v>
      </c>
      <c r="AM77" s="425">
        <f t="shared" si="187"/>
        <v>7.6146788990825678E-2</v>
      </c>
      <c r="AN77" s="425">
        <f t="shared" si="187"/>
        <v>7.5434660684240026E-2</v>
      </c>
      <c r="AO77" s="425">
        <f t="shared" si="187"/>
        <v>7.5775307197191333E-2</v>
      </c>
      <c r="AP77" s="425">
        <f t="shared" ref="AP77:AR77" si="188">AP16/AP$8</f>
        <v>5.826771653543307E-2</v>
      </c>
      <c r="AQ77" s="425">
        <f t="shared" si="188"/>
        <v>5.3809404073422176E-2</v>
      </c>
      <c r="AR77" s="425">
        <f t="shared" si="188"/>
        <v>5.5990753820470016E-2</v>
      </c>
      <c r="AS77" s="425">
        <f t="shared" si="187"/>
        <v>9.3931404452901046E-2</v>
      </c>
      <c r="AT77" s="425">
        <f t="shared" si="187"/>
        <v>9.1631075890507563E-2</v>
      </c>
      <c r="AU77" s="431">
        <f t="shared" si="187"/>
        <v>8.9428309882519444E-2</v>
      </c>
    </row>
    <row r="78" spans="1:47">
      <c r="A78" s="290" t="s">
        <v>548</v>
      </c>
      <c r="B78" s="392" t="s">
        <v>351</v>
      </c>
      <c r="C78" s="545"/>
      <c r="D78" s="545"/>
      <c r="E78" s="546"/>
      <c r="F78" s="546"/>
      <c r="G78" s="546"/>
      <c r="H78" s="546"/>
      <c r="I78" s="546"/>
      <c r="J78" s="546"/>
      <c r="K78" s="546"/>
      <c r="L78" s="546"/>
      <c r="M78" s="546"/>
      <c r="N78" s="547">
        <f>N17/N$8</f>
        <v>0.19723618090452261</v>
      </c>
      <c r="O78" s="546"/>
      <c r="P78" s="546"/>
      <c r="Q78" s="547">
        <f>Q17/Q$8</f>
        <v>0.21587608906098743</v>
      </c>
      <c r="R78" s="546"/>
      <c r="S78" s="546"/>
      <c r="T78" s="547">
        <f>T17/T$8</f>
        <v>0.21651495448634586</v>
      </c>
      <c r="U78" s="537"/>
      <c r="V78" s="537"/>
      <c r="W78" s="547">
        <f t="shared" si="186"/>
        <v>0.20532490974729242</v>
      </c>
      <c r="X78" s="547">
        <f t="shared" si="186"/>
        <v>0.19910657306955967</v>
      </c>
      <c r="Y78" s="547">
        <f t="shared" si="186"/>
        <v>0.19373368146214096</v>
      </c>
      <c r="Z78" s="547">
        <f t="shared" si="186"/>
        <v>0.1961516369902355</v>
      </c>
      <c r="AA78" s="431">
        <f t="shared" ref="AA78:AU78" si="189">AA17/AA$8</f>
        <v>0.19320594479830147</v>
      </c>
      <c r="AB78" s="431">
        <f t="shared" si="189"/>
        <v>0.19713506139154161</v>
      </c>
      <c r="AC78" s="431">
        <f t="shared" si="189"/>
        <v>0.19520666898228553</v>
      </c>
      <c r="AD78" s="431">
        <f t="shared" si="189"/>
        <v>0.18882352941176472</v>
      </c>
      <c r="AE78" s="431">
        <f t="shared" si="189"/>
        <v>0.16376811594202895</v>
      </c>
      <c r="AF78" s="431">
        <f t="shared" si="189"/>
        <v>0.17506631299734748</v>
      </c>
      <c r="AG78" s="431">
        <f t="shared" si="189"/>
        <v>0.14251324025036111</v>
      </c>
      <c r="AH78" s="425">
        <f t="shared" si="189"/>
        <v>0.13072669826224328</v>
      </c>
      <c r="AI78" s="431">
        <f t="shared" si="189"/>
        <v>0.13603818615751792</v>
      </c>
      <c r="AJ78" s="431">
        <f t="shared" si="189"/>
        <v>0.13435174304739522</v>
      </c>
      <c r="AK78" s="425">
        <f t="shared" si="189"/>
        <v>0.12226338834624451</v>
      </c>
      <c r="AL78" s="431">
        <f t="shared" si="189"/>
        <v>0.12785222745382108</v>
      </c>
      <c r="AM78" s="425">
        <f t="shared" si="189"/>
        <v>0.13761467889908258</v>
      </c>
      <c r="AN78" s="425">
        <f t="shared" si="189"/>
        <v>0.12647223780145816</v>
      </c>
      <c r="AO78" s="425">
        <f t="shared" si="189"/>
        <v>0.13180222352252779</v>
      </c>
      <c r="AP78" s="425">
        <f t="shared" ref="AP78:AR78" si="190">AP17/AP$8</f>
        <v>0.13228346456692913</v>
      </c>
      <c r="AQ78" s="425">
        <f t="shared" si="190"/>
        <v>0.14432989690721648</v>
      </c>
      <c r="AR78" s="425">
        <f t="shared" si="190"/>
        <v>0.13843585462951072</v>
      </c>
      <c r="AS78" s="425">
        <f t="shared" si="189"/>
        <v>0.12335542749313301</v>
      </c>
      <c r="AT78" s="425">
        <f t="shared" si="189"/>
        <v>0.11510258506435196</v>
      </c>
      <c r="AU78" s="431">
        <f t="shared" si="189"/>
        <v>0.10983922939452646</v>
      </c>
    </row>
    <row r="79" spans="1:47">
      <c r="A79" s="290" t="s">
        <v>549</v>
      </c>
      <c r="B79" s="305" t="s">
        <v>356</v>
      </c>
      <c r="C79" s="539"/>
      <c r="D79" s="539"/>
      <c r="E79" s="539"/>
      <c r="F79" s="539"/>
      <c r="G79" s="539"/>
      <c r="H79" s="539"/>
      <c r="I79" s="539"/>
      <c r="J79" s="539"/>
      <c r="K79" s="539"/>
      <c r="L79" s="539"/>
      <c r="M79" s="539"/>
      <c r="N79" s="539"/>
      <c r="O79" s="539"/>
      <c r="P79" s="539"/>
      <c r="Q79" s="548">
        <f t="shared" ref="Q79:Z79" si="191">Q317/Q8</f>
        <v>0.19490803484995162</v>
      </c>
      <c r="R79" s="548">
        <f t="shared" si="191"/>
        <v>0.19437412095639942</v>
      </c>
      <c r="S79" s="548">
        <f t="shared" si="191"/>
        <v>0.18230955259975817</v>
      </c>
      <c r="T79" s="548">
        <f t="shared" si="191"/>
        <v>0.18788686605981794</v>
      </c>
      <c r="U79" s="548">
        <f t="shared" si="191"/>
        <v>0.21163811563169163</v>
      </c>
      <c r="V79" s="548">
        <f t="shared" si="191"/>
        <v>0.14039001560062406</v>
      </c>
      <c r="W79" s="548">
        <f t="shared" si="191"/>
        <v>0.17041967509025271</v>
      </c>
      <c r="X79" s="548">
        <f t="shared" si="191"/>
        <v>0.13656668793873647</v>
      </c>
      <c r="Y79" s="548">
        <f t="shared" si="191"/>
        <v>0.15143603133159267</v>
      </c>
      <c r="Z79" s="548">
        <f t="shared" si="191"/>
        <v>0.14474439977024697</v>
      </c>
      <c r="AA79" s="348">
        <f t="shared" ref="AA79:AU79" si="192">AA317/AA8</f>
        <v>0.20240622788393489</v>
      </c>
      <c r="AB79" s="348">
        <f t="shared" si="192"/>
        <v>0.21896316507503408</v>
      </c>
      <c r="AC79" s="348">
        <f t="shared" si="192"/>
        <v>0.21083709621396321</v>
      </c>
      <c r="AD79" s="348">
        <f t="shared" si="192"/>
        <v>0.18176470588235294</v>
      </c>
      <c r="AE79" s="348">
        <f t="shared" si="192"/>
        <v>0.17584541062801928</v>
      </c>
      <c r="AF79" s="348">
        <f t="shared" si="192"/>
        <v>0.17851458885941643</v>
      </c>
      <c r="AG79" s="348">
        <f t="shared" si="192"/>
        <v>0.15840154068367837</v>
      </c>
      <c r="AH79" s="348">
        <f t="shared" si="192"/>
        <v>0.16429699842022116</v>
      </c>
      <c r="AI79" s="348">
        <f t="shared" si="192"/>
        <v>0.16164026903883708</v>
      </c>
      <c r="AJ79" s="348">
        <f t="shared" si="192"/>
        <v>0.17195456325891109</v>
      </c>
      <c r="AK79" s="348">
        <f t="shared" si="192"/>
        <v>0.17413270461434824</v>
      </c>
      <c r="AL79" s="348">
        <f t="shared" si="192"/>
        <v>0.17312567910177473</v>
      </c>
      <c r="AM79" s="424">
        <f t="shared" si="192"/>
        <v>0.1889908256880734</v>
      </c>
      <c r="AN79" s="424">
        <f t="shared" si="192"/>
        <v>0.19153112731351646</v>
      </c>
      <c r="AO79" s="424">
        <f t="shared" si="192"/>
        <v>0.19031597425394967</v>
      </c>
      <c r="AP79" s="424">
        <f t="shared" ref="AP79:AR79" si="193">AP317/AP8</f>
        <v>0.20629921259842518</v>
      </c>
      <c r="AQ79" s="424">
        <f t="shared" si="193"/>
        <v>0.17827508171988934</v>
      </c>
      <c r="AR79" s="424">
        <f t="shared" si="193"/>
        <v>0.19198664440734556</v>
      </c>
      <c r="AS79" s="424">
        <f t="shared" si="192"/>
        <v>0.20199999999999999</v>
      </c>
      <c r="AT79" s="424">
        <f t="shared" si="192"/>
        <v>0.20550000000000002</v>
      </c>
      <c r="AU79" s="348">
        <f t="shared" si="192"/>
        <v>0.20899999999999999</v>
      </c>
    </row>
    <row r="80" spans="1:47">
      <c r="B80" s="397"/>
      <c r="C80" s="545"/>
      <c r="D80" s="545"/>
      <c r="E80" s="546"/>
      <c r="F80" s="546"/>
      <c r="G80" s="546"/>
      <c r="H80" s="546"/>
      <c r="I80" s="546"/>
      <c r="J80" s="546"/>
      <c r="K80" s="546"/>
      <c r="L80" s="546"/>
      <c r="M80" s="546"/>
      <c r="N80" s="546"/>
      <c r="O80" s="546"/>
      <c r="P80" s="546"/>
      <c r="Q80" s="546"/>
      <c r="R80" s="546"/>
      <c r="S80" s="546"/>
      <c r="T80" s="545"/>
      <c r="U80" s="537"/>
      <c r="V80" s="537"/>
      <c r="W80" s="537"/>
      <c r="X80" s="537"/>
      <c r="Y80" s="537"/>
      <c r="Z80" s="537"/>
      <c r="AA80" s="425"/>
      <c r="AB80" s="425"/>
      <c r="AC80" s="425"/>
      <c r="AD80" s="425"/>
      <c r="AE80" s="425"/>
      <c r="AF80" s="425"/>
      <c r="AG80" s="433"/>
      <c r="AH80" s="425"/>
      <c r="AI80" s="425"/>
      <c r="AJ80" s="433"/>
      <c r="AK80" s="425"/>
      <c r="AL80" s="426"/>
      <c r="AM80" s="426"/>
      <c r="AN80" s="425"/>
      <c r="AO80" s="426"/>
      <c r="AP80" s="426"/>
      <c r="AQ80" s="425"/>
      <c r="AR80" s="426"/>
      <c r="AS80" s="432"/>
      <c r="AT80" s="432"/>
      <c r="AU80" s="432"/>
    </row>
    <row r="81" spans="1:47">
      <c r="B81" s="301" t="s">
        <v>53</v>
      </c>
      <c r="C81" s="497"/>
      <c r="D81" s="497"/>
      <c r="E81" s="497"/>
      <c r="F81" s="497"/>
      <c r="G81" s="497"/>
      <c r="H81" s="497"/>
      <c r="I81" s="497"/>
      <c r="J81" s="497"/>
      <c r="K81" s="497"/>
      <c r="L81" s="497"/>
      <c r="M81" s="497"/>
      <c r="N81" s="497"/>
      <c r="O81" s="498"/>
      <c r="P81" s="497"/>
      <c r="Q81" s="497"/>
      <c r="R81" s="498"/>
      <c r="S81" s="497"/>
      <c r="T81" s="497"/>
      <c r="U81" s="498"/>
      <c r="V81" s="497"/>
      <c r="W81" s="497"/>
      <c r="X81" s="498"/>
      <c r="Y81" s="497"/>
      <c r="Z81" s="497"/>
      <c r="AA81" s="303"/>
      <c r="AB81" s="303"/>
      <c r="AC81" s="303"/>
      <c r="AD81" s="303"/>
      <c r="AE81" s="303"/>
      <c r="AF81" s="303"/>
      <c r="AG81" s="303"/>
      <c r="AH81" s="303"/>
      <c r="AI81" s="303"/>
      <c r="AJ81" s="303"/>
      <c r="AK81" s="303"/>
      <c r="AL81" s="303"/>
      <c r="AM81" s="303"/>
      <c r="AN81" s="303"/>
      <c r="AO81" s="303"/>
      <c r="AP81" s="303"/>
      <c r="AQ81" s="303"/>
      <c r="AR81" s="303"/>
      <c r="AS81" s="303"/>
      <c r="AT81" s="303"/>
      <c r="AU81" s="303"/>
    </row>
    <row r="82" spans="1:47">
      <c r="B82" s="409" t="s">
        <v>27</v>
      </c>
      <c r="C82" s="511"/>
      <c r="D82" s="511"/>
      <c r="E82" s="511"/>
      <c r="F82" s="511"/>
      <c r="G82" s="511"/>
      <c r="H82" s="511"/>
      <c r="I82" s="511"/>
      <c r="J82" s="511"/>
      <c r="K82" s="511"/>
      <c r="L82" s="511"/>
      <c r="M82" s="511"/>
      <c r="N82" s="523">
        <f>N24</f>
        <v>21.900000000000006</v>
      </c>
      <c r="O82" s="523">
        <f>O24</f>
        <v>14.100000000000001</v>
      </c>
      <c r="P82" s="511"/>
      <c r="Q82" s="523">
        <f>Q24</f>
        <v>31.5</v>
      </c>
      <c r="R82" s="523">
        <f>R24</f>
        <v>24</v>
      </c>
      <c r="S82" s="511"/>
      <c r="T82" s="523">
        <f>T24</f>
        <v>54</v>
      </c>
      <c r="U82" s="523">
        <f>U24</f>
        <v>31.800000000000004</v>
      </c>
      <c r="V82" s="511"/>
      <c r="W82" s="523">
        <f>W24</f>
        <v>78.100000000000009</v>
      </c>
      <c r="X82" s="523">
        <f>X24</f>
        <v>48.5</v>
      </c>
      <c r="Y82" s="511"/>
      <c r="Z82" s="523">
        <f>Z24</f>
        <v>108</v>
      </c>
      <c r="AA82" s="295"/>
      <c r="AB82" s="295"/>
      <c r="AC82" s="295"/>
      <c r="AD82" s="295"/>
      <c r="AE82" s="295"/>
      <c r="AF82" s="295"/>
      <c r="AG82" s="295"/>
      <c r="AH82" s="295"/>
      <c r="AI82" s="295"/>
      <c r="AJ82" s="295"/>
      <c r="AK82" s="295"/>
      <c r="AL82" s="434">
        <f>AL24</f>
        <v>278.60000000000002</v>
      </c>
      <c r="AM82" s="434">
        <f>AM24</f>
        <v>152.1</v>
      </c>
      <c r="AN82" s="295"/>
      <c r="AO82" s="434">
        <f>AO24</f>
        <v>328.2</v>
      </c>
      <c r="AP82" s="434">
        <f>AP24</f>
        <v>193.8</v>
      </c>
      <c r="AQ82" s="295"/>
      <c r="AR82" s="434">
        <f>AR24</f>
        <v>411.19999999999993</v>
      </c>
      <c r="AS82" s="434">
        <f t="shared" ref="AS82:AU82" si="194">AS24</f>
        <v>615.42949798863572</v>
      </c>
      <c r="AT82" s="434">
        <f t="shared" si="194"/>
        <v>758.97888631427418</v>
      </c>
      <c r="AU82" s="434">
        <f t="shared" si="194"/>
        <v>899.827329615351</v>
      </c>
    </row>
    <row r="83" spans="1:47">
      <c r="B83" s="409" t="str">
        <f>B211</f>
        <v>(Increase)/decrease in working capital</v>
      </c>
      <c r="C83" s="511"/>
      <c r="D83" s="511"/>
      <c r="E83" s="511"/>
      <c r="F83" s="511"/>
      <c r="G83" s="511"/>
      <c r="H83" s="511"/>
      <c r="I83" s="511"/>
      <c r="J83" s="511"/>
      <c r="K83" s="511"/>
      <c r="L83" s="511"/>
      <c r="M83" s="511"/>
      <c r="N83" s="523">
        <f>N211</f>
        <v>0</v>
      </c>
      <c r="O83" s="523">
        <f>O211</f>
        <v>0</v>
      </c>
      <c r="P83" s="514"/>
      <c r="Q83" s="523">
        <f>Q211</f>
        <v>0</v>
      </c>
      <c r="R83" s="523">
        <f>R211</f>
        <v>0</v>
      </c>
      <c r="S83" s="514"/>
      <c r="T83" s="523">
        <f>T211</f>
        <v>1.4190000000000005</v>
      </c>
      <c r="U83" s="523">
        <f>U211</f>
        <v>0</v>
      </c>
      <c r="V83" s="514"/>
      <c r="W83" s="523">
        <f>W211</f>
        <v>-6.3210000000000015</v>
      </c>
      <c r="X83" s="523">
        <f>X211</f>
        <v>0</v>
      </c>
      <c r="Y83" s="514"/>
      <c r="Z83" s="523">
        <f>Z211</f>
        <v>-10.697999999999993</v>
      </c>
      <c r="AA83" s="295"/>
      <c r="AB83" s="295"/>
      <c r="AC83" s="295"/>
      <c r="AD83" s="295"/>
      <c r="AE83" s="295"/>
      <c r="AF83" s="295"/>
      <c r="AG83" s="295"/>
      <c r="AH83" s="295"/>
      <c r="AI83" s="295"/>
      <c r="AJ83" s="295"/>
      <c r="AK83" s="295"/>
      <c r="AL83" s="434">
        <f>AL211</f>
        <v>37.1</v>
      </c>
      <c r="AM83" s="434">
        <f>AM211</f>
        <v>40.700000000000003</v>
      </c>
      <c r="AN83" s="295"/>
      <c r="AO83" s="434">
        <f>AO211</f>
        <v>-15.600000000000001</v>
      </c>
      <c r="AP83" s="434">
        <f>AP211</f>
        <v>-8.2000000000000028</v>
      </c>
      <c r="AQ83" s="295"/>
      <c r="AR83" s="434">
        <f>AR211</f>
        <v>34.1</v>
      </c>
      <c r="AS83" s="434">
        <f>AS211</f>
        <v>-4.0902398482746776</v>
      </c>
      <c r="AT83" s="434">
        <f>AT211</f>
        <v>-1.6259700792376464</v>
      </c>
      <c r="AU83" s="434">
        <f t="shared" ref="AU83" si="195">AU211</f>
        <v>-1.6364788040370399</v>
      </c>
    </row>
    <row r="84" spans="1:47">
      <c r="B84" s="435" t="s">
        <v>31</v>
      </c>
      <c r="C84" s="549"/>
      <c r="D84" s="549"/>
      <c r="E84" s="549"/>
      <c r="F84" s="549"/>
      <c r="G84" s="549"/>
      <c r="H84" s="549"/>
      <c r="I84" s="549"/>
      <c r="J84" s="549"/>
      <c r="K84" s="549"/>
      <c r="L84" s="549"/>
      <c r="M84" s="549"/>
      <c r="N84" s="550">
        <f>N85-N82-N83</f>
        <v>1.3689999999999998</v>
      </c>
      <c r="O84" s="550">
        <f>O85-O82-O83</f>
        <v>-14.100000000000001</v>
      </c>
      <c r="P84" s="551"/>
      <c r="Q84" s="550">
        <f>Q85-Q82-Q83</f>
        <v>0.61299999999999955</v>
      </c>
      <c r="R84" s="550">
        <f>R85-R82-R83</f>
        <v>5.1070000000000064</v>
      </c>
      <c r="S84" s="551"/>
      <c r="T84" s="550">
        <f>T85-T82-T83</f>
        <v>8.8169999999999895</v>
      </c>
      <c r="U84" s="550">
        <f>U85-U82-U83</f>
        <v>-9.4000000000008299E-2</v>
      </c>
      <c r="V84" s="551"/>
      <c r="W84" s="550">
        <f>W85-W82-W83</f>
        <v>9.4699999999999882</v>
      </c>
      <c r="X84" s="550">
        <f>X85-X82-X83</f>
        <v>2.8999999999999915</v>
      </c>
      <c r="Y84" s="551"/>
      <c r="Z84" s="550">
        <f>Z85-Z82-Z83</f>
        <v>29.097999999999999</v>
      </c>
      <c r="AA84" s="436"/>
      <c r="AB84" s="436"/>
      <c r="AC84" s="436"/>
      <c r="AD84" s="436"/>
      <c r="AE84" s="436"/>
      <c r="AF84" s="436"/>
      <c r="AG84" s="436"/>
      <c r="AH84" s="436"/>
      <c r="AI84" s="436"/>
      <c r="AJ84" s="436"/>
      <c r="AK84" s="436"/>
      <c r="AL84" s="437">
        <f>AL85-AL82-AL83</f>
        <v>-22.200000000000081</v>
      </c>
      <c r="AM84" s="437">
        <f>AM85-AM82-AM83</f>
        <v>-29.299999999999997</v>
      </c>
      <c r="AN84" s="436"/>
      <c r="AO84" s="437">
        <f>AO85-AO82-AO83</f>
        <v>36.1</v>
      </c>
      <c r="AP84" s="437">
        <f>AP85-AP82-AP83</f>
        <v>17.100000000000009</v>
      </c>
      <c r="AQ84" s="436"/>
      <c r="AR84" s="437">
        <f>AR85-AR82-AR83</f>
        <v>-8.7999999999999901</v>
      </c>
      <c r="AS84" s="438">
        <v>0</v>
      </c>
      <c r="AT84" s="438">
        <v>0</v>
      </c>
      <c r="AU84" s="438">
        <v>0</v>
      </c>
    </row>
    <row r="85" spans="1:47">
      <c r="B85" s="409" t="s">
        <v>136</v>
      </c>
      <c r="C85" s="526"/>
      <c r="D85" s="511"/>
      <c r="E85" s="526"/>
      <c r="F85" s="526"/>
      <c r="G85" s="511"/>
      <c r="H85" s="526"/>
      <c r="I85" s="526"/>
      <c r="J85" s="511"/>
      <c r="K85" s="526"/>
      <c r="L85" s="526"/>
      <c r="M85" s="511"/>
      <c r="N85" s="514">
        <f>75.73-52.461</f>
        <v>23.269000000000005</v>
      </c>
      <c r="O85" s="514"/>
      <c r="P85" s="511"/>
      <c r="Q85" s="514">
        <f>105.39-73.277</f>
        <v>32.113</v>
      </c>
      <c r="R85" s="514">
        <f>70.581-41.474</f>
        <v>29.107000000000006</v>
      </c>
      <c r="S85" s="511"/>
      <c r="T85" s="514">
        <f>156.189-91.953</f>
        <v>64.23599999999999</v>
      </c>
      <c r="U85" s="514">
        <f>84.407-52.701</f>
        <v>31.705999999999996</v>
      </c>
      <c r="V85" s="511"/>
      <c r="W85" s="514">
        <f>222.98-141.731</f>
        <v>81.248999999999995</v>
      </c>
      <c r="X85" s="514">
        <f>162.2-110.8</f>
        <v>51.399999999999991</v>
      </c>
      <c r="Y85" s="511"/>
      <c r="Z85" s="514">
        <f>373.3-246.9</f>
        <v>126.4</v>
      </c>
      <c r="AA85" s="312"/>
      <c r="AB85" s="312"/>
      <c r="AC85" s="312"/>
      <c r="AD85" s="312"/>
      <c r="AE85" s="312"/>
      <c r="AF85" s="312"/>
      <c r="AG85" s="312"/>
      <c r="AH85" s="312"/>
      <c r="AI85" s="312"/>
      <c r="AJ85" s="312"/>
      <c r="AK85" s="312"/>
      <c r="AL85" s="312">
        <f>580.8-287.3</f>
        <v>293.49999999999994</v>
      </c>
      <c r="AM85" s="312">
        <f>330.8-167.3</f>
        <v>163.5</v>
      </c>
      <c r="AN85" s="312"/>
      <c r="AO85" s="312">
        <f>701.9-353.2</f>
        <v>348.7</v>
      </c>
      <c r="AP85" s="312">
        <f>382.8-180.1</f>
        <v>202.70000000000002</v>
      </c>
      <c r="AQ85" s="312"/>
      <c r="AR85" s="312">
        <f>797.8-361.3</f>
        <v>436.49999999999994</v>
      </c>
      <c r="AS85" s="434">
        <f>SUM(AS82:AS84)</f>
        <v>611.33925814036104</v>
      </c>
      <c r="AT85" s="434">
        <f>SUM(AT82:AT84)</f>
        <v>757.35291623503656</v>
      </c>
      <c r="AU85" s="434">
        <f t="shared" ref="AU85" si="196">SUM(AU82:AU84)</f>
        <v>898.19085081131402</v>
      </c>
    </row>
    <row r="86" spans="1:47">
      <c r="B86" s="409" t="s">
        <v>143</v>
      </c>
      <c r="C86" s="526"/>
      <c r="D86" s="511"/>
      <c r="E86" s="526"/>
      <c r="F86" s="526"/>
      <c r="G86" s="511"/>
      <c r="H86" s="526"/>
      <c r="I86" s="526"/>
      <c r="J86" s="511"/>
      <c r="K86" s="526"/>
      <c r="L86" s="526"/>
      <c r="M86" s="511"/>
      <c r="N86" s="514">
        <f>0.18-0.706</f>
        <v>-0.52600000000000002</v>
      </c>
      <c r="O86" s="514"/>
      <c r="P86" s="511"/>
      <c r="Q86" s="514">
        <f>-1.366+0.836</f>
        <v>-0.53000000000000014</v>
      </c>
      <c r="R86" s="514">
        <f>-0.133+0.78</f>
        <v>0.64700000000000002</v>
      </c>
      <c r="S86" s="511"/>
      <c r="T86" s="514">
        <f>2.326-0.273</f>
        <v>2.0529999999999999</v>
      </c>
      <c r="U86" s="514">
        <f>0.638-0.102</f>
        <v>0.53600000000000003</v>
      </c>
      <c r="V86" s="511"/>
      <c r="W86" s="514">
        <f>1.011-0.554</f>
        <v>0.45699999999999985</v>
      </c>
      <c r="X86" s="514">
        <f>-0.4+0.3</f>
        <v>-0.10000000000000003</v>
      </c>
      <c r="Y86" s="511"/>
      <c r="Z86" s="514">
        <f>1.9-1.9</f>
        <v>0</v>
      </c>
      <c r="AA86" s="312"/>
      <c r="AB86" s="312"/>
      <c r="AC86" s="312"/>
      <c r="AD86" s="312"/>
      <c r="AE86" s="312"/>
      <c r="AF86" s="312"/>
      <c r="AG86" s="312"/>
      <c r="AH86" s="312"/>
      <c r="AI86" s="312"/>
      <c r="AJ86" s="312"/>
      <c r="AK86" s="312"/>
      <c r="AL86" s="312">
        <f>5.2-3.2</f>
        <v>2</v>
      </c>
      <c r="AM86" s="312">
        <f>1-6.7</f>
        <v>-5.7</v>
      </c>
      <c r="AN86" s="312"/>
      <c r="AO86" s="312">
        <f>1.7-10.4</f>
        <v>-8.7000000000000011</v>
      </c>
      <c r="AP86" s="312">
        <f>1.4-2.1</f>
        <v>-0.70000000000000018</v>
      </c>
      <c r="AQ86" s="312"/>
      <c r="AR86" s="312">
        <f>2.7-5.4</f>
        <v>-2.7</v>
      </c>
      <c r="AS86" s="434">
        <f>-AS33+AS32</f>
        <v>-94.3</v>
      </c>
      <c r="AT86" s="434">
        <f>-AT33</f>
        <v>-99.5</v>
      </c>
      <c r="AU86" s="434">
        <f t="shared" ref="AU86" si="197">-AU33</f>
        <v>-93.9</v>
      </c>
    </row>
    <row r="87" spans="1:47">
      <c r="B87" s="409" t="s">
        <v>0</v>
      </c>
      <c r="C87" s="526"/>
      <c r="D87" s="511"/>
      <c r="E87" s="526"/>
      <c r="F87" s="526"/>
      <c r="G87" s="511"/>
      <c r="H87" s="526"/>
      <c r="I87" s="526"/>
      <c r="J87" s="511"/>
      <c r="K87" s="526"/>
      <c r="L87" s="526"/>
      <c r="M87" s="511"/>
      <c r="N87" s="514">
        <f>-1.941</f>
        <v>-1.9410000000000001</v>
      </c>
      <c r="O87" s="514"/>
      <c r="P87" s="511"/>
      <c r="Q87" s="514">
        <v>-3.073</v>
      </c>
      <c r="R87" s="514">
        <v>-2.91</v>
      </c>
      <c r="S87" s="511"/>
      <c r="T87" s="514">
        <f>-8.552</f>
        <v>-8.5519999999999996</v>
      </c>
      <c r="U87" s="514">
        <f>-1.206</f>
        <v>-1.206</v>
      </c>
      <c r="V87" s="511"/>
      <c r="W87" s="514">
        <v>-9.6310000000000002</v>
      </c>
      <c r="X87" s="514">
        <v>-7.7</v>
      </c>
      <c r="Y87" s="511"/>
      <c r="Z87" s="514">
        <f>-14</f>
        <v>-14</v>
      </c>
      <c r="AA87" s="312"/>
      <c r="AB87" s="312"/>
      <c r="AC87" s="312"/>
      <c r="AD87" s="312"/>
      <c r="AE87" s="312"/>
      <c r="AF87" s="312"/>
      <c r="AG87" s="312"/>
      <c r="AH87" s="312"/>
      <c r="AI87" s="312"/>
      <c r="AJ87" s="312"/>
      <c r="AK87" s="312"/>
      <c r="AL87" s="312">
        <v>-36</v>
      </c>
      <c r="AM87" s="312">
        <v>-25.2</v>
      </c>
      <c r="AN87" s="312"/>
      <c r="AO87" s="312">
        <v>-54.3</v>
      </c>
      <c r="AP87" s="312">
        <v>-39.5</v>
      </c>
      <c r="AQ87" s="312"/>
      <c r="AR87" s="312">
        <v>-69.5</v>
      </c>
      <c r="AS87" s="434">
        <f>-AS35</f>
        <v>-112.76425943681801</v>
      </c>
      <c r="AT87" s="434">
        <f>-AT35</f>
        <v>-146.52928816799678</v>
      </c>
      <c r="AU87" s="434">
        <f t="shared" ref="AU87" si="198">-AU35</f>
        <v>-183.72237229229833</v>
      </c>
    </row>
    <row r="88" spans="1:47" s="397" customFormat="1">
      <c r="A88" s="290" t="s">
        <v>619</v>
      </c>
      <c r="B88" s="380" t="s">
        <v>54</v>
      </c>
      <c r="C88" s="511"/>
      <c r="D88" s="511"/>
      <c r="E88" s="516"/>
      <c r="F88" s="511"/>
      <c r="G88" s="511"/>
      <c r="H88" s="516"/>
      <c r="I88" s="511"/>
      <c r="J88" s="511"/>
      <c r="K88" s="516"/>
      <c r="L88" s="511"/>
      <c r="M88" s="511"/>
      <c r="N88" s="515">
        <f>SUM(N85:N87)</f>
        <v>20.802000000000007</v>
      </c>
      <c r="O88" s="515">
        <f>SUM(O85:O87)</f>
        <v>0</v>
      </c>
      <c r="P88" s="515">
        <f>Q88-O88</f>
        <v>28.509999999999998</v>
      </c>
      <c r="Q88" s="515">
        <f>SUM(Q85:Q87)</f>
        <v>28.509999999999998</v>
      </c>
      <c r="R88" s="515">
        <f>SUM(R85:R87)</f>
        <v>26.844000000000005</v>
      </c>
      <c r="S88" s="511"/>
      <c r="T88" s="515">
        <f>SUM(T85:T87)</f>
        <v>57.736999999999988</v>
      </c>
      <c r="U88" s="515">
        <f>SUM(U85:U87)</f>
        <v>31.035999999999998</v>
      </c>
      <c r="V88" s="511"/>
      <c r="W88" s="515">
        <f>SUM(W85:W87)</f>
        <v>72.074999999999989</v>
      </c>
      <c r="X88" s="515">
        <f>SUM(X85:X87)</f>
        <v>43.599999999999987</v>
      </c>
      <c r="Y88" s="515">
        <f>Z88-X88</f>
        <v>68.800000000000011</v>
      </c>
      <c r="Z88" s="515">
        <f>SUM(Z85:Z87)</f>
        <v>112.4</v>
      </c>
      <c r="AA88" s="333">
        <v>47.9</v>
      </c>
      <c r="AB88" s="439"/>
      <c r="AC88" s="333">
        <v>98.3</v>
      </c>
      <c r="AD88" s="333">
        <v>65.599999999999994</v>
      </c>
      <c r="AE88" s="439"/>
      <c r="AF88" s="333">
        <v>172</v>
      </c>
      <c r="AG88" s="333">
        <v>99.8</v>
      </c>
      <c r="AH88" s="439"/>
      <c r="AI88" s="333">
        <v>247.8</v>
      </c>
      <c r="AJ88" s="333">
        <v>137.80000000000001</v>
      </c>
      <c r="AK88" s="439"/>
      <c r="AL88" s="440">
        <f>SUM(AL85:AL87)</f>
        <v>259.49999999999994</v>
      </c>
      <c r="AM88" s="440">
        <f>SUM(AM85:AM87)</f>
        <v>132.60000000000002</v>
      </c>
      <c r="AN88" s="439"/>
      <c r="AO88" s="440">
        <f>SUM(AO85:AO87)</f>
        <v>285.7</v>
      </c>
      <c r="AP88" s="440">
        <f>SUM(AP85:AP87)</f>
        <v>162.50000000000003</v>
      </c>
      <c r="AQ88" s="439"/>
      <c r="AR88" s="440">
        <f>SUM(AR85:AR87)</f>
        <v>364.29999999999995</v>
      </c>
      <c r="AS88" s="440">
        <f>SUM(AS85:AS87)</f>
        <v>404.27499870354308</v>
      </c>
      <c r="AT88" s="440">
        <f>SUM(AT85:AT87)</f>
        <v>511.32362806703975</v>
      </c>
      <c r="AU88" s="440">
        <f t="shared" ref="AU88" si="199">SUM(AU85:AU87)</f>
        <v>620.56847851901568</v>
      </c>
    </row>
    <row r="89" spans="1:47">
      <c r="A89" s="290" t="s">
        <v>550</v>
      </c>
      <c r="B89" s="409" t="s">
        <v>55</v>
      </c>
      <c r="C89" s="526"/>
      <c r="D89" s="511"/>
      <c r="E89" s="526"/>
      <c r="F89" s="526"/>
      <c r="G89" s="511"/>
      <c r="H89" s="526"/>
      <c r="I89" s="526"/>
      <c r="J89" s="511"/>
      <c r="K89" s="526"/>
      <c r="L89" s="526"/>
      <c r="M89" s="511"/>
      <c r="N89" s="523">
        <f t="shared" ref="N89:Z89" si="200">-N317</f>
        <v>-15.899999999999999</v>
      </c>
      <c r="O89" s="523">
        <f>-O317</f>
        <v>0</v>
      </c>
      <c r="P89" s="523">
        <f>-P317</f>
        <v>0</v>
      </c>
      <c r="Q89" s="523">
        <f t="shared" si="200"/>
        <v>-20.134</v>
      </c>
      <c r="R89" s="523">
        <f>-R317</f>
        <v>-13.82</v>
      </c>
      <c r="S89" s="523">
        <f>-S317</f>
        <v>-15.077000000000002</v>
      </c>
      <c r="T89" s="523">
        <f t="shared" si="200"/>
        <v>-28.897000000000002</v>
      </c>
      <c r="U89" s="523">
        <f t="shared" si="200"/>
        <v>-19.766999999999999</v>
      </c>
      <c r="V89" s="523">
        <f t="shared" si="200"/>
        <v>-17.998000000000001</v>
      </c>
      <c r="W89" s="523">
        <f t="shared" si="200"/>
        <v>-37.765000000000001</v>
      </c>
      <c r="X89" s="523">
        <f t="shared" si="200"/>
        <v>-21.400000000000002</v>
      </c>
      <c r="Y89" s="523">
        <f t="shared" si="200"/>
        <v>-28.999999999999996</v>
      </c>
      <c r="Z89" s="523">
        <f t="shared" si="200"/>
        <v>-50.4</v>
      </c>
      <c r="AA89" s="441">
        <f t="shared" ref="AA89:AC89" si="201">-AA317</f>
        <v>-28.6</v>
      </c>
      <c r="AB89" s="441">
        <f t="shared" si="201"/>
        <v>-32.1</v>
      </c>
      <c r="AC89" s="441">
        <f t="shared" si="201"/>
        <v>-60.7</v>
      </c>
      <c r="AD89" s="441">
        <f t="shared" ref="AD89:AF89" si="202">-AD317</f>
        <v>-30.9</v>
      </c>
      <c r="AE89" s="441">
        <f t="shared" si="202"/>
        <v>-36.4</v>
      </c>
      <c r="AF89" s="441">
        <f t="shared" si="202"/>
        <v>-67.3</v>
      </c>
      <c r="AG89" s="441">
        <f t="shared" ref="AG89:AI89" si="203">-AG317</f>
        <v>-32.9</v>
      </c>
      <c r="AH89" s="441">
        <f t="shared" si="203"/>
        <v>-41.6</v>
      </c>
      <c r="AI89" s="441">
        <f t="shared" si="203"/>
        <v>-74.5</v>
      </c>
      <c r="AJ89" s="441">
        <f t="shared" ref="AJ89:AL89" si="204">-AJ317</f>
        <v>-43.900000000000006</v>
      </c>
      <c r="AK89" s="441">
        <f t="shared" si="204"/>
        <v>-51.699999999999989</v>
      </c>
      <c r="AL89" s="441">
        <f t="shared" si="204"/>
        <v>-95.6</v>
      </c>
      <c r="AM89" s="441">
        <f t="shared" ref="AM89:AO89" si="205">-AM317</f>
        <v>-61.800000000000004</v>
      </c>
      <c r="AN89" s="441">
        <f t="shared" si="205"/>
        <v>-68.299999999999983</v>
      </c>
      <c r="AO89" s="441">
        <f t="shared" si="205"/>
        <v>-130.1</v>
      </c>
      <c r="AP89" s="441">
        <f t="shared" ref="AP89:AR89" si="206">-AP317</f>
        <v>-78.599999999999994</v>
      </c>
      <c r="AQ89" s="441">
        <f t="shared" si="206"/>
        <v>-70.900000000000006</v>
      </c>
      <c r="AR89" s="441">
        <f t="shared" si="206"/>
        <v>-149.5</v>
      </c>
      <c r="AS89" s="441">
        <f t="shared" ref="AS89:AT89" si="207">-AS317</f>
        <v>-285.9742187020006</v>
      </c>
      <c r="AT89" s="441">
        <f t="shared" si="207"/>
        <v>-342.96769075976323</v>
      </c>
      <c r="AU89" s="441">
        <f t="shared" ref="AU89" si="208">-AU317</f>
        <v>-402.07581829776365</v>
      </c>
    </row>
    <row r="90" spans="1:47">
      <c r="B90" s="380" t="s">
        <v>183</v>
      </c>
      <c r="C90" s="511"/>
      <c r="D90" s="511"/>
      <c r="E90" s="516"/>
      <c r="F90" s="511"/>
      <c r="G90" s="511"/>
      <c r="H90" s="516"/>
      <c r="I90" s="511"/>
      <c r="J90" s="511"/>
      <c r="K90" s="516"/>
      <c r="L90" s="511"/>
      <c r="M90" s="511"/>
      <c r="N90" s="515">
        <f>SUM(N88:N89)</f>
        <v>4.9020000000000081</v>
      </c>
      <c r="O90" s="515">
        <f>SUM(O88:O89)</f>
        <v>0</v>
      </c>
      <c r="P90" s="511"/>
      <c r="Q90" s="515">
        <f>SUM(Q88:Q89)</f>
        <v>8.3759999999999977</v>
      </c>
      <c r="R90" s="515">
        <f>SUM(R88:R89)</f>
        <v>13.024000000000004</v>
      </c>
      <c r="S90" s="511"/>
      <c r="T90" s="515">
        <f>SUM(T88:T89)</f>
        <v>28.839999999999986</v>
      </c>
      <c r="U90" s="515">
        <f>SUM(U88:U89)</f>
        <v>11.268999999999998</v>
      </c>
      <c r="V90" s="523">
        <f>W90-U90</f>
        <v>23.04099999999999</v>
      </c>
      <c r="W90" s="515">
        <f>SUM(W88:W89)</f>
        <v>34.309999999999988</v>
      </c>
      <c r="X90" s="515">
        <f>SUM(X88:X89)</f>
        <v>22.199999999999985</v>
      </c>
      <c r="Y90" s="523">
        <f>Z90-X90</f>
        <v>39.800000000000026</v>
      </c>
      <c r="Z90" s="515">
        <f>SUM(Z88:Z89)</f>
        <v>62.000000000000007</v>
      </c>
      <c r="AA90" s="440">
        <f>SUM(AA88:AA89)</f>
        <v>19.299999999999997</v>
      </c>
      <c r="AB90" s="439"/>
      <c r="AC90" s="440">
        <f>SUM(AC88:AC89)</f>
        <v>37.599999999999994</v>
      </c>
      <c r="AD90" s="440">
        <f>SUM(AD88:AD89)</f>
        <v>34.699999999999996</v>
      </c>
      <c r="AE90" s="439"/>
      <c r="AF90" s="440">
        <f>SUM(AF88:AF89)</f>
        <v>104.7</v>
      </c>
      <c r="AG90" s="440">
        <f>SUM(AG88:AG89)</f>
        <v>66.900000000000006</v>
      </c>
      <c r="AH90" s="439"/>
      <c r="AI90" s="440">
        <f>SUM(AI88:AI89)</f>
        <v>173.3</v>
      </c>
      <c r="AJ90" s="440">
        <f>SUM(AJ88:AJ89)</f>
        <v>93.9</v>
      </c>
      <c r="AK90" s="439"/>
      <c r="AL90" s="440">
        <f>SUM(AL88:AL89)</f>
        <v>163.89999999999995</v>
      </c>
      <c r="AM90" s="440">
        <f>SUM(AM88:AM89)</f>
        <v>70.800000000000011</v>
      </c>
      <c r="AN90" s="439"/>
      <c r="AO90" s="440">
        <f>SUM(AO88:AO89)</f>
        <v>155.6</v>
      </c>
      <c r="AP90" s="440">
        <f>SUM(AP88:AP89)</f>
        <v>83.900000000000034</v>
      </c>
      <c r="AQ90" s="439"/>
      <c r="AR90" s="440">
        <f>SUM(AR88:AR89)</f>
        <v>214.79999999999995</v>
      </c>
      <c r="AS90" s="440">
        <f>SUM(AS88:AS89)</f>
        <v>118.30078000154248</v>
      </c>
      <c r="AT90" s="440">
        <f>SUM(AT88:AT89)</f>
        <v>168.35593730727652</v>
      </c>
      <c r="AU90" s="440">
        <f t="shared" ref="AU90" si="209">SUM(AU88:AU89)</f>
        <v>218.49266022125204</v>
      </c>
    </row>
    <row r="91" spans="1:47">
      <c r="A91" s="290" t="s">
        <v>620</v>
      </c>
      <c r="B91" s="409" t="s">
        <v>37</v>
      </c>
      <c r="C91" s="526"/>
      <c r="D91" s="511"/>
      <c r="E91" s="526"/>
      <c r="F91" s="526"/>
      <c r="G91" s="511"/>
      <c r="H91" s="526"/>
      <c r="I91" s="526"/>
      <c r="J91" s="511"/>
      <c r="K91" s="526"/>
      <c r="L91" s="526"/>
      <c r="M91" s="511"/>
      <c r="N91" s="514">
        <f>-2.022</f>
        <v>-2.0219999999999998</v>
      </c>
      <c r="O91" s="514"/>
      <c r="P91" s="511"/>
      <c r="Q91" s="514">
        <v>-3.8130000000000002</v>
      </c>
      <c r="R91" s="514">
        <f>-0.005</f>
        <v>-5.0000000000000001E-3</v>
      </c>
      <c r="S91" s="511"/>
      <c r="T91" s="514">
        <f>-2.672-0.265</f>
        <v>-2.9370000000000003</v>
      </c>
      <c r="U91" s="514">
        <f>-3.178</f>
        <v>-3.1779999999999999</v>
      </c>
      <c r="V91" s="511"/>
      <c r="W91" s="514">
        <f>-6.017-0.019</f>
        <v>-6.0360000000000005</v>
      </c>
      <c r="X91" s="514">
        <v>-4.7</v>
      </c>
      <c r="Y91" s="511"/>
      <c r="Z91" s="514">
        <f>-9</f>
        <v>-9</v>
      </c>
      <c r="AA91" s="312"/>
      <c r="AB91" s="312"/>
      <c r="AC91" s="312"/>
      <c r="AD91" s="312"/>
      <c r="AE91" s="312"/>
      <c r="AF91" s="312"/>
      <c r="AG91" s="312"/>
      <c r="AH91" s="312"/>
      <c r="AI91" s="312"/>
      <c r="AJ91" s="312"/>
      <c r="AK91" s="312"/>
      <c r="AL91" s="312">
        <v>-28</v>
      </c>
      <c r="AM91" s="312">
        <v>-17.7</v>
      </c>
      <c r="AN91" s="312"/>
      <c r="AO91" s="312">
        <v>-34.299999999999997</v>
      </c>
      <c r="AP91" s="312">
        <v>-20.2</v>
      </c>
      <c r="AQ91" s="312"/>
      <c r="AR91" s="312">
        <v>-42.2</v>
      </c>
      <c r="AS91" s="434">
        <f>-(AR49+AS48)*AS251/100</f>
        <v>-52.532200000000003</v>
      </c>
      <c r="AT91" s="434">
        <f>-(AS49+AT48)*AT251/100</f>
        <v>-63.574000000000005</v>
      </c>
      <c r="AU91" s="434">
        <f t="shared" ref="AU91" si="210">-(AT49+AU48)*AU251/100</f>
        <v>-83.65</v>
      </c>
    </row>
    <row r="92" spans="1:47">
      <c r="A92" s="290" t="s">
        <v>551</v>
      </c>
      <c r="B92" s="380" t="s">
        <v>176</v>
      </c>
      <c r="C92" s="511"/>
      <c r="D92" s="511"/>
      <c r="E92" s="516"/>
      <c r="F92" s="511"/>
      <c r="G92" s="511"/>
      <c r="H92" s="516"/>
      <c r="I92" s="511"/>
      <c r="J92" s="511"/>
      <c r="K92" s="516"/>
      <c r="L92" s="511"/>
      <c r="M92" s="511"/>
      <c r="N92" s="515">
        <f>SUM(N90:N91)</f>
        <v>2.8800000000000083</v>
      </c>
      <c r="O92" s="515">
        <f>SUM(O90:O91)</f>
        <v>0</v>
      </c>
      <c r="P92" s="511"/>
      <c r="Q92" s="515">
        <f>SUM(Q90:Q91)</f>
        <v>4.5629999999999971</v>
      </c>
      <c r="R92" s="515">
        <f>SUM(R90:R91)</f>
        <v>13.019000000000004</v>
      </c>
      <c r="S92" s="511"/>
      <c r="T92" s="515">
        <f>SUM(T90:T91)</f>
        <v>25.902999999999984</v>
      </c>
      <c r="U92" s="515">
        <f>SUM(U90:U91)</f>
        <v>8.0909999999999975</v>
      </c>
      <c r="V92" s="511"/>
      <c r="W92" s="515">
        <f>SUM(W90:W91)</f>
        <v>28.273999999999987</v>
      </c>
      <c r="X92" s="515">
        <f>SUM(X90:X91)</f>
        <v>17.499999999999986</v>
      </c>
      <c r="Y92" s="511"/>
      <c r="Z92" s="515">
        <f>SUM(Z90:Z91)</f>
        <v>53.000000000000007</v>
      </c>
      <c r="AA92" s="440">
        <f>SUM(AA90:AA91)</f>
        <v>19.299999999999997</v>
      </c>
      <c r="AB92" s="439"/>
      <c r="AC92" s="440">
        <f>SUM(AC90:AC91)</f>
        <v>37.599999999999994</v>
      </c>
      <c r="AD92" s="440">
        <f>SUM(AD90:AD91)</f>
        <v>34.699999999999996</v>
      </c>
      <c r="AE92" s="439"/>
      <c r="AF92" s="440">
        <f>SUM(AF90:AF91)</f>
        <v>104.7</v>
      </c>
      <c r="AG92" s="440">
        <f>SUM(AG90:AG91)</f>
        <v>66.900000000000006</v>
      </c>
      <c r="AH92" s="439"/>
      <c r="AI92" s="440">
        <f>SUM(AI90:AI91)</f>
        <v>173.3</v>
      </c>
      <c r="AJ92" s="440">
        <f>SUM(AJ90:AJ91)</f>
        <v>93.9</v>
      </c>
      <c r="AK92" s="439"/>
      <c r="AL92" s="440">
        <f>SUM(AL90:AL91)</f>
        <v>135.89999999999995</v>
      </c>
      <c r="AM92" s="440">
        <f>SUM(AM90:AM91)</f>
        <v>53.100000000000009</v>
      </c>
      <c r="AN92" s="439"/>
      <c r="AO92" s="440">
        <f>SUM(AO90:AO91)</f>
        <v>121.3</v>
      </c>
      <c r="AP92" s="440">
        <f>SUM(AP90:AP91)</f>
        <v>63.700000000000031</v>
      </c>
      <c r="AQ92" s="439"/>
      <c r="AR92" s="440">
        <f>SUM(AR90:AR91)</f>
        <v>172.59999999999997</v>
      </c>
      <c r="AS92" s="440">
        <f>SUM(AS90:AS91)</f>
        <v>65.768580001542475</v>
      </c>
      <c r="AT92" s="440">
        <f>SUM(AT90:AT91)</f>
        <v>104.78193730727651</v>
      </c>
      <c r="AU92" s="440">
        <f t="shared" ref="AU92" si="211">SUM(AU90:AU91)</f>
        <v>134.84266022125203</v>
      </c>
    </row>
    <row r="93" spans="1:47">
      <c r="B93" s="409" t="s">
        <v>56</v>
      </c>
      <c r="C93" s="526"/>
      <c r="D93" s="511"/>
      <c r="E93" s="526"/>
      <c r="F93" s="526"/>
      <c r="G93" s="511"/>
      <c r="H93" s="526"/>
      <c r="I93" s="526"/>
      <c r="J93" s="511"/>
      <c r="K93" s="526"/>
      <c r="L93" s="526"/>
      <c r="M93" s="511"/>
      <c r="N93" s="526"/>
      <c r="O93" s="526"/>
      <c r="P93" s="511"/>
      <c r="Q93" s="526"/>
      <c r="R93" s="526"/>
      <c r="S93" s="511"/>
      <c r="T93" s="526"/>
      <c r="U93" s="526"/>
      <c r="V93" s="511"/>
      <c r="W93" s="526"/>
      <c r="X93" s="526"/>
      <c r="Y93" s="511"/>
      <c r="Z93" s="526"/>
      <c r="AA93" s="413"/>
      <c r="AB93" s="413"/>
      <c r="AC93" s="413"/>
      <c r="AD93" s="413"/>
      <c r="AE93" s="413"/>
      <c r="AF93" s="413"/>
      <c r="AG93" s="413"/>
      <c r="AH93" s="413"/>
      <c r="AI93" s="413"/>
      <c r="AJ93" s="413"/>
      <c r="AK93" s="413"/>
      <c r="AL93" s="312">
        <v>0</v>
      </c>
      <c r="AM93" s="312">
        <v>0</v>
      </c>
      <c r="AN93" s="413"/>
      <c r="AO93" s="312">
        <v>0</v>
      </c>
      <c r="AP93" s="312">
        <v>0</v>
      </c>
      <c r="AQ93" s="413"/>
      <c r="AR93" s="312">
        <v>0</v>
      </c>
      <c r="AS93" s="312">
        <v>0</v>
      </c>
      <c r="AT93" s="312">
        <v>0</v>
      </c>
      <c r="AU93" s="312">
        <v>0</v>
      </c>
    </row>
    <row r="94" spans="1:47">
      <c r="A94" s="290" t="s">
        <v>565</v>
      </c>
      <c r="B94" s="411" t="s">
        <v>40</v>
      </c>
      <c r="C94" s="526"/>
      <c r="D94" s="526"/>
      <c r="E94" s="526"/>
      <c r="F94" s="526"/>
      <c r="G94" s="526"/>
      <c r="H94" s="526"/>
      <c r="I94" s="526"/>
      <c r="J94" s="511"/>
      <c r="K94" s="526"/>
      <c r="L94" s="526"/>
      <c r="M94" s="511"/>
      <c r="N94" s="514">
        <f>-2.434-5.472-5.566</f>
        <v>-13.472000000000001</v>
      </c>
      <c r="O94" s="526"/>
      <c r="P94" s="511"/>
      <c r="Q94" s="514">
        <v>-20.038</v>
      </c>
      <c r="R94" s="514">
        <f>-5.532</f>
        <v>-5.532</v>
      </c>
      <c r="S94" s="511"/>
      <c r="T94" s="514">
        <v>-22.907</v>
      </c>
      <c r="U94" s="514">
        <v>-46.673000000000002</v>
      </c>
      <c r="V94" s="511"/>
      <c r="W94" s="514">
        <v>-104.16200000000001</v>
      </c>
      <c r="X94" s="514">
        <v>-120.4</v>
      </c>
      <c r="Y94" s="511"/>
      <c r="Z94" s="514">
        <f>-237.2</f>
        <v>-237.2</v>
      </c>
      <c r="AA94" s="413"/>
      <c r="AB94" s="413"/>
      <c r="AC94" s="413"/>
      <c r="AD94" s="413"/>
      <c r="AE94" s="413"/>
      <c r="AF94" s="413"/>
      <c r="AG94" s="413"/>
      <c r="AH94" s="413"/>
      <c r="AI94" s="413"/>
      <c r="AJ94" s="413"/>
      <c r="AK94" s="413"/>
      <c r="AL94" s="312">
        <v>-501.3</v>
      </c>
      <c r="AM94" s="312">
        <v>-28.4</v>
      </c>
      <c r="AN94" s="413"/>
      <c r="AO94" s="312">
        <v>-28.8</v>
      </c>
      <c r="AP94" s="312">
        <v>-9.5</v>
      </c>
      <c r="AQ94" s="413"/>
      <c r="AR94" s="312">
        <v>-89.9</v>
      </c>
      <c r="AS94" s="312">
        <v>-2100</v>
      </c>
      <c r="AT94" s="312">
        <v>0</v>
      </c>
      <c r="AU94" s="312">
        <v>0</v>
      </c>
    </row>
    <row r="95" spans="1:47">
      <c r="B95" s="411" t="s">
        <v>41</v>
      </c>
      <c r="C95" s="526"/>
      <c r="D95" s="511"/>
      <c r="E95" s="526"/>
      <c r="F95" s="526"/>
      <c r="G95" s="511"/>
      <c r="H95" s="526"/>
      <c r="I95" s="526"/>
      <c r="J95" s="511"/>
      <c r="K95" s="526"/>
      <c r="L95" s="526"/>
      <c r="M95" s="511"/>
      <c r="N95" s="514">
        <v>-2.1859999999999999</v>
      </c>
      <c r="O95" s="526"/>
      <c r="P95" s="511"/>
      <c r="Q95" s="526"/>
      <c r="R95" s="526"/>
      <c r="S95" s="511"/>
      <c r="T95" s="526"/>
      <c r="U95" s="526"/>
      <c r="V95" s="511"/>
      <c r="W95" s="526"/>
      <c r="X95" s="526"/>
      <c r="Y95" s="511"/>
      <c r="Z95" s="526"/>
      <c r="AA95" s="413"/>
      <c r="AB95" s="413"/>
      <c r="AC95" s="413"/>
      <c r="AD95" s="413"/>
      <c r="AE95" s="413"/>
      <c r="AF95" s="413"/>
      <c r="AG95" s="413"/>
      <c r="AH95" s="413"/>
      <c r="AI95" s="413"/>
      <c r="AJ95" s="413"/>
      <c r="AK95" s="413"/>
      <c r="AL95" s="413"/>
      <c r="AM95" s="413"/>
      <c r="AN95" s="413"/>
      <c r="AO95" s="413"/>
      <c r="AP95" s="413"/>
      <c r="AQ95" s="413"/>
      <c r="AR95" s="413"/>
      <c r="AS95" s="312">
        <v>0</v>
      </c>
      <c r="AT95" s="312">
        <v>0</v>
      </c>
      <c r="AU95" s="312">
        <v>0</v>
      </c>
    </row>
    <row r="96" spans="1:47">
      <c r="B96" s="409" t="s">
        <v>43</v>
      </c>
      <c r="C96" s="511"/>
      <c r="D96" s="511"/>
      <c r="E96" s="511"/>
      <c r="F96" s="511"/>
      <c r="G96" s="511"/>
      <c r="H96" s="511"/>
      <c r="I96" s="511"/>
      <c r="J96" s="511"/>
      <c r="K96" s="511"/>
      <c r="L96" s="511"/>
      <c r="M96" s="511"/>
      <c r="N96" s="515">
        <f>SUM(N94:N95)</f>
        <v>-15.658000000000001</v>
      </c>
      <c r="O96" s="515">
        <f>SUM(O94:O95)</f>
        <v>0</v>
      </c>
      <c r="P96" s="514"/>
      <c r="Q96" s="515">
        <f>SUM(Q94:Q95)</f>
        <v>-20.038</v>
      </c>
      <c r="R96" s="515">
        <f>SUM(R94:R95)</f>
        <v>-5.532</v>
      </c>
      <c r="S96" s="514"/>
      <c r="T96" s="515">
        <f>SUM(T94:T95)</f>
        <v>-22.907</v>
      </c>
      <c r="U96" s="515">
        <f>SUM(U94:U95)</f>
        <v>-46.673000000000002</v>
      </c>
      <c r="V96" s="514"/>
      <c r="W96" s="515">
        <f>SUM(W94:W95)</f>
        <v>-104.16200000000001</v>
      </c>
      <c r="X96" s="515">
        <f>SUM(X94:X95)</f>
        <v>-120.4</v>
      </c>
      <c r="Y96" s="514"/>
      <c r="Z96" s="515">
        <f>SUM(Z94:Z95)</f>
        <v>-237.2</v>
      </c>
      <c r="AA96" s="440">
        <f>SUM(AA94:AA95)</f>
        <v>0</v>
      </c>
      <c r="AB96" s="439"/>
      <c r="AC96" s="440">
        <f>SUM(AC94:AC95)</f>
        <v>0</v>
      </c>
      <c r="AD96" s="440">
        <f>SUM(AD94:AD95)</f>
        <v>0</v>
      </c>
      <c r="AE96" s="439"/>
      <c r="AF96" s="440">
        <f>SUM(AF94:AF95)</f>
        <v>0</v>
      </c>
      <c r="AG96" s="440">
        <f>SUM(AG94:AG95)</f>
        <v>0</v>
      </c>
      <c r="AH96" s="439"/>
      <c r="AI96" s="440">
        <f>SUM(AI94:AI95)</f>
        <v>0</v>
      </c>
      <c r="AJ96" s="440">
        <f>SUM(AJ94:AJ95)</f>
        <v>0</v>
      </c>
      <c r="AK96" s="439"/>
      <c r="AL96" s="440">
        <f>SUM(AL94:AL95)</f>
        <v>-501.3</v>
      </c>
      <c r="AM96" s="440">
        <f>SUM(AM94:AM95)</f>
        <v>-28.4</v>
      </c>
      <c r="AN96" s="439"/>
      <c r="AO96" s="440">
        <f>SUM(AO94:AO95)</f>
        <v>-28.8</v>
      </c>
      <c r="AP96" s="440">
        <f>SUM(AP94:AP95)</f>
        <v>-9.5</v>
      </c>
      <c r="AQ96" s="439"/>
      <c r="AR96" s="440">
        <f>SUM(AR94:AR95)</f>
        <v>-89.9</v>
      </c>
      <c r="AS96" s="440">
        <f>SUM(AS94:AS95)</f>
        <v>-2100</v>
      </c>
      <c r="AT96" s="440">
        <f>SUM(AT94:AT95)</f>
        <v>0</v>
      </c>
      <c r="AU96" s="440">
        <f t="shared" ref="AU96" si="212">SUM(AU94:AU95)</f>
        <v>0</v>
      </c>
    </row>
    <row r="97" spans="1:47">
      <c r="B97" s="411" t="s">
        <v>42</v>
      </c>
      <c r="C97" s="526"/>
      <c r="D97" s="511"/>
      <c r="E97" s="526"/>
      <c r="F97" s="526"/>
      <c r="G97" s="511"/>
      <c r="H97" s="526"/>
      <c r="I97" s="526"/>
      <c r="J97" s="511"/>
      <c r="K97" s="526"/>
      <c r="L97" s="526"/>
      <c r="M97" s="511"/>
      <c r="N97" s="526"/>
      <c r="O97" s="526"/>
      <c r="P97" s="511"/>
      <c r="Q97" s="526"/>
      <c r="R97" s="526"/>
      <c r="S97" s="511"/>
      <c r="T97" s="526"/>
      <c r="U97" s="526"/>
      <c r="V97" s="511"/>
      <c r="W97" s="526"/>
      <c r="X97" s="526"/>
      <c r="Y97" s="511"/>
      <c r="Z97" s="526"/>
      <c r="AA97" s="413"/>
      <c r="AB97" s="413"/>
      <c r="AC97" s="413"/>
      <c r="AD97" s="413"/>
      <c r="AE97" s="413"/>
      <c r="AF97" s="413"/>
      <c r="AG97" s="413"/>
      <c r="AH97" s="413"/>
      <c r="AI97" s="413"/>
      <c r="AJ97" s="413"/>
      <c r="AK97" s="413"/>
      <c r="AL97" s="413"/>
      <c r="AM97" s="413"/>
      <c r="AN97" s="413"/>
      <c r="AO97" s="413"/>
      <c r="AP97" s="413"/>
      <c r="AQ97" s="413"/>
      <c r="AR97" s="413"/>
      <c r="AS97" s="312">
        <v>0</v>
      </c>
      <c r="AT97" s="312">
        <v>0</v>
      </c>
      <c r="AU97" s="312">
        <v>0</v>
      </c>
    </row>
    <row r="98" spans="1:47">
      <c r="B98" s="411" t="s">
        <v>38</v>
      </c>
      <c r="C98" s="526"/>
      <c r="D98" s="511"/>
      <c r="E98" s="526"/>
      <c r="F98" s="526"/>
      <c r="G98" s="511"/>
      <c r="H98" s="526"/>
      <c r="I98" s="526"/>
      <c r="J98" s="511"/>
      <c r="K98" s="526"/>
      <c r="L98" s="526"/>
      <c r="M98" s="511"/>
      <c r="N98" s="526"/>
      <c r="O98" s="526"/>
      <c r="P98" s="511"/>
      <c r="Q98" s="526"/>
      <c r="R98" s="526"/>
      <c r="S98" s="511"/>
      <c r="T98" s="526"/>
      <c r="U98" s="526"/>
      <c r="V98" s="511"/>
      <c r="W98" s="526"/>
      <c r="X98" s="514">
        <v>0.7</v>
      </c>
      <c r="Y98" s="511"/>
      <c r="Z98" s="514">
        <v>0.7</v>
      </c>
      <c r="AA98" s="413"/>
      <c r="AB98" s="413"/>
      <c r="AC98" s="413"/>
      <c r="AD98" s="413"/>
      <c r="AE98" s="413"/>
      <c r="AF98" s="413"/>
      <c r="AG98" s="413"/>
      <c r="AH98" s="413"/>
      <c r="AI98" s="413"/>
      <c r="AJ98" s="413"/>
      <c r="AK98" s="413"/>
      <c r="AL98" s="413"/>
      <c r="AM98" s="413"/>
      <c r="AN98" s="413"/>
      <c r="AO98" s="413"/>
      <c r="AP98" s="413"/>
      <c r="AQ98" s="413"/>
      <c r="AR98" s="413"/>
      <c r="AS98" s="312">
        <v>0</v>
      </c>
      <c r="AT98" s="312">
        <v>0</v>
      </c>
      <c r="AU98" s="312">
        <v>0</v>
      </c>
    </row>
    <row r="99" spans="1:47">
      <c r="B99" s="411" t="s">
        <v>39</v>
      </c>
      <c r="C99" s="526"/>
      <c r="D99" s="511"/>
      <c r="E99" s="526"/>
      <c r="F99" s="526"/>
      <c r="G99" s="511"/>
      <c r="H99" s="526"/>
      <c r="I99" s="526"/>
      <c r="J99" s="511"/>
      <c r="K99" s="526"/>
      <c r="L99" s="526"/>
      <c r="M99" s="511"/>
      <c r="N99" s="526"/>
      <c r="O99" s="526"/>
      <c r="P99" s="511"/>
      <c r="Q99" s="526"/>
      <c r="R99" s="526"/>
      <c r="S99" s="511"/>
      <c r="T99" s="526"/>
      <c r="U99" s="526"/>
      <c r="V99" s="511"/>
      <c r="W99" s="526"/>
      <c r="X99" s="526"/>
      <c r="Y99" s="511"/>
      <c r="Z99" s="526"/>
      <c r="AA99" s="413"/>
      <c r="AB99" s="413"/>
      <c r="AC99" s="413"/>
      <c r="AD99" s="413"/>
      <c r="AE99" s="413"/>
      <c r="AF99" s="413"/>
      <c r="AG99" s="413"/>
      <c r="AH99" s="413"/>
      <c r="AI99" s="413"/>
      <c r="AJ99" s="413"/>
      <c r="AK99" s="413"/>
      <c r="AL99" s="413"/>
      <c r="AM99" s="413"/>
      <c r="AN99" s="413"/>
      <c r="AO99" s="413"/>
      <c r="AP99" s="413"/>
      <c r="AQ99" s="413"/>
      <c r="AR99" s="413"/>
      <c r="AS99" s="312">
        <v>0</v>
      </c>
      <c r="AT99" s="312">
        <v>0</v>
      </c>
      <c r="AU99" s="312">
        <v>0</v>
      </c>
    </row>
    <row r="100" spans="1:47">
      <c r="B100" s="409" t="s">
        <v>44</v>
      </c>
      <c r="C100" s="511"/>
      <c r="D100" s="511"/>
      <c r="E100" s="511"/>
      <c r="F100" s="511"/>
      <c r="G100" s="511"/>
      <c r="H100" s="511"/>
      <c r="I100" s="511"/>
      <c r="J100" s="511"/>
      <c r="K100" s="511"/>
      <c r="L100" s="511"/>
      <c r="M100" s="511"/>
      <c r="N100" s="523">
        <f>SUM(N97:N99)</f>
        <v>0</v>
      </c>
      <c r="O100" s="523">
        <f>SUM(O97:O99)</f>
        <v>0</v>
      </c>
      <c r="P100" s="511"/>
      <c r="Q100" s="523">
        <f>SUM(Q97:Q99)</f>
        <v>0</v>
      </c>
      <c r="R100" s="523">
        <f>SUM(R97:R99)</f>
        <v>0</v>
      </c>
      <c r="S100" s="511"/>
      <c r="T100" s="523">
        <f>SUM(T97:T99)</f>
        <v>0</v>
      </c>
      <c r="U100" s="523">
        <f>SUM(U97:U99)</f>
        <v>0</v>
      </c>
      <c r="V100" s="511"/>
      <c r="W100" s="523">
        <f>SUM(W97:W99)</f>
        <v>0</v>
      </c>
      <c r="X100" s="523">
        <f>SUM(X97:X99)</f>
        <v>0.7</v>
      </c>
      <c r="Y100" s="511"/>
      <c r="Z100" s="523">
        <f>SUM(Z97:Z99)</f>
        <v>0.7</v>
      </c>
      <c r="AA100" s="295"/>
      <c r="AB100" s="295"/>
      <c r="AC100" s="295"/>
      <c r="AD100" s="295"/>
      <c r="AE100" s="295"/>
      <c r="AF100" s="295"/>
      <c r="AG100" s="295"/>
      <c r="AH100" s="295"/>
      <c r="AI100" s="295"/>
      <c r="AJ100" s="295"/>
      <c r="AK100" s="295"/>
      <c r="AL100" s="434">
        <f>SUM(AL97:AL99)</f>
        <v>0</v>
      </c>
      <c r="AM100" s="434">
        <f>SUM(AM97:AM99)</f>
        <v>0</v>
      </c>
      <c r="AN100" s="295"/>
      <c r="AO100" s="434">
        <f>SUM(AO97:AO99)</f>
        <v>0</v>
      </c>
      <c r="AP100" s="434">
        <f>SUM(AP97:AP99)</f>
        <v>0</v>
      </c>
      <c r="AQ100" s="295"/>
      <c r="AR100" s="434">
        <f>SUM(AR97:AR99)</f>
        <v>0</v>
      </c>
      <c r="AS100" s="434">
        <f>SUM(AS97:AS99)</f>
        <v>0</v>
      </c>
      <c r="AT100" s="434">
        <f>SUM(AT97:AT99)</f>
        <v>0</v>
      </c>
      <c r="AU100" s="434">
        <f t="shared" ref="AU100" si="213">SUM(AU97:AU99)</f>
        <v>0</v>
      </c>
    </row>
    <row r="101" spans="1:47">
      <c r="B101" s="409" t="s">
        <v>139</v>
      </c>
      <c r="C101" s="526"/>
      <c r="D101" s="511"/>
      <c r="E101" s="526"/>
      <c r="F101" s="526"/>
      <c r="G101" s="511"/>
      <c r="H101" s="526"/>
      <c r="I101" s="526"/>
      <c r="J101" s="511"/>
      <c r="K101" s="526"/>
      <c r="L101" s="526"/>
      <c r="M101" s="511"/>
      <c r="N101" s="526"/>
      <c r="O101" s="526"/>
      <c r="P101" s="511"/>
      <c r="Q101" s="526"/>
      <c r="R101" s="526"/>
      <c r="S101" s="511"/>
      <c r="T101" s="526"/>
      <c r="U101" s="526"/>
      <c r="V101" s="511"/>
      <c r="W101" s="526"/>
      <c r="X101" s="526"/>
      <c r="Y101" s="511"/>
      <c r="Z101" s="526"/>
      <c r="AA101" s="413"/>
      <c r="AB101" s="413"/>
      <c r="AC101" s="413"/>
      <c r="AD101" s="413"/>
      <c r="AE101" s="413"/>
      <c r="AF101" s="413"/>
      <c r="AG101" s="413"/>
      <c r="AH101" s="413"/>
      <c r="AI101" s="413"/>
      <c r="AJ101" s="413"/>
      <c r="AK101" s="413"/>
      <c r="AL101" s="413"/>
      <c r="AM101" s="413"/>
      <c r="AN101" s="413"/>
      <c r="AO101" s="413"/>
      <c r="AP101" s="413"/>
      <c r="AQ101" s="413"/>
      <c r="AR101" s="413"/>
      <c r="AS101" s="312">
        <v>0</v>
      </c>
      <c r="AT101" s="312">
        <v>0</v>
      </c>
      <c r="AU101" s="312">
        <v>0</v>
      </c>
    </row>
    <row r="102" spans="1:47" s="397" customFormat="1">
      <c r="A102" s="290"/>
      <c r="B102" s="380" t="s">
        <v>163</v>
      </c>
      <c r="C102" s="511"/>
      <c r="D102" s="511"/>
      <c r="E102" s="516"/>
      <c r="F102" s="511"/>
      <c r="G102" s="511"/>
      <c r="H102" s="516"/>
      <c r="I102" s="511"/>
      <c r="J102" s="511"/>
      <c r="K102" s="516"/>
      <c r="L102" s="511"/>
      <c r="M102" s="511"/>
      <c r="N102" s="515">
        <f>SUM(N93,N96,N100,N101)</f>
        <v>-15.658000000000001</v>
      </c>
      <c r="O102" s="515">
        <f>SUM(O93,O96,O100,O101)</f>
        <v>0</v>
      </c>
      <c r="P102" s="511"/>
      <c r="Q102" s="515">
        <f>SUM(Q93,Q96,Q100,Q101)</f>
        <v>-20.038</v>
      </c>
      <c r="R102" s="515">
        <f>SUM(R93,R96,R100,R101)</f>
        <v>-5.532</v>
      </c>
      <c r="S102" s="511"/>
      <c r="T102" s="515">
        <f>SUM(T93,T96,T100,T101)</f>
        <v>-22.907</v>
      </c>
      <c r="U102" s="515">
        <f>SUM(U93,U96,U100,U101)</f>
        <v>-46.673000000000002</v>
      </c>
      <c r="V102" s="511"/>
      <c r="W102" s="515">
        <f>SUM(W93,W96,W100,W101)</f>
        <v>-104.16200000000001</v>
      </c>
      <c r="X102" s="515">
        <f>SUM(X93,X96,X100,X101)</f>
        <v>-119.7</v>
      </c>
      <c r="Y102" s="511"/>
      <c r="Z102" s="515">
        <f>SUM(Z93,Z96,Z100,Z101)</f>
        <v>-236.5</v>
      </c>
      <c r="AA102" s="440">
        <f>SUM(AA93,AA96,AA100,AA101)</f>
        <v>0</v>
      </c>
      <c r="AB102" s="439"/>
      <c r="AC102" s="440">
        <f>SUM(AC93,AC96,AC100,AC101)</f>
        <v>0</v>
      </c>
      <c r="AD102" s="440">
        <f>SUM(AD93,AD96,AD100,AD101)</f>
        <v>0</v>
      </c>
      <c r="AE102" s="439"/>
      <c r="AF102" s="440">
        <f>SUM(AF93,AF96,AF100,AF101)</f>
        <v>0</v>
      </c>
      <c r="AG102" s="440">
        <f>SUM(AG93,AG96,AG100,AG101)</f>
        <v>0</v>
      </c>
      <c r="AH102" s="439"/>
      <c r="AI102" s="440">
        <f>SUM(AI93,AI96,AI100,AI101)</f>
        <v>0</v>
      </c>
      <c r="AJ102" s="440">
        <f>SUM(AJ93,AJ96,AJ100,AJ101)</f>
        <v>0</v>
      </c>
      <c r="AK102" s="439"/>
      <c r="AL102" s="440">
        <f>SUM(AL93,AL96,AL100,AL101)</f>
        <v>-501.3</v>
      </c>
      <c r="AM102" s="440">
        <f>SUM(AM93,AM96,AM100,AM101)</f>
        <v>-28.4</v>
      </c>
      <c r="AN102" s="439"/>
      <c r="AO102" s="440">
        <f>SUM(AO93,AO96,AO100,AO101)</f>
        <v>-28.8</v>
      </c>
      <c r="AP102" s="440">
        <f>SUM(AP93,AP96,AP100,AP101)</f>
        <v>-9.5</v>
      </c>
      <c r="AQ102" s="439"/>
      <c r="AR102" s="440">
        <f>SUM(AR93,AR96,AR100,AR101)</f>
        <v>-89.9</v>
      </c>
      <c r="AS102" s="440">
        <f>SUM(AS93,AS96,AS100,AS101)</f>
        <v>-2100</v>
      </c>
      <c r="AT102" s="440">
        <f>SUM(AT93,AT96,AT100,AT101)</f>
        <v>0</v>
      </c>
      <c r="AU102" s="440">
        <f t="shared" ref="AU102" si="214">SUM(AU93,AU96,AU100,AU101)</f>
        <v>0</v>
      </c>
    </row>
    <row r="103" spans="1:47">
      <c r="A103" s="290" t="s">
        <v>621</v>
      </c>
      <c r="B103" s="409" t="s">
        <v>166</v>
      </c>
      <c r="C103" s="526"/>
      <c r="D103" s="511"/>
      <c r="E103" s="526"/>
      <c r="F103" s="526"/>
      <c r="G103" s="511"/>
      <c r="H103" s="526"/>
      <c r="I103" s="526"/>
      <c r="J103" s="511"/>
      <c r="K103" s="526"/>
      <c r="L103" s="526"/>
      <c r="M103" s="511"/>
      <c r="N103" s="514">
        <v>35</v>
      </c>
      <c r="O103" s="526"/>
      <c r="P103" s="511"/>
      <c r="Q103" s="514">
        <f>125</f>
        <v>125</v>
      </c>
      <c r="R103" s="523">
        <f>0</f>
        <v>0</v>
      </c>
      <c r="S103" s="511"/>
      <c r="T103" s="514">
        <f>-7.498+0.864</f>
        <v>-6.6340000000000003</v>
      </c>
      <c r="U103" s="514">
        <f>-4.992+3.81</f>
        <v>-1.1819999999999999</v>
      </c>
      <c r="V103" s="511"/>
      <c r="W103" s="514">
        <f>119.397-20.13</f>
        <v>99.26700000000001</v>
      </c>
      <c r="X103" s="514">
        <v>-5.7</v>
      </c>
      <c r="Y103" s="511"/>
      <c r="Z103" s="514">
        <f>360.1-30.4</f>
        <v>329.70000000000005</v>
      </c>
      <c r="AA103" s="413"/>
      <c r="AB103" s="413"/>
      <c r="AC103" s="413"/>
      <c r="AD103" s="413"/>
      <c r="AE103" s="413"/>
      <c r="AF103" s="413"/>
      <c r="AG103" s="413"/>
      <c r="AH103" s="413"/>
      <c r="AI103" s="413"/>
      <c r="AJ103" s="413"/>
      <c r="AK103" s="413"/>
      <c r="AL103" s="312">
        <f>25.7-25.9</f>
        <v>-0.19999999999999929</v>
      </c>
      <c r="AM103" s="312">
        <f>43.8-43.7</f>
        <v>9.9999999999994316E-2</v>
      </c>
      <c r="AN103" s="413"/>
      <c r="AO103" s="312">
        <f>43.8-43.7</f>
        <v>9.9999999999994316E-2</v>
      </c>
      <c r="AP103" s="312">
        <f>62.8-62.8</f>
        <v>0</v>
      </c>
      <c r="AQ103" s="413"/>
      <c r="AR103" s="312">
        <f>62.8-62.8</f>
        <v>0</v>
      </c>
      <c r="AS103" s="312">
        <v>0</v>
      </c>
      <c r="AT103" s="312">
        <v>0</v>
      </c>
      <c r="AU103" s="312">
        <v>0</v>
      </c>
    </row>
    <row r="104" spans="1:47">
      <c r="B104" s="409" t="s">
        <v>170</v>
      </c>
      <c r="C104" s="526"/>
      <c r="D104" s="511"/>
      <c r="E104" s="526"/>
      <c r="F104" s="526"/>
      <c r="G104" s="511"/>
      <c r="H104" s="526"/>
      <c r="I104" s="526"/>
      <c r="J104" s="511"/>
      <c r="K104" s="526"/>
      <c r="L104" s="526"/>
      <c r="M104" s="511"/>
      <c r="N104" s="526"/>
      <c r="O104" s="526"/>
      <c r="P104" s="511"/>
      <c r="Q104" s="526"/>
      <c r="R104" s="514">
        <v>3.3000000000000002E-2</v>
      </c>
      <c r="S104" s="511"/>
      <c r="T104" s="526"/>
      <c r="U104" s="526"/>
      <c r="V104" s="511"/>
      <c r="W104" s="526"/>
      <c r="X104" s="526"/>
      <c r="Y104" s="511"/>
      <c r="Z104" s="526"/>
      <c r="AA104" s="413"/>
      <c r="AB104" s="413"/>
      <c r="AC104" s="413"/>
      <c r="AD104" s="413"/>
      <c r="AE104" s="413"/>
      <c r="AF104" s="413"/>
      <c r="AG104" s="413"/>
      <c r="AH104" s="413"/>
      <c r="AI104" s="413"/>
      <c r="AJ104" s="413"/>
      <c r="AK104" s="413"/>
      <c r="AL104" s="413"/>
      <c r="AM104" s="413"/>
      <c r="AN104" s="413"/>
      <c r="AO104" s="413"/>
      <c r="AP104" s="413"/>
      <c r="AQ104" s="413"/>
      <c r="AR104" s="413"/>
      <c r="AS104" s="312">
        <v>0</v>
      </c>
      <c r="AT104" s="312">
        <v>0</v>
      </c>
      <c r="AU104" s="312">
        <v>0</v>
      </c>
    </row>
    <row r="105" spans="1:47">
      <c r="B105" s="409" t="s">
        <v>171</v>
      </c>
      <c r="C105" s="526"/>
      <c r="D105" s="511"/>
      <c r="E105" s="526"/>
      <c r="F105" s="526"/>
      <c r="G105" s="511"/>
      <c r="H105" s="526"/>
      <c r="I105" s="526"/>
      <c r="J105" s="511"/>
      <c r="K105" s="526"/>
      <c r="L105" s="526"/>
      <c r="M105" s="511"/>
      <c r="N105" s="526"/>
      <c r="O105" s="526"/>
      <c r="P105" s="511"/>
      <c r="Q105" s="526"/>
      <c r="R105" s="526"/>
      <c r="S105" s="511"/>
      <c r="T105" s="526"/>
      <c r="U105" s="526"/>
      <c r="V105" s="511"/>
      <c r="W105" s="526"/>
      <c r="X105" s="526"/>
      <c r="Y105" s="511"/>
      <c r="Z105" s="526"/>
      <c r="AA105" s="413"/>
      <c r="AB105" s="413"/>
      <c r="AC105" s="413"/>
      <c r="AD105" s="413"/>
      <c r="AE105" s="413"/>
      <c r="AF105" s="413"/>
      <c r="AG105" s="413"/>
      <c r="AH105" s="413"/>
      <c r="AI105" s="413"/>
      <c r="AJ105" s="413"/>
      <c r="AK105" s="413"/>
      <c r="AL105" s="413"/>
      <c r="AM105" s="413"/>
      <c r="AN105" s="413"/>
      <c r="AO105" s="413"/>
      <c r="AP105" s="413"/>
      <c r="AQ105" s="413"/>
      <c r="AR105" s="413"/>
      <c r="AS105" s="312">
        <v>0</v>
      </c>
      <c r="AT105" s="312">
        <v>0</v>
      </c>
      <c r="AU105" s="312">
        <v>0</v>
      </c>
    </row>
    <row r="106" spans="1:47">
      <c r="A106" s="290" t="s">
        <v>622</v>
      </c>
      <c r="B106" s="409" t="s">
        <v>172</v>
      </c>
      <c r="C106" s="526"/>
      <c r="D106" s="511"/>
      <c r="E106" s="526"/>
      <c r="F106" s="526"/>
      <c r="G106" s="511"/>
      <c r="H106" s="526"/>
      <c r="I106" s="526"/>
      <c r="J106" s="511"/>
      <c r="K106" s="526"/>
      <c r="L106" s="552"/>
      <c r="M106" s="511"/>
      <c r="N106" s="514">
        <f>-1.558-0.333</f>
        <v>-1.891</v>
      </c>
      <c r="O106" s="526"/>
      <c r="P106" s="511"/>
      <c r="Q106" s="514">
        <f>-6.414-1.544-0.221-7.607-3.363</f>
        <v>-19.149000000000001</v>
      </c>
      <c r="R106" s="514">
        <f>-1.624-0.74</f>
        <v>-2.3639999999999999</v>
      </c>
      <c r="S106" s="511"/>
      <c r="T106" s="514">
        <f>-3.677-0.755+0.298</f>
        <v>-4.1340000000000003</v>
      </c>
      <c r="U106" s="514">
        <f>-0.012-1.362</f>
        <v>-1.3740000000000001</v>
      </c>
      <c r="V106" s="511"/>
      <c r="W106" s="514">
        <f>-2.233-0.134+0.44</f>
        <v>-1.927</v>
      </c>
      <c r="X106" s="514">
        <v>-0.5</v>
      </c>
      <c r="Y106" s="511"/>
      <c r="Z106" s="514">
        <f>-0.7-6.6</f>
        <v>-7.3</v>
      </c>
      <c r="AA106" s="413"/>
      <c r="AB106" s="413"/>
      <c r="AC106" s="413"/>
      <c r="AD106" s="413"/>
      <c r="AE106" s="413"/>
      <c r="AF106" s="413"/>
      <c r="AG106" s="413"/>
      <c r="AH106" s="413"/>
      <c r="AI106" s="413"/>
      <c r="AJ106" s="413"/>
      <c r="AK106" s="413"/>
      <c r="AL106" s="312">
        <f>-0.2-6.6</f>
        <v>-6.8</v>
      </c>
      <c r="AM106" s="312">
        <f>-0.1-3.5</f>
        <v>-3.6</v>
      </c>
      <c r="AN106" s="413"/>
      <c r="AO106" s="312">
        <f>-0.1-7.6</f>
        <v>-7.6999999999999993</v>
      </c>
      <c r="AP106" s="312">
        <f>-0.1-3.1+35</f>
        <v>31.8</v>
      </c>
      <c r="AQ106" s="413"/>
      <c r="AR106" s="312">
        <f>-0.1-6.2</f>
        <v>-6.3</v>
      </c>
      <c r="AS106" s="434">
        <f>+AR106</f>
        <v>-6.3</v>
      </c>
      <c r="AT106" s="434">
        <f>+AO106</f>
        <v>-7.6999999999999993</v>
      </c>
      <c r="AU106" s="434">
        <f t="shared" ref="AU106" si="215">+AR106</f>
        <v>-6.3</v>
      </c>
    </row>
    <row r="107" spans="1:47">
      <c r="B107" s="380" t="s">
        <v>164</v>
      </c>
      <c r="C107" s="511"/>
      <c r="D107" s="511"/>
      <c r="E107" s="516"/>
      <c r="F107" s="511"/>
      <c r="G107" s="511"/>
      <c r="H107" s="516"/>
      <c r="I107" s="511"/>
      <c r="J107" s="511"/>
      <c r="K107" s="516"/>
      <c r="L107" s="511"/>
      <c r="M107" s="511"/>
      <c r="N107" s="515">
        <f>N92+SUM(N102:N106)</f>
        <v>20.33100000000001</v>
      </c>
      <c r="O107" s="515">
        <f>O92+SUM(O102:O106)</f>
        <v>0</v>
      </c>
      <c r="P107" s="511"/>
      <c r="Q107" s="515">
        <f>Q92+SUM(Q102:Q106)</f>
        <v>90.376000000000005</v>
      </c>
      <c r="R107" s="515">
        <f>R92+SUM(R102:R106)</f>
        <v>5.1560000000000041</v>
      </c>
      <c r="S107" s="511"/>
      <c r="T107" s="515">
        <f>T92+SUM(T102:T106)</f>
        <v>-7.7720000000000127</v>
      </c>
      <c r="U107" s="515">
        <f>U92+SUM(U102:U106)</f>
        <v>-41.138000000000005</v>
      </c>
      <c r="V107" s="511"/>
      <c r="W107" s="515">
        <f>W92+SUM(W102:W106)</f>
        <v>21.451999999999991</v>
      </c>
      <c r="X107" s="515">
        <f>X92+SUM(X102:X106)</f>
        <v>-108.40000000000002</v>
      </c>
      <c r="Y107" s="511"/>
      <c r="Z107" s="515">
        <f>Z92+SUM(Z102:Z106)</f>
        <v>138.90000000000006</v>
      </c>
      <c r="AA107" s="440">
        <f>AA92+SUM(AA102:AA106)</f>
        <v>19.299999999999997</v>
      </c>
      <c r="AB107" s="439"/>
      <c r="AC107" s="440">
        <f>AC92+SUM(AC102:AC106)</f>
        <v>37.599999999999994</v>
      </c>
      <c r="AD107" s="440">
        <f>AD92+SUM(AD102:AD106)</f>
        <v>34.699999999999996</v>
      </c>
      <c r="AE107" s="439"/>
      <c r="AF107" s="440">
        <f>AF92+SUM(AF102:AF106)</f>
        <v>104.7</v>
      </c>
      <c r="AG107" s="440">
        <f>AG92+SUM(AG102:AG106)</f>
        <v>66.900000000000006</v>
      </c>
      <c r="AH107" s="439"/>
      <c r="AI107" s="440">
        <f>AI92+SUM(AI102:AI106)</f>
        <v>173.3</v>
      </c>
      <c r="AJ107" s="440">
        <f>AJ92+SUM(AJ102:AJ106)</f>
        <v>93.9</v>
      </c>
      <c r="AK107" s="439"/>
      <c r="AL107" s="440">
        <f>AL92+SUM(AL102:AL106)</f>
        <v>-372.40000000000009</v>
      </c>
      <c r="AM107" s="440">
        <f>AM92+SUM(AM102:AM106)</f>
        <v>21.200000000000003</v>
      </c>
      <c r="AN107" s="439"/>
      <c r="AO107" s="440">
        <f>AO92+SUM(AO102:AO106)</f>
        <v>84.899999999999991</v>
      </c>
      <c r="AP107" s="440">
        <f>AP92+SUM(AP102:AP106)</f>
        <v>86.000000000000028</v>
      </c>
      <c r="AQ107" s="439"/>
      <c r="AR107" s="440">
        <f>AR92+SUM(AR102:AR106)</f>
        <v>76.399999999999963</v>
      </c>
      <c r="AS107" s="440">
        <f>AS92+SUM(AS102:AS106)</f>
        <v>-2040.5314199984577</v>
      </c>
      <c r="AT107" s="440">
        <f>AT92+SUM(AT102:AT106)</f>
        <v>97.081937307276505</v>
      </c>
      <c r="AU107" s="440">
        <f t="shared" ref="AU107" si="216">AU92+SUM(AU102:AU106)</f>
        <v>128.54266022125202</v>
      </c>
    </row>
    <row r="108" spans="1:47">
      <c r="B108" s="409" t="s">
        <v>57</v>
      </c>
      <c r="C108" s="553"/>
      <c r="D108" s="554"/>
      <c r="E108" s="553"/>
      <c r="F108" s="553"/>
      <c r="G108" s="554"/>
      <c r="H108" s="553"/>
      <c r="I108" s="553"/>
      <c r="J108" s="554"/>
      <c r="K108" s="553"/>
      <c r="L108" s="553"/>
      <c r="M108" s="554"/>
      <c r="N108" s="555">
        <f>-5+24</f>
        <v>19</v>
      </c>
      <c r="O108" s="556"/>
      <c r="P108" s="554"/>
      <c r="Q108" s="556">
        <v>-24</v>
      </c>
      <c r="R108" s="556">
        <f>-0.113</f>
        <v>-0.113</v>
      </c>
      <c r="S108" s="554"/>
      <c r="T108" s="556">
        <v>-0.23599999999999999</v>
      </c>
      <c r="U108" s="556">
        <v>-5.1999999999999998E-2</v>
      </c>
      <c r="V108" s="554"/>
      <c r="W108" s="556">
        <v>-1.47</v>
      </c>
      <c r="X108" s="556">
        <v>28.4</v>
      </c>
      <c r="Y108" s="554"/>
      <c r="Z108" s="556">
        <f>-1.2</f>
        <v>-1.2</v>
      </c>
      <c r="AA108" s="442"/>
      <c r="AB108" s="443"/>
      <c r="AC108" s="442"/>
      <c r="AD108" s="442"/>
      <c r="AE108" s="443"/>
      <c r="AF108" s="442"/>
      <c r="AG108" s="442"/>
      <c r="AH108" s="443"/>
      <c r="AI108" s="442"/>
      <c r="AJ108" s="442"/>
      <c r="AK108" s="443"/>
      <c r="AL108" s="443">
        <f>155.8</f>
        <v>155.80000000000001</v>
      </c>
      <c r="AM108" s="443">
        <v>-15.9</v>
      </c>
      <c r="AN108" s="443"/>
      <c r="AO108" s="443">
        <f>215.9-311.2</f>
        <v>-95.299999999999983</v>
      </c>
      <c r="AP108" s="443">
        <v>-58.2</v>
      </c>
      <c r="AQ108" s="443"/>
      <c r="AR108" s="443">
        <f>137.6-126</f>
        <v>11.599999999999994</v>
      </c>
      <c r="AS108" s="444">
        <f>IF(AS107&lt;AR185,-AS107,-AR185)</f>
        <v>2040.5314199984577</v>
      </c>
      <c r="AT108" s="444">
        <f>IF(AT107&lt;AS185,-AT107,-AS185)</f>
        <v>-97.081937307276505</v>
      </c>
      <c r="AU108" s="444">
        <f t="shared" ref="AU108" si="217">IF(AU107&lt;AT185,-AU107,-AT185)</f>
        <v>-128.54266022125202</v>
      </c>
    </row>
    <row r="109" spans="1:47">
      <c r="B109" s="409" t="s">
        <v>165</v>
      </c>
      <c r="C109" s="557"/>
      <c r="D109" s="554"/>
      <c r="E109" s="558"/>
      <c r="F109" s="557"/>
      <c r="G109" s="554"/>
      <c r="H109" s="558"/>
      <c r="I109" s="557"/>
      <c r="J109" s="554"/>
      <c r="K109" s="559"/>
      <c r="L109" s="560"/>
      <c r="M109" s="554"/>
      <c r="N109" s="561">
        <f>SUM(N107:N108)</f>
        <v>39.33100000000001</v>
      </c>
      <c r="O109" s="562">
        <f>SUM(O107:O108)</f>
        <v>0</v>
      </c>
      <c r="P109" s="554"/>
      <c r="Q109" s="561">
        <f>SUM(Q107:Q108)</f>
        <v>66.376000000000005</v>
      </c>
      <c r="R109" s="561">
        <f>SUM(R107:R108)</f>
        <v>5.0430000000000037</v>
      </c>
      <c r="S109" s="554"/>
      <c r="T109" s="562">
        <f>SUM(T107:T108)</f>
        <v>-8.0080000000000133</v>
      </c>
      <c r="U109" s="563">
        <f>SUM(U107:U108)</f>
        <v>-41.190000000000005</v>
      </c>
      <c r="V109" s="554"/>
      <c r="W109" s="561">
        <f>SUM(W107:W108)</f>
        <v>19.981999999999992</v>
      </c>
      <c r="X109" s="564">
        <f>SUM(X107:X108)</f>
        <v>-80.000000000000028</v>
      </c>
      <c r="Y109" s="554"/>
      <c r="Z109" s="561">
        <f>SUM(Z107:Z108)</f>
        <v>137.70000000000007</v>
      </c>
      <c r="AA109" s="446">
        <f>SUM(AA107:AA108)</f>
        <v>19.299999999999997</v>
      </c>
      <c r="AB109" s="445"/>
      <c r="AC109" s="446">
        <f>SUM(AC107:AC108)</f>
        <v>37.599999999999994</v>
      </c>
      <c r="AD109" s="446">
        <f>SUM(AD107:AD108)</f>
        <v>34.699999999999996</v>
      </c>
      <c r="AE109" s="445"/>
      <c r="AF109" s="446">
        <f>SUM(AF107:AF108)</f>
        <v>104.7</v>
      </c>
      <c r="AG109" s="446">
        <f>SUM(AG107:AG108)</f>
        <v>66.900000000000006</v>
      </c>
      <c r="AH109" s="445"/>
      <c r="AI109" s="446">
        <f>SUM(AI107:AI108)</f>
        <v>173.3</v>
      </c>
      <c r="AJ109" s="446">
        <f>SUM(AJ107:AJ108)</f>
        <v>93.9</v>
      </c>
      <c r="AK109" s="445"/>
      <c r="AL109" s="447">
        <f>SUM(AL107:AL108)</f>
        <v>-216.60000000000008</v>
      </c>
      <c r="AM109" s="448">
        <f>SUM(AM107:AM108)</f>
        <v>5.3000000000000025</v>
      </c>
      <c r="AN109" s="445"/>
      <c r="AO109" s="447">
        <f>SUM(AO107:AO108)</f>
        <v>-10.399999999999991</v>
      </c>
      <c r="AP109" s="448">
        <f>SUM(AP107:AP108)</f>
        <v>27.800000000000026</v>
      </c>
      <c r="AQ109" s="445"/>
      <c r="AR109" s="447">
        <f>SUM(AR107:AR108)</f>
        <v>87.999999999999957</v>
      </c>
      <c r="AS109" s="448">
        <f>SUM(AS107:AS108)</f>
        <v>0</v>
      </c>
      <c r="AT109" s="448">
        <f>SUM(AT107:AT108)</f>
        <v>0</v>
      </c>
      <c r="AU109" s="448">
        <f t="shared" ref="AU109" si="218">SUM(AU107:AU108)</f>
        <v>0</v>
      </c>
    </row>
    <row r="110" spans="1:47">
      <c r="B110" s="409" t="s">
        <v>227</v>
      </c>
      <c r="C110" s="514"/>
      <c r="D110" s="554"/>
      <c r="E110" s="514"/>
      <c r="F110" s="514"/>
      <c r="G110" s="554"/>
      <c r="H110" s="514"/>
      <c r="I110" s="514"/>
      <c r="J110" s="554"/>
      <c r="K110" s="514"/>
      <c r="L110" s="514"/>
      <c r="M110" s="554"/>
      <c r="N110" s="514"/>
      <c r="O110" s="511"/>
      <c r="P110" s="511"/>
      <c r="Q110" s="514"/>
      <c r="R110" s="514">
        <v>0.151</v>
      </c>
      <c r="S110" s="511"/>
      <c r="T110" s="514"/>
      <c r="U110" s="514">
        <v>-0.16500000000000001</v>
      </c>
      <c r="V110" s="511"/>
      <c r="W110" s="514">
        <v>0.23899999999999999</v>
      </c>
      <c r="X110" s="514">
        <v>0.5</v>
      </c>
      <c r="Y110" s="511"/>
      <c r="Z110" s="514">
        <v>0.61099999999999999</v>
      </c>
      <c r="AA110" s="312"/>
      <c r="AB110" s="312"/>
      <c r="AC110" s="312"/>
      <c r="AD110" s="312"/>
      <c r="AE110" s="312"/>
      <c r="AF110" s="312"/>
      <c r="AG110" s="312"/>
      <c r="AH110" s="312"/>
      <c r="AI110" s="312"/>
      <c r="AJ110" s="312"/>
      <c r="AK110" s="312"/>
      <c r="AL110" s="312"/>
      <c r="AM110" s="312"/>
      <c r="AN110" s="312"/>
      <c r="AO110" s="312"/>
      <c r="AP110" s="312"/>
      <c r="AQ110" s="312"/>
      <c r="AR110" s="312"/>
      <c r="AS110" s="295"/>
      <c r="AT110" s="295"/>
      <c r="AU110" s="295"/>
    </row>
    <row r="111" spans="1:47">
      <c r="B111" s="301" t="s">
        <v>94</v>
      </c>
      <c r="C111" s="497"/>
      <c r="D111" s="497"/>
      <c r="E111" s="497"/>
      <c r="F111" s="497"/>
      <c r="G111" s="497"/>
      <c r="H111" s="497"/>
      <c r="I111" s="497"/>
      <c r="J111" s="497"/>
      <c r="K111" s="497"/>
      <c r="L111" s="497"/>
      <c r="M111" s="497"/>
      <c r="N111" s="497"/>
      <c r="O111" s="497"/>
      <c r="P111" s="497"/>
      <c r="Q111" s="497"/>
      <c r="R111" s="497"/>
      <c r="S111" s="497"/>
      <c r="T111" s="497"/>
      <c r="U111" s="497"/>
      <c r="V111" s="497"/>
      <c r="W111" s="497"/>
      <c r="X111" s="497"/>
      <c r="Y111" s="497"/>
      <c r="Z111" s="497"/>
      <c r="AA111" s="303"/>
      <c r="AB111" s="303"/>
      <c r="AC111" s="303"/>
      <c r="AD111" s="303"/>
      <c r="AE111" s="303"/>
      <c r="AF111" s="303"/>
      <c r="AG111" s="303"/>
      <c r="AH111" s="303"/>
      <c r="AI111" s="303"/>
      <c r="AJ111" s="303"/>
      <c r="AK111" s="303"/>
      <c r="AL111" s="303"/>
      <c r="AM111" s="303"/>
      <c r="AN111" s="303"/>
      <c r="AO111" s="303"/>
      <c r="AP111" s="303"/>
      <c r="AQ111" s="303"/>
      <c r="AR111" s="303"/>
      <c r="AS111" s="303"/>
      <c r="AT111" s="303"/>
      <c r="AU111" s="303"/>
    </row>
    <row r="112" spans="1:47">
      <c r="B112" s="449" t="s">
        <v>95</v>
      </c>
      <c r="C112" s="511"/>
      <c r="D112" s="511"/>
      <c r="E112" s="511"/>
      <c r="F112" s="511"/>
      <c r="G112" s="511"/>
      <c r="H112" s="511"/>
      <c r="I112" s="511"/>
      <c r="J112" s="511"/>
      <c r="K112" s="511"/>
      <c r="L112" s="511"/>
      <c r="M112" s="511"/>
      <c r="N112" s="523">
        <f>K113</f>
        <v>0</v>
      </c>
      <c r="O112" s="511"/>
      <c r="P112" s="511"/>
      <c r="Q112" s="523">
        <f>N113</f>
        <v>0</v>
      </c>
      <c r="R112" s="511"/>
      <c r="S112" s="511"/>
      <c r="T112" s="523">
        <f>Q113</f>
        <v>0</v>
      </c>
      <c r="U112" s="511"/>
      <c r="V112" s="511"/>
      <c r="W112" s="523">
        <f>T113</f>
        <v>3.8449999999999998</v>
      </c>
      <c r="X112" s="523">
        <f>W113</f>
        <v>2.488</v>
      </c>
      <c r="Y112" s="511"/>
      <c r="Z112" s="523">
        <f>W113</f>
        <v>2.488</v>
      </c>
      <c r="AA112" s="434">
        <f>X113</f>
        <v>0</v>
      </c>
      <c r="AB112" s="295"/>
      <c r="AC112" s="434">
        <f>Z113</f>
        <v>0.7</v>
      </c>
      <c r="AD112" s="434">
        <f>AA113</f>
        <v>0.4</v>
      </c>
      <c r="AE112" s="295"/>
      <c r="AF112" s="434">
        <f>AC113</f>
        <v>0</v>
      </c>
      <c r="AG112" s="434">
        <f>AD113</f>
        <v>0</v>
      </c>
      <c r="AH112" s="295"/>
      <c r="AI112" s="434">
        <f>AF113</f>
        <v>0</v>
      </c>
      <c r="AJ112" s="434">
        <f>AG113</f>
        <v>0</v>
      </c>
      <c r="AK112" s="295"/>
      <c r="AL112" s="434">
        <f>AI113</f>
        <v>0</v>
      </c>
      <c r="AM112" s="434">
        <f>AJ113</f>
        <v>0</v>
      </c>
      <c r="AN112" s="295"/>
      <c r="AO112" s="434">
        <f>AL113</f>
        <v>149.19999999999999</v>
      </c>
      <c r="AP112" s="434">
        <f>AM113</f>
        <v>136.9</v>
      </c>
      <c r="AQ112" s="295"/>
      <c r="AR112" s="434">
        <f>AO113</f>
        <v>53.1</v>
      </c>
      <c r="AS112" s="434">
        <f>AR113</f>
        <v>65</v>
      </c>
      <c r="AT112" s="434">
        <f>AS113</f>
        <v>2105.5314199984577</v>
      </c>
      <c r="AU112" s="434">
        <f t="shared" ref="AU112" si="219">AT113</f>
        <v>2008.4494826911812</v>
      </c>
    </row>
    <row r="113" spans="1:47">
      <c r="A113" s="290" t="s">
        <v>552</v>
      </c>
      <c r="B113" s="449" t="s">
        <v>96</v>
      </c>
      <c r="C113" s="511"/>
      <c r="D113" s="511"/>
      <c r="E113" s="511"/>
      <c r="F113" s="511"/>
      <c r="G113" s="511"/>
      <c r="H113" s="511"/>
      <c r="I113" s="511"/>
      <c r="J113" s="511"/>
      <c r="K113" s="511"/>
      <c r="L113" s="511"/>
      <c r="M113" s="511"/>
      <c r="N113" s="523">
        <f>N177+N185</f>
        <v>0</v>
      </c>
      <c r="O113" s="511"/>
      <c r="P113" s="511"/>
      <c r="Q113" s="523">
        <f>Q177+Q185</f>
        <v>0</v>
      </c>
      <c r="R113" s="511"/>
      <c r="S113" s="511"/>
      <c r="T113" s="523">
        <f>T177+T185</f>
        <v>3.8449999999999998</v>
      </c>
      <c r="U113" s="511"/>
      <c r="V113" s="511"/>
      <c r="W113" s="523">
        <f>W177+W185</f>
        <v>2.488</v>
      </c>
      <c r="X113" s="523">
        <f>X177+X185</f>
        <v>0</v>
      </c>
      <c r="Y113" s="511"/>
      <c r="Z113" s="523">
        <f>Z177+Z185</f>
        <v>0.7</v>
      </c>
      <c r="AA113" s="434">
        <f>AA177+AA185</f>
        <v>0.4</v>
      </c>
      <c r="AB113" s="295"/>
      <c r="AC113" s="434">
        <f>AC177+AC185</f>
        <v>0</v>
      </c>
      <c r="AD113" s="434">
        <f>AD177+AD185</f>
        <v>0</v>
      </c>
      <c r="AE113" s="295"/>
      <c r="AF113" s="434">
        <f>AF177+AF185</f>
        <v>0</v>
      </c>
      <c r="AG113" s="434">
        <f>AG177+AG185</f>
        <v>0</v>
      </c>
      <c r="AH113" s="295"/>
      <c r="AI113" s="434">
        <f>AI177+AI185</f>
        <v>0</v>
      </c>
      <c r="AJ113" s="434">
        <f>AJ177+AJ185</f>
        <v>0</v>
      </c>
      <c r="AK113" s="295"/>
      <c r="AL113" s="434">
        <f>AL177+AL185</f>
        <v>149.19999999999999</v>
      </c>
      <c r="AM113" s="434">
        <f>AM177+AM185</f>
        <v>136.9</v>
      </c>
      <c r="AN113" s="295"/>
      <c r="AO113" s="434">
        <f>AO177+AO185</f>
        <v>53.1</v>
      </c>
      <c r="AP113" s="434">
        <f>AP177+AP185</f>
        <v>30</v>
      </c>
      <c r="AQ113" s="295"/>
      <c r="AR113" s="434">
        <f>AR177+AR185</f>
        <v>65</v>
      </c>
      <c r="AS113" s="434">
        <f>AS177+AS185</f>
        <v>2105.5314199984577</v>
      </c>
      <c r="AT113" s="434">
        <f>AT177+AT185</f>
        <v>2008.4494826911812</v>
      </c>
      <c r="AU113" s="434">
        <f t="shared" ref="AU113" si="220">AU177+AU185</f>
        <v>1879.9068224699292</v>
      </c>
    </row>
    <row r="114" spans="1:47">
      <c r="B114" s="449" t="s">
        <v>97</v>
      </c>
      <c r="C114" s="511"/>
      <c r="D114" s="511"/>
      <c r="E114" s="511"/>
      <c r="F114" s="511"/>
      <c r="G114" s="511"/>
      <c r="H114" s="511"/>
      <c r="I114" s="511"/>
      <c r="J114" s="511"/>
      <c r="K114" s="511"/>
      <c r="L114" s="511"/>
      <c r="M114" s="511"/>
      <c r="N114" s="523">
        <f>AVERAGE(N112:N113)</f>
        <v>0</v>
      </c>
      <c r="O114" s="511"/>
      <c r="P114" s="511"/>
      <c r="Q114" s="523">
        <f>AVERAGE(Q112:Q113)</f>
        <v>0</v>
      </c>
      <c r="R114" s="511"/>
      <c r="S114" s="511"/>
      <c r="T114" s="523">
        <f>AVERAGE(T112:T113)</f>
        <v>1.9224999999999999</v>
      </c>
      <c r="U114" s="511"/>
      <c r="V114" s="511"/>
      <c r="W114" s="523">
        <f>AVERAGE(W112:W113)</f>
        <v>3.1665000000000001</v>
      </c>
      <c r="X114" s="523">
        <f>AVERAGE(X112:X113)</f>
        <v>1.244</v>
      </c>
      <c r="Y114" s="511"/>
      <c r="Z114" s="523">
        <f>AVERAGE(Z112:Z113)</f>
        <v>1.5939999999999999</v>
      </c>
      <c r="AA114" s="434">
        <f>AVERAGE(AA112:AA113)</f>
        <v>0.2</v>
      </c>
      <c r="AB114" s="295"/>
      <c r="AC114" s="434">
        <f>AVERAGE(AC112:AC113)</f>
        <v>0.35</v>
      </c>
      <c r="AD114" s="434">
        <f>AVERAGE(AD112:AD113)</f>
        <v>0.2</v>
      </c>
      <c r="AE114" s="295"/>
      <c r="AF114" s="434">
        <f>AVERAGE(AF112:AF113)</f>
        <v>0</v>
      </c>
      <c r="AG114" s="434">
        <f>AVERAGE(AG112:AG113)</f>
        <v>0</v>
      </c>
      <c r="AH114" s="295"/>
      <c r="AI114" s="434">
        <f>AVERAGE(AI112:AI113)</f>
        <v>0</v>
      </c>
      <c r="AJ114" s="434">
        <f>AVERAGE(AJ112:AJ113)</f>
        <v>0</v>
      </c>
      <c r="AK114" s="295"/>
      <c r="AL114" s="434">
        <f>AVERAGE(AL112:AL113)</f>
        <v>74.599999999999994</v>
      </c>
      <c r="AM114" s="434">
        <f>AVERAGE(AM112:AM113)</f>
        <v>68.45</v>
      </c>
      <c r="AN114" s="295"/>
      <c r="AO114" s="434">
        <f>AVERAGE(AO112:AO113)</f>
        <v>101.14999999999999</v>
      </c>
      <c r="AP114" s="434">
        <f>AVERAGE(AP112:AP113)</f>
        <v>83.45</v>
      </c>
      <c r="AQ114" s="295"/>
      <c r="AR114" s="434">
        <f>AVERAGE(AR112:AR113)</f>
        <v>59.05</v>
      </c>
      <c r="AS114" s="434">
        <f>AVERAGE(AS112:AS113)</f>
        <v>1085.2657099992289</v>
      </c>
      <c r="AT114" s="434">
        <f>AVERAGE(AT112:AT113)</f>
        <v>2056.9904513448196</v>
      </c>
      <c r="AU114" s="434">
        <f t="shared" ref="AU114" si="221">AVERAGE(AU112:AU113)</f>
        <v>1944.1781525805552</v>
      </c>
    </row>
    <row r="115" spans="1:47">
      <c r="B115" s="409" t="s">
        <v>98</v>
      </c>
      <c r="C115" s="526"/>
      <c r="D115" s="511"/>
      <c r="E115" s="514"/>
      <c r="F115" s="514"/>
      <c r="G115" s="514"/>
      <c r="H115" s="514"/>
      <c r="I115" s="514"/>
      <c r="J115" s="514"/>
      <c r="K115" s="514"/>
      <c r="L115" s="514"/>
      <c r="M115" s="514"/>
      <c r="N115" s="514">
        <v>0.85199999999999998</v>
      </c>
      <c r="O115" s="514"/>
      <c r="P115" s="514"/>
      <c r="Q115" s="514">
        <v>2.4420000000000002</v>
      </c>
      <c r="R115" s="514"/>
      <c r="S115" s="514"/>
      <c r="T115" s="514">
        <v>1.8959999999999999</v>
      </c>
      <c r="U115" s="514"/>
      <c r="V115" s="514"/>
      <c r="W115" s="514">
        <v>2.6760000000000002</v>
      </c>
      <c r="X115" s="565">
        <v>3.2</v>
      </c>
      <c r="Y115" s="514"/>
      <c r="Z115" s="514">
        <v>5.7119999999999997</v>
      </c>
      <c r="AA115" s="312">
        <v>5</v>
      </c>
      <c r="AB115" s="312"/>
      <c r="AC115" s="312"/>
      <c r="AD115" s="312"/>
      <c r="AE115" s="312"/>
      <c r="AF115" s="312"/>
      <c r="AG115" s="312"/>
      <c r="AH115" s="295"/>
      <c r="AI115" s="312"/>
      <c r="AJ115" s="312"/>
      <c r="AK115" s="312"/>
      <c r="AL115" s="312">
        <v>4.8</v>
      </c>
      <c r="AM115" s="312">
        <v>6.9</v>
      </c>
      <c r="AN115" s="434">
        <f>+AO115-AM115</f>
        <v>4.1999999999999993</v>
      </c>
      <c r="AO115" s="312">
        <v>11.1</v>
      </c>
      <c r="AP115" s="312">
        <v>3.2</v>
      </c>
      <c r="AQ115" s="434">
        <f>+AR115-AP115</f>
        <v>4.0999999999999996</v>
      </c>
      <c r="AR115" s="312">
        <v>7.3</v>
      </c>
      <c r="AS115" s="434">
        <f>AS114*AS116</f>
        <v>97.673913899930596</v>
      </c>
      <c r="AT115" s="434">
        <f>AT114*AT116</f>
        <v>102.84952256724098</v>
      </c>
      <c r="AU115" s="434">
        <f t="shared" ref="AU115" si="222">AU114*AU116</f>
        <v>97.208907629027763</v>
      </c>
    </row>
    <row r="116" spans="1:47">
      <c r="B116" s="409" t="s">
        <v>59</v>
      </c>
      <c r="C116" s="536"/>
      <c r="D116" s="566"/>
      <c r="E116" s="566"/>
      <c r="F116" s="566"/>
      <c r="G116" s="566"/>
      <c r="H116" s="566"/>
      <c r="I116" s="566"/>
      <c r="J116" s="566"/>
      <c r="K116" s="566"/>
      <c r="L116" s="567">
        <v>0.05</v>
      </c>
      <c r="M116" s="567">
        <v>0.05</v>
      </c>
      <c r="N116" s="568" t="e">
        <f>N115/N114</f>
        <v>#DIV/0!</v>
      </c>
      <c r="O116" s="567">
        <v>0.05</v>
      </c>
      <c r="P116" s="567">
        <v>0.05</v>
      </c>
      <c r="Q116" s="568" t="e">
        <f>Q115/Q114</f>
        <v>#DIV/0!</v>
      </c>
      <c r="R116" s="567">
        <v>0.05</v>
      </c>
      <c r="S116" s="567">
        <v>0.05</v>
      </c>
      <c r="T116" s="568">
        <f>T115/T114</f>
        <v>0.9862158647594278</v>
      </c>
      <c r="U116" s="566"/>
      <c r="V116" s="566"/>
      <c r="W116" s="568">
        <f>W115/W114</f>
        <v>0.8450971103742303</v>
      </c>
      <c r="X116" s="568">
        <f>+X115/X114*2</f>
        <v>5.144694533762058</v>
      </c>
      <c r="Y116" s="567">
        <v>0.05</v>
      </c>
      <c r="Z116" s="568">
        <f>Z115/Z114</f>
        <v>3.5834378920953576</v>
      </c>
      <c r="AA116" s="452">
        <f>AA115/AA114*2</f>
        <v>50</v>
      </c>
      <c r="AB116" s="451"/>
      <c r="AC116" s="364">
        <f>AC115/AC114</f>
        <v>0</v>
      </c>
      <c r="AD116" s="452">
        <f>AD115/AD114*2</f>
        <v>0</v>
      </c>
      <c r="AE116" s="451"/>
      <c r="AF116" s="452" t="e">
        <f>AF115/AF114</f>
        <v>#DIV/0!</v>
      </c>
      <c r="AG116" s="452" t="e">
        <f>AG115/AG114*2</f>
        <v>#DIV/0!</v>
      </c>
      <c r="AH116" s="453">
        <v>4.4999999999999998E-2</v>
      </c>
      <c r="AI116" s="452" t="e">
        <f>AI115/AI114</f>
        <v>#DIV/0!</v>
      </c>
      <c r="AJ116" s="452" t="e">
        <f>AJ115/AJ114*2</f>
        <v>#DIV/0!</v>
      </c>
      <c r="AK116" s="451"/>
      <c r="AL116" s="452">
        <f>AL115/AL114</f>
        <v>6.4343163538873996E-2</v>
      </c>
      <c r="AM116" s="452">
        <f>AM115/AM114*2</f>
        <v>0.20160701241782322</v>
      </c>
      <c r="AN116" s="454"/>
      <c r="AO116" s="452">
        <f>AO115/AO114</f>
        <v>0.10973801285219971</v>
      </c>
      <c r="AP116" s="452">
        <f>AP115/AP114*2</f>
        <v>7.6692630317555424E-2</v>
      </c>
      <c r="AQ116" s="454"/>
      <c r="AR116" s="452">
        <f>AR115/AR114</f>
        <v>0.12362404741744284</v>
      </c>
      <c r="AS116" s="455">
        <v>0.09</v>
      </c>
      <c r="AT116" s="455">
        <v>0.05</v>
      </c>
      <c r="AU116" s="455">
        <v>0.05</v>
      </c>
    </row>
    <row r="117" spans="1:47">
      <c r="B117" s="409"/>
      <c r="C117" s="511"/>
      <c r="D117" s="511"/>
      <c r="E117" s="511"/>
      <c r="F117" s="511"/>
      <c r="G117" s="511"/>
      <c r="H117" s="511"/>
      <c r="I117" s="511"/>
      <c r="J117" s="511"/>
      <c r="K117" s="511"/>
      <c r="L117" s="511"/>
      <c r="M117" s="511"/>
      <c r="N117" s="569"/>
      <c r="O117" s="511"/>
      <c r="P117" s="511"/>
      <c r="Q117" s="511"/>
      <c r="R117" s="511"/>
      <c r="S117" s="511"/>
      <c r="T117" s="511"/>
      <c r="U117" s="511"/>
      <c r="V117" s="511"/>
      <c r="W117" s="511"/>
      <c r="X117" s="511"/>
      <c r="Y117" s="511"/>
      <c r="Z117" s="511"/>
      <c r="AA117" s="295"/>
      <c r="AB117" s="295"/>
      <c r="AC117" s="295"/>
      <c r="AD117" s="295"/>
      <c r="AE117" s="295"/>
      <c r="AF117" s="295"/>
      <c r="AG117" s="295"/>
      <c r="AH117" s="295"/>
      <c r="AI117" s="295"/>
      <c r="AJ117" s="295"/>
      <c r="AK117" s="295"/>
      <c r="AL117" s="295"/>
      <c r="AM117" s="295"/>
      <c r="AN117" s="295"/>
      <c r="AO117" s="295"/>
      <c r="AP117" s="295"/>
      <c r="AQ117" s="295"/>
      <c r="AR117" s="295"/>
      <c r="AS117" s="295"/>
      <c r="AT117" s="295"/>
      <c r="AU117" s="295"/>
    </row>
    <row r="118" spans="1:47">
      <c r="B118" s="449" t="s">
        <v>99</v>
      </c>
      <c r="C118" s="511"/>
      <c r="D118" s="511"/>
      <c r="E118" s="511"/>
      <c r="F118" s="511"/>
      <c r="G118" s="511"/>
      <c r="H118" s="511"/>
      <c r="I118" s="511"/>
      <c r="J118" s="511"/>
      <c r="K118" s="511"/>
      <c r="L118" s="511"/>
      <c r="M118" s="511"/>
      <c r="N118" s="523">
        <f>K119</f>
        <v>0</v>
      </c>
      <c r="O118" s="511"/>
      <c r="P118" s="511"/>
      <c r="Q118" s="523">
        <f>N119</f>
        <v>0</v>
      </c>
      <c r="R118" s="511"/>
      <c r="S118" s="511"/>
      <c r="T118" s="523">
        <f>Q119</f>
        <v>0</v>
      </c>
      <c r="U118" s="511"/>
      <c r="V118" s="511"/>
      <c r="W118" s="523">
        <f>T119</f>
        <v>101.60299999999999</v>
      </c>
      <c r="X118" s="523">
        <f>W119</f>
        <v>121.824</v>
      </c>
      <c r="Y118" s="511"/>
      <c r="Z118" s="523">
        <f>W119</f>
        <v>121.824</v>
      </c>
      <c r="AA118" s="434">
        <f>X119</f>
        <v>0</v>
      </c>
      <c r="AB118" s="295"/>
      <c r="AC118" s="434">
        <f>Z119</f>
        <v>260.10000000000002</v>
      </c>
      <c r="AD118" s="434">
        <f>AA119</f>
        <v>160</v>
      </c>
      <c r="AE118" s="295"/>
      <c r="AF118" s="434">
        <f>AC119</f>
        <v>153.80000000000001</v>
      </c>
      <c r="AG118" s="434">
        <f>AD119</f>
        <v>189.3</v>
      </c>
      <c r="AH118" s="295"/>
      <c r="AI118" s="434">
        <f>AF119</f>
        <v>237</v>
      </c>
      <c r="AJ118" s="434">
        <f>AG119</f>
        <v>276</v>
      </c>
      <c r="AK118" s="295"/>
      <c r="AL118" s="434">
        <f>AI119</f>
        <v>332.8</v>
      </c>
      <c r="AM118" s="434">
        <f>AJ119</f>
        <v>332</v>
      </c>
      <c r="AN118" s="295"/>
      <c r="AO118" s="434">
        <f>AL119</f>
        <v>94.8</v>
      </c>
      <c r="AP118" s="434">
        <f>AM119</f>
        <v>99.2</v>
      </c>
      <c r="AQ118" s="295"/>
      <c r="AR118" s="434">
        <f>AO119</f>
        <v>80.7</v>
      </c>
      <c r="AS118" s="434">
        <f>AR119</f>
        <v>167.4</v>
      </c>
      <c r="AT118" s="434">
        <f>AS119</f>
        <v>167.4</v>
      </c>
      <c r="AU118" s="434">
        <f t="shared" ref="AU118" si="223">AT119</f>
        <v>167.4</v>
      </c>
    </row>
    <row r="119" spans="1:47">
      <c r="B119" s="449" t="s">
        <v>100</v>
      </c>
      <c r="C119" s="511"/>
      <c r="D119" s="511"/>
      <c r="E119" s="511"/>
      <c r="F119" s="511"/>
      <c r="G119" s="511"/>
      <c r="H119" s="511"/>
      <c r="I119" s="511"/>
      <c r="J119" s="511"/>
      <c r="K119" s="511"/>
      <c r="L119" s="511"/>
      <c r="M119" s="511"/>
      <c r="N119" s="523">
        <f>N144</f>
        <v>0</v>
      </c>
      <c r="O119" s="511"/>
      <c r="P119" s="511"/>
      <c r="Q119" s="523">
        <f>Q144</f>
        <v>0</v>
      </c>
      <c r="R119" s="511"/>
      <c r="S119" s="511"/>
      <c r="T119" s="523">
        <f>T144</f>
        <v>101.60299999999999</v>
      </c>
      <c r="U119" s="511"/>
      <c r="V119" s="511"/>
      <c r="W119" s="523">
        <f>W144</f>
        <v>121.824</v>
      </c>
      <c r="X119" s="523">
        <f>X144</f>
        <v>0</v>
      </c>
      <c r="Y119" s="511"/>
      <c r="Z119" s="523">
        <f>Z144</f>
        <v>260.10000000000002</v>
      </c>
      <c r="AA119" s="434">
        <f>AA144</f>
        <v>160</v>
      </c>
      <c r="AB119" s="295"/>
      <c r="AC119" s="434">
        <f>AC144</f>
        <v>153.80000000000001</v>
      </c>
      <c r="AD119" s="434">
        <f>AD144</f>
        <v>189.3</v>
      </c>
      <c r="AE119" s="295"/>
      <c r="AF119" s="434">
        <f>AF144</f>
        <v>237</v>
      </c>
      <c r="AG119" s="434">
        <f>AG144</f>
        <v>276</v>
      </c>
      <c r="AH119" s="295"/>
      <c r="AI119" s="434">
        <f>AI144</f>
        <v>332.8</v>
      </c>
      <c r="AJ119" s="434">
        <f>AJ144</f>
        <v>332</v>
      </c>
      <c r="AK119" s="295"/>
      <c r="AL119" s="434">
        <f>AL144</f>
        <v>94.8</v>
      </c>
      <c r="AM119" s="434">
        <f>AM144</f>
        <v>99.2</v>
      </c>
      <c r="AN119" s="295"/>
      <c r="AO119" s="434">
        <f>AO144</f>
        <v>80.7</v>
      </c>
      <c r="AP119" s="434">
        <f>AP144</f>
        <v>103</v>
      </c>
      <c r="AQ119" s="295"/>
      <c r="AR119" s="434">
        <f>AR144</f>
        <v>167.4</v>
      </c>
      <c r="AS119" s="434">
        <f>AS144</f>
        <v>167.4</v>
      </c>
      <c r="AT119" s="434">
        <f>AT144</f>
        <v>167.4</v>
      </c>
      <c r="AU119" s="434">
        <f t="shared" ref="AU119" si="224">AU144</f>
        <v>167.4</v>
      </c>
    </row>
    <row r="120" spans="1:47">
      <c r="B120" s="449" t="s">
        <v>101</v>
      </c>
      <c r="C120" s="511"/>
      <c r="D120" s="511"/>
      <c r="E120" s="511"/>
      <c r="F120" s="511"/>
      <c r="G120" s="511"/>
      <c r="H120" s="511"/>
      <c r="I120" s="511"/>
      <c r="J120" s="511"/>
      <c r="K120" s="511"/>
      <c r="L120" s="511"/>
      <c r="M120" s="511"/>
      <c r="N120" s="523">
        <f>AVERAGE(N118:N119)</f>
        <v>0</v>
      </c>
      <c r="O120" s="511"/>
      <c r="P120" s="511"/>
      <c r="Q120" s="523">
        <f>AVERAGE(Q118:Q119)</f>
        <v>0</v>
      </c>
      <c r="R120" s="511"/>
      <c r="S120" s="511"/>
      <c r="T120" s="523">
        <f>AVERAGE(T118:T119)</f>
        <v>50.801499999999997</v>
      </c>
      <c r="U120" s="511"/>
      <c r="V120" s="511"/>
      <c r="W120" s="523">
        <f>AVERAGE(W118:W119)</f>
        <v>111.7135</v>
      </c>
      <c r="X120" s="523">
        <f>AVERAGE(X118:X119)</f>
        <v>60.911999999999999</v>
      </c>
      <c r="Y120" s="511"/>
      <c r="Z120" s="523">
        <f>AVERAGE(Z118:Z119)</f>
        <v>190.96200000000002</v>
      </c>
      <c r="AA120" s="434">
        <f>AVERAGE(AA118:AA119)</f>
        <v>80</v>
      </c>
      <c r="AB120" s="295"/>
      <c r="AC120" s="434">
        <f>AVERAGE(AC118:AC119)</f>
        <v>206.95000000000002</v>
      </c>
      <c r="AD120" s="434">
        <f>AVERAGE(AD118:AD119)</f>
        <v>174.65</v>
      </c>
      <c r="AE120" s="295"/>
      <c r="AF120" s="434">
        <f>AVERAGE(AF118:AF119)</f>
        <v>195.4</v>
      </c>
      <c r="AG120" s="434">
        <f>AVERAGE(AG118:AG119)</f>
        <v>232.65</v>
      </c>
      <c r="AH120" s="295"/>
      <c r="AI120" s="434">
        <f>AVERAGE(AI118:AI119)</f>
        <v>284.89999999999998</v>
      </c>
      <c r="AJ120" s="434">
        <f>AVERAGE(AJ118:AJ119)</f>
        <v>304</v>
      </c>
      <c r="AK120" s="295"/>
      <c r="AL120" s="434">
        <f>AVERAGE(AL118:AL119)</f>
        <v>213.8</v>
      </c>
      <c r="AM120" s="434">
        <f>AVERAGE(AM118:AM119)</f>
        <v>215.6</v>
      </c>
      <c r="AN120" s="295"/>
      <c r="AO120" s="434">
        <f>AVERAGE(AO118:AO119)</f>
        <v>87.75</v>
      </c>
      <c r="AP120" s="434">
        <f>AVERAGE(AP118:AP119)</f>
        <v>101.1</v>
      </c>
      <c r="AQ120" s="295"/>
      <c r="AR120" s="434">
        <f>AVERAGE(AR118:AR119)</f>
        <v>124.05000000000001</v>
      </c>
      <c r="AS120" s="434">
        <f>AVERAGE(AS118:AS119)</f>
        <v>167.4</v>
      </c>
      <c r="AT120" s="434">
        <f>AVERAGE(AT118:AT119)</f>
        <v>167.4</v>
      </c>
      <c r="AU120" s="434">
        <f t="shared" ref="AU120" si="225">AVERAGE(AU118:AU119)</f>
        <v>167.4</v>
      </c>
    </row>
    <row r="121" spans="1:47">
      <c r="B121" s="409" t="s">
        <v>102</v>
      </c>
      <c r="C121" s="511"/>
      <c r="D121" s="511"/>
      <c r="E121" s="511"/>
      <c r="F121" s="511"/>
      <c r="G121" s="511"/>
      <c r="H121" s="511"/>
      <c r="I121" s="511"/>
      <c r="J121" s="511"/>
      <c r="K121" s="511"/>
      <c r="L121" s="511"/>
      <c r="M121" s="511"/>
      <c r="N121" s="514">
        <v>0.95799999999999996</v>
      </c>
      <c r="O121" s="514"/>
      <c r="P121" s="514"/>
      <c r="Q121" s="514">
        <v>1.2549999999999999</v>
      </c>
      <c r="R121" s="514"/>
      <c r="S121" s="514"/>
      <c r="T121" s="514">
        <v>4.6269999999999998</v>
      </c>
      <c r="U121" s="514"/>
      <c r="V121" s="514"/>
      <c r="W121" s="514">
        <v>1.4510000000000001</v>
      </c>
      <c r="X121" s="565">
        <v>0.3</v>
      </c>
      <c r="Y121" s="514"/>
      <c r="Z121" s="514">
        <v>2.6760000000000002</v>
      </c>
      <c r="AA121" s="312">
        <v>2</v>
      </c>
      <c r="AB121" s="312"/>
      <c r="AC121" s="312"/>
      <c r="AD121" s="312"/>
      <c r="AE121" s="312"/>
      <c r="AF121" s="312"/>
      <c r="AG121" s="312"/>
      <c r="AH121" s="295"/>
      <c r="AI121" s="312"/>
      <c r="AJ121" s="312"/>
      <c r="AK121" s="312"/>
      <c r="AL121" s="312">
        <v>5.2</v>
      </c>
      <c r="AM121" s="312">
        <v>1</v>
      </c>
      <c r="AN121" s="434">
        <f>+AO121-AM121</f>
        <v>0.7</v>
      </c>
      <c r="AO121" s="312">
        <v>1.7</v>
      </c>
      <c r="AP121" s="312">
        <v>1.4</v>
      </c>
      <c r="AQ121" s="434">
        <f>+AR121-AP121</f>
        <v>2.4</v>
      </c>
      <c r="AR121" s="312">
        <v>3.8</v>
      </c>
      <c r="AS121" s="434">
        <f>AS120*AS122</f>
        <v>3.3480000000000003</v>
      </c>
      <c r="AT121" s="434">
        <f>AT120*AT122</f>
        <v>3.3480000000000003</v>
      </c>
      <c r="AU121" s="434">
        <f t="shared" ref="AU121" si="226">AU120*AU122</f>
        <v>3.3480000000000003</v>
      </c>
    </row>
    <row r="122" spans="1:47">
      <c r="B122" s="409" t="s">
        <v>59</v>
      </c>
      <c r="C122" s="570"/>
      <c r="D122" s="566"/>
      <c r="E122" s="566"/>
      <c r="F122" s="566"/>
      <c r="G122" s="566"/>
      <c r="H122" s="566"/>
      <c r="I122" s="566"/>
      <c r="J122" s="566"/>
      <c r="K122" s="566"/>
      <c r="L122" s="567">
        <v>0.01</v>
      </c>
      <c r="M122" s="567">
        <v>0.01</v>
      </c>
      <c r="N122" s="571" t="e">
        <f>+N121/N120</f>
        <v>#DIV/0!</v>
      </c>
      <c r="O122" s="567">
        <v>0.01</v>
      </c>
      <c r="P122" s="567">
        <v>0.01</v>
      </c>
      <c r="Q122" s="571" t="e">
        <f>+Q121/Q120</f>
        <v>#DIV/0!</v>
      </c>
      <c r="R122" s="567">
        <v>0.01</v>
      </c>
      <c r="S122" s="567">
        <v>0.01</v>
      </c>
      <c r="T122" s="571">
        <f>+T121/T120</f>
        <v>9.1079987795635961E-2</v>
      </c>
      <c r="U122" s="566"/>
      <c r="V122" s="566"/>
      <c r="W122" s="571">
        <f>+W121/W120</f>
        <v>1.2988582400515605E-2</v>
      </c>
      <c r="X122" s="571">
        <f>+X121/X120*2</f>
        <v>9.8502758077226166E-3</v>
      </c>
      <c r="Y122" s="566"/>
      <c r="Z122" s="571">
        <f>+Z121/Z120</f>
        <v>1.4013259182455148E-2</v>
      </c>
      <c r="AA122" s="457">
        <f>+AA121/AA120*2</f>
        <v>0.05</v>
      </c>
      <c r="AB122" s="424"/>
      <c r="AC122" s="457">
        <f>+AC121/AC120</f>
        <v>0</v>
      </c>
      <c r="AD122" s="457">
        <f>+AD121/AD120*2</f>
        <v>0</v>
      </c>
      <c r="AE122" s="424"/>
      <c r="AF122" s="457">
        <f>+AF121/AF120</f>
        <v>0</v>
      </c>
      <c r="AG122" s="457">
        <f>+AG121/AG120*2</f>
        <v>0</v>
      </c>
      <c r="AH122" s="424"/>
      <c r="AI122" s="457">
        <f>+AI121/AI120</f>
        <v>0</v>
      </c>
      <c r="AJ122" s="457">
        <f>+AJ121/AJ120*2</f>
        <v>0</v>
      </c>
      <c r="AK122" s="424"/>
      <c r="AL122" s="457">
        <f>+AL121/AL120</f>
        <v>2.4321796071094481E-2</v>
      </c>
      <c r="AM122" s="457">
        <f>+AM121/AM120*2</f>
        <v>9.2764378478664197E-3</v>
      </c>
      <c r="AN122" s="450"/>
      <c r="AO122" s="457">
        <f>+AO121/AO120</f>
        <v>1.9373219373219373E-2</v>
      </c>
      <c r="AP122" s="457">
        <f>+AP121/AP120*2</f>
        <v>2.7695351137487636E-2</v>
      </c>
      <c r="AQ122" s="450"/>
      <c r="AR122" s="457">
        <f>+AR121/AR120</f>
        <v>3.0632809351068113E-2</v>
      </c>
      <c r="AS122" s="453">
        <v>0.02</v>
      </c>
      <c r="AT122" s="453">
        <v>0.02</v>
      </c>
      <c r="AU122" s="453">
        <v>0.02</v>
      </c>
    </row>
    <row r="123" spans="1:47">
      <c r="B123" s="409" t="s">
        <v>103</v>
      </c>
      <c r="C123" s="511"/>
      <c r="D123" s="511"/>
      <c r="E123" s="511"/>
      <c r="F123" s="511"/>
      <c r="G123" s="511"/>
      <c r="H123" s="511"/>
      <c r="I123" s="511"/>
      <c r="J123" s="511"/>
      <c r="K123" s="511"/>
      <c r="L123" s="511"/>
      <c r="M123" s="511"/>
      <c r="N123" s="523">
        <f>N115-N121</f>
        <v>-0.10599999999999998</v>
      </c>
      <c r="O123" s="511"/>
      <c r="P123" s="511"/>
      <c r="Q123" s="523">
        <f>Q33</f>
        <v>-0.3</v>
      </c>
      <c r="R123" s="511"/>
      <c r="S123" s="511"/>
      <c r="T123" s="523">
        <f>T33</f>
        <v>-2.7</v>
      </c>
      <c r="U123" s="511"/>
      <c r="V123" s="511"/>
      <c r="W123" s="523">
        <f>W33</f>
        <v>1.2</v>
      </c>
      <c r="X123" s="523">
        <f>X33</f>
        <v>0.89999999999999991</v>
      </c>
      <c r="Y123" s="523">
        <f>+Z123-X123</f>
        <v>4.5</v>
      </c>
      <c r="Z123" s="523">
        <f>Z33</f>
        <v>5.4</v>
      </c>
      <c r="AA123" s="434">
        <f>AA115-AA121</f>
        <v>3</v>
      </c>
      <c r="AB123" s="295"/>
      <c r="AC123" s="434">
        <f>AC33</f>
        <v>6.4</v>
      </c>
      <c r="AD123" s="434">
        <f>AD33</f>
        <v>0.9</v>
      </c>
      <c r="AE123" s="295"/>
      <c r="AF123" s="434">
        <f>AF33</f>
        <v>3.1</v>
      </c>
      <c r="AG123" s="434">
        <f>AG33</f>
        <v>1.4</v>
      </c>
      <c r="AH123" s="295"/>
      <c r="AI123" s="434">
        <f>AI33</f>
        <v>2</v>
      </c>
      <c r="AJ123" s="434">
        <f>AJ33</f>
        <v>-1.7</v>
      </c>
      <c r="AK123" s="295"/>
      <c r="AL123" s="434">
        <f>AL115-AL121</f>
        <v>-0.40000000000000036</v>
      </c>
      <c r="AM123" s="434">
        <f>AM115-AM121</f>
        <v>5.9</v>
      </c>
      <c r="AN123" s="295"/>
      <c r="AO123" s="434">
        <f>AO33</f>
        <v>9.4</v>
      </c>
      <c r="AP123" s="434">
        <f>AP115-AP121</f>
        <v>1.8000000000000003</v>
      </c>
      <c r="AQ123" s="295"/>
      <c r="AR123" s="434">
        <f>AR33</f>
        <v>3.5</v>
      </c>
      <c r="AS123" s="434">
        <f>AS115-AS121</f>
        <v>94.325913899930597</v>
      </c>
      <c r="AT123" s="434">
        <f>AT115-AT121</f>
        <v>99.501522567240983</v>
      </c>
      <c r="AU123" s="434">
        <f t="shared" ref="AU123" si="227">AU115-AU121</f>
        <v>93.860907629027764</v>
      </c>
    </row>
    <row r="124" spans="1:47">
      <c r="B124" s="409" t="s">
        <v>133</v>
      </c>
      <c r="C124" s="511"/>
      <c r="D124" s="511"/>
      <c r="E124" s="511"/>
      <c r="F124" s="511"/>
      <c r="G124" s="511"/>
      <c r="H124" s="511"/>
      <c r="I124" s="511"/>
      <c r="J124" s="511"/>
      <c r="K124" s="511"/>
      <c r="L124" s="511"/>
      <c r="M124" s="511"/>
      <c r="N124" s="511" t="str">
        <f>IF(ABS(N123-N129)&gt;0.05,"ERROR","")</f>
        <v/>
      </c>
      <c r="O124" s="511"/>
      <c r="P124" s="511"/>
      <c r="Q124" s="511" t="str">
        <f>IF(ABS(Q123-Q129)&gt;0.05,"ERROR","")</f>
        <v/>
      </c>
      <c r="R124" s="511"/>
      <c r="S124" s="511"/>
      <c r="T124" s="511" t="str">
        <f>IF(ABS(T123-T129)&gt;0.05,"ERROR","")</f>
        <v/>
      </c>
      <c r="U124" s="511"/>
      <c r="V124" s="511"/>
      <c r="W124" s="511" t="str">
        <f>IF(ABS(W123-W129)&gt;0.05,"ERROR","")</f>
        <v/>
      </c>
      <c r="X124" s="511"/>
      <c r="Y124" s="511"/>
      <c r="Z124" s="511" t="str">
        <f>IF(ABS(Z123-Z129)&gt;0.05,"ERROR","")</f>
        <v/>
      </c>
      <c r="AA124" s="295" t="str">
        <f>IF(ABS(AA123-AA129)&gt;0.05,"ERROR","")</f>
        <v/>
      </c>
      <c r="AB124" s="295"/>
      <c r="AC124" s="295" t="str">
        <f>IF(ABS(AC123-AC129)&gt;0.05,"ERROR","")</f>
        <v/>
      </c>
      <c r="AD124" s="295" t="str">
        <f>IF(ABS(AD123-AD129)&gt;0.05,"ERROR","")</f>
        <v/>
      </c>
      <c r="AE124" s="295"/>
      <c r="AF124" s="295" t="str">
        <f>IF(ABS(AF123-AF129)&gt;0.05,"ERROR","")</f>
        <v/>
      </c>
      <c r="AG124" s="295" t="str">
        <f>IF(ABS(AG123-AG129)&gt;0.05,"ERROR","")</f>
        <v/>
      </c>
      <c r="AH124" s="295"/>
      <c r="AI124" s="295" t="str">
        <f>IF(ABS(AI123-AI129)&gt;0.05,"ERROR","")</f>
        <v/>
      </c>
      <c r="AJ124" s="295"/>
      <c r="AK124" s="295"/>
      <c r="AL124" s="295" t="str">
        <f>IF(ABS(AL123-AL129)&gt;0.05,"ERROR","")</f>
        <v/>
      </c>
      <c r="AM124" s="295"/>
      <c r="AN124" s="295"/>
      <c r="AO124" s="295" t="str">
        <f>IF(ABS(AO123-AO129)&gt;0.05,"ERROR","")</f>
        <v/>
      </c>
      <c r="AP124" s="295" t="str">
        <f>IF(ABS(AP123-AP129)&gt;0.05,"ERROR","")</f>
        <v/>
      </c>
      <c r="AQ124" s="295"/>
      <c r="AR124" s="295" t="str">
        <f>IF(ABS(AR123-AR129)&gt;0.05,"ERROR","")</f>
        <v/>
      </c>
      <c r="AS124" s="295" t="str">
        <f t="shared" ref="AS124:AU124" si="228">IF(ABS(AS123-AS129)&gt;0.05,"ERROR","")</f>
        <v/>
      </c>
      <c r="AT124" s="295" t="str">
        <f t="shared" si="228"/>
        <v/>
      </c>
      <c r="AU124" s="295" t="str">
        <f t="shared" si="228"/>
        <v/>
      </c>
    </row>
    <row r="125" spans="1:47">
      <c r="B125" s="409"/>
      <c r="C125" s="511"/>
      <c r="D125" s="511"/>
      <c r="E125" s="511"/>
      <c r="F125" s="511"/>
      <c r="G125" s="511"/>
      <c r="H125" s="511"/>
      <c r="I125" s="511"/>
      <c r="J125" s="511"/>
      <c r="K125" s="511"/>
      <c r="L125" s="511"/>
      <c r="M125" s="511"/>
      <c r="N125" s="511"/>
      <c r="O125" s="511"/>
      <c r="P125" s="511"/>
      <c r="Q125" s="511"/>
      <c r="R125" s="511"/>
      <c r="S125" s="511"/>
      <c r="T125" s="511"/>
      <c r="U125" s="511"/>
      <c r="V125" s="511"/>
      <c r="W125" s="511"/>
      <c r="X125" s="511"/>
      <c r="Y125" s="511"/>
      <c r="Z125" s="511"/>
      <c r="AA125" s="295"/>
      <c r="AB125" s="295"/>
      <c r="AC125" s="295"/>
      <c r="AD125" s="295"/>
      <c r="AE125" s="295"/>
      <c r="AF125" s="295"/>
      <c r="AG125" s="295"/>
      <c r="AH125" s="295"/>
      <c r="AI125" s="295"/>
      <c r="AJ125" s="295"/>
      <c r="AK125" s="295"/>
      <c r="AL125" s="295"/>
      <c r="AM125" s="295"/>
      <c r="AN125" s="295"/>
      <c r="AO125" s="295"/>
      <c r="AP125" s="295"/>
      <c r="AQ125" s="295"/>
      <c r="AR125" s="295"/>
      <c r="AS125" s="295"/>
      <c r="AT125" s="295"/>
      <c r="AU125" s="295"/>
    </row>
    <row r="126" spans="1:47">
      <c r="B126" s="449" t="s">
        <v>134</v>
      </c>
      <c r="C126" s="511"/>
      <c r="D126" s="511"/>
      <c r="E126" s="511"/>
      <c r="F126" s="511"/>
      <c r="G126" s="511"/>
      <c r="H126" s="511"/>
      <c r="I126" s="511"/>
      <c r="J126" s="511"/>
      <c r="K126" s="511"/>
      <c r="L126" s="511"/>
      <c r="M126" s="511"/>
      <c r="N126" s="523">
        <f>K127</f>
        <v>0</v>
      </c>
      <c r="O126" s="511"/>
      <c r="P126" s="511"/>
      <c r="Q126" s="523">
        <f>N127</f>
        <v>0</v>
      </c>
      <c r="R126" s="511"/>
      <c r="S126" s="511"/>
      <c r="T126" s="523">
        <f>Q127</f>
        <v>-90.376000000000005</v>
      </c>
      <c r="U126" s="511"/>
      <c r="V126" s="511"/>
      <c r="W126" s="523">
        <f>T127</f>
        <v>-97.757999999999996</v>
      </c>
      <c r="X126" s="523">
        <f>+X185-X144</f>
        <v>0</v>
      </c>
      <c r="Y126" s="511"/>
      <c r="Z126" s="523">
        <f>W127</f>
        <v>-119.336</v>
      </c>
      <c r="AA126" s="434">
        <f>X127</f>
        <v>0</v>
      </c>
      <c r="AB126" s="295"/>
      <c r="AC126" s="434">
        <f>Z127</f>
        <v>-258.23600000000005</v>
      </c>
      <c r="AD126" s="434">
        <f>AA127</f>
        <v>-19.299999999999997</v>
      </c>
      <c r="AE126" s="295"/>
      <c r="AF126" s="434">
        <f>AC127</f>
        <v>-153.80000000000001</v>
      </c>
      <c r="AG126" s="434">
        <f>AD127</f>
        <v>-189.3</v>
      </c>
      <c r="AH126" s="295"/>
      <c r="AI126" s="434">
        <f>AF127</f>
        <v>-237</v>
      </c>
      <c r="AJ126" s="434">
        <f>AG127</f>
        <v>-276</v>
      </c>
      <c r="AK126" s="295"/>
      <c r="AL126" s="434">
        <f>AI127</f>
        <v>-332.8</v>
      </c>
      <c r="AM126" s="434">
        <f>AJ127</f>
        <v>-332</v>
      </c>
      <c r="AN126" s="295"/>
      <c r="AO126" s="434">
        <f>AL127</f>
        <v>54.399999999999991</v>
      </c>
      <c r="AP126" s="434">
        <f>AM127</f>
        <v>37.700000000000003</v>
      </c>
      <c r="AQ126" s="295"/>
      <c r="AR126" s="434">
        <f>AO127</f>
        <v>-27.6</v>
      </c>
      <c r="AS126" s="434">
        <f>AR127</f>
        <v>-102.4</v>
      </c>
      <c r="AT126" s="434">
        <f>AS127</f>
        <v>1938.1314199984577</v>
      </c>
      <c r="AU126" s="434">
        <f t="shared" ref="AU126" si="229">AT127</f>
        <v>1841.0494826911811</v>
      </c>
    </row>
    <row r="127" spans="1:47">
      <c r="A127" s="290" t="s">
        <v>553</v>
      </c>
      <c r="B127" s="449" t="s">
        <v>135</v>
      </c>
      <c r="C127" s="511"/>
      <c r="D127" s="511"/>
      <c r="E127" s="511"/>
      <c r="F127" s="511"/>
      <c r="G127" s="511"/>
      <c r="H127" s="511"/>
      <c r="I127" s="511"/>
      <c r="J127" s="511"/>
      <c r="K127" s="511"/>
      <c r="L127" s="511"/>
      <c r="M127" s="511"/>
      <c r="N127" s="523">
        <f>N$177+N$185-N$144</f>
        <v>0</v>
      </c>
      <c r="O127" s="511"/>
      <c r="P127" s="511"/>
      <c r="Q127" s="523">
        <f>Q126-Q107</f>
        <v>-90.376000000000005</v>
      </c>
      <c r="R127" s="511"/>
      <c r="S127" s="511"/>
      <c r="T127" s="523">
        <f>T$177+T$185-T$144</f>
        <v>-97.757999999999996</v>
      </c>
      <c r="U127" s="511"/>
      <c r="V127" s="511"/>
      <c r="W127" s="523">
        <f>W$177+W$185-W$144</f>
        <v>-119.336</v>
      </c>
      <c r="X127" s="523">
        <f>X$177+X$185-X$144</f>
        <v>0</v>
      </c>
      <c r="Y127" s="511"/>
      <c r="Z127" s="523">
        <f>Z126-Z107</f>
        <v>-258.23600000000005</v>
      </c>
      <c r="AA127" s="434">
        <f>AA126-AA107</f>
        <v>-19.299999999999997</v>
      </c>
      <c r="AB127" s="295"/>
      <c r="AC127" s="434">
        <f>+AC113-AC119</f>
        <v>-153.80000000000001</v>
      </c>
      <c r="AD127" s="434">
        <f>+AD113-AD119</f>
        <v>-189.3</v>
      </c>
      <c r="AE127" s="295"/>
      <c r="AF127" s="434">
        <f>+AF113-AF119</f>
        <v>-237</v>
      </c>
      <c r="AG127" s="434">
        <f>+AG113-AG119</f>
        <v>-276</v>
      </c>
      <c r="AH127" s="434">
        <f t="shared" ref="AH127:AT127" si="230">+AH113-AH119</f>
        <v>0</v>
      </c>
      <c r="AI127" s="434">
        <f>+AI113-AI119</f>
        <v>-332.8</v>
      </c>
      <c r="AJ127" s="434">
        <f>+AJ113-AJ119</f>
        <v>-332</v>
      </c>
      <c r="AK127" s="295"/>
      <c r="AL127" s="434">
        <f>+AL113-AL119</f>
        <v>54.399999999999991</v>
      </c>
      <c r="AM127" s="434">
        <f>+AM113-AM119</f>
        <v>37.700000000000003</v>
      </c>
      <c r="AN127" s="295"/>
      <c r="AO127" s="434">
        <f>+AO113-AO119</f>
        <v>-27.6</v>
      </c>
      <c r="AP127" s="434">
        <f>+AP113-AP119</f>
        <v>-73</v>
      </c>
      <c r="AQ127" s="295"/>
      <c r="AR127" s="434">
        <f>+AR113-AR119</f>
        <v>-102.4</v>
      </c>
      <c r="AS127" s="434">
        <f t="shared" si="230"/>
        <v>1938.1314199984577</v>
      </c>
      <c r="AT127" s="434">
        <f t="shared" si="230"/>
        <v>1841.0494826911811</v>
      </c>
      <c r="AU127" s="434">
        <f t="shared" ref="AU127" si="231">+AU113-AU119</f>
        <v>1712.5068224699291</v>
      </c>
    </row>
    <row r="128" spans="1:47">
      <c r="B128" s="449" t="s">
        <v>58</v>
      </c>
      <c r="C128" s="511"/>
      <c r="D128" s="511"/>
      <c r="E128" s="511"/>
      <c r="F128" s="511"/>
      <c r="G128" s="511"/>
      <c r="H128" s="511"/>
      <c r="I128" s="511"/>
      <c r="J128" s="511"/>
      <c r="K128" s="511"/>
      <c r="L128" s="511"/>
      <c r="M128" s="511"/>
      <c r="N128" s="523">
        <f>AVERAGE(N126:N127)</f>
        <v>0</v>
      </c>
      <c r="O128" s="511"/>
      <c r="P128" s="511"/>
      <c r="Q128" s="523">
        <f>AVERAGE(Q126:Q127)</f>
        <v>-45.188000000000002</v>
      </c>
      <c r="R128" s="511"/>
      <c r="S128" s="511"/>
      <c r="T128" s="523">
        <f>AVERAGE(T126:T127)</f>
        <v>-94.067000000000007</v>
      </c>
      <c r="U128" s="511"/>
      <c r="V128" s="511"/>
      <c r="W128" s="523">
        <f>AVERAGE(W126:W127)</f>
        <v>-108.547</v>
      </c>
      <c r="X128" s="523">
        <f>AVERAGE(X126:X127)</f>
        <v>0</v>
      </c>
      <c r="Y128" s="511"/>
      <c r="Z128" s="523">
        <f>AVERAGE(Z126:Z127)</f>
        <v>-188.78600000000003</v>
      </c>
      <c r="AA128" s="434">
        <f>AVERAGE(AA126:AA127)</f>
        <v>-9.6499999999999986</v>
      </c>
      <c r="AB128" s="295"/>
      <c r="AC128" s="434">
        <f>AVERAGE(AC126:AC127)</f>
        <v>-206.01800000000003</v>
      </c>
      <c r="AD128" s="434">
        <f>AVERAGE(AD126:AD127)</f>
        <v>-104.30000000000001</v>
      </c>
      <c r="AE128" s="295"/>
      <c r="AF128" s="434">
        <f>AVERAGE(AF126:AF127)</f>
        <v>-195.4</v>
      </c>
      <c r="AG128" s="434">
        <f>AVERAGE(AG126:AG127)</f>
        <v>-232.65</v>
      </c>
      <c r="AH128" s="295"/>
      <c r="AI128" s="434">
        <f>AVERAGE(AI126:AI127)</f>
        <v>-284.89999999999998</v>
      </c>
      <c r="AJ128" s="434">
        <f>AVERAGE(AJ126:AJ127)</f>
        <v>-304</v>
      </c>
      <c r="AK128" s="295"/>
      <c r="AL128" s="434">
        <f>AVERAGE(AL126:AL127)</f>
        <v>-139.20000000000002</v>
      </c>
      <c r="AM128" s="434">
        <f>AVERAGE(AM126:AM127)</f>
        <v>-147.15</v>
      </c>
      <c r="AN128" s="295"/>
      <c r="AO128" s="434">
        <f>AVERAGE(AO126:AO127)</f>
        <v>13.399999999999995</v>
      </c>
      <c r="AP128" s="434">
        <f>AVERAGE(AP126:AP127)</f>
        <v>-17.649999999999999</v>
      </c>
      <c r="AQ128" s="295"/>
      <c r="AR128" s="434">
        <f>AVERAGE(AR126:AR127)</f>
        <v>-65</v>
      </c>
      <c r="AS128" s="434">
        <f>AVERAGE(AS126:AS127)</f>
        <v>917.86570999922878</v>
      </c>
      <c r="AT128" s="434">
        <f>AVERAGE(AT126:AT127)</f>
        <v>1889.5904513448195</v>
      </c>
      <c r="AU128" s="434">
        <f t="shared" ref="AU128" si="232">AVERAGE(AU126:AU127)</f>
        <v>1776.7781525805551</v>
      </c>
    </row>
    <row r="129" spans="2:55">
      <c r="B129" s="409" t="s">
        <v>103</v>
      </c>
      <c r="C129" s="526"/>
      <c r="D129" s="526"/>
      <c r="E129" s="526"/>
      <c r="F129" s="526"/>
      <c r="G129" s="526"/>
      <c r="H129" s="526"/>
      <c r="I129" s="526"/>
      <c r="J129" s="526"/>
      <c r="K129" s="526"/>
      <c r="L129" s="526"/>
      <c r="M129" s="526"/>
      <c r="N129" s="514">
        <v>-0.10599999999999998</v>
      </c>
      <c r="O129" s="526"/>
      <c r="P129" s="526"/>
      <c r="Q129" s="514">
        <v>-0.3</v>
      </c>
      <c r="R129" s="526"/>
      <c r="S129" s="526"/>
      <c r="T129" s="514">
        <v>-2.7</v>
      </c>
      <c r="U129" s="526"/>
      <c r="V129" s="526"/>
      <c r="W129" s="514">
        <v>1.2</v>
      </c>
      <c r="X129" s="514">
        <v>0.89999999999999991</v>
      </c>
      <c r="Y129" s="514">
        <v>4.5</v>
      </c>
      <c r="Z129" s="514">
        <v>5.4</v>
      </c>
      <c r="AA129" s="312">
        <v>3</v>
      </c>
      <c r="AB129" s="295"/>
      <c r="AC129" s="312">
        <v>6.4</v>
      </c>
      <c r="AD129" s="312">
        <v>0.9</v>
      </c>
      <c r="AE129" s="295"/>
      <c r="AF129" s="312">
        <v>3.1</v>
      </c>
      <c r="AG129" s="312">
        <v>1.4</v>
      </c>
      <c r="AH129" s="295"/>
      <c r="AI129" s="312">
        <v>2</v>
      </c>
      <c r="AJ129" s="312">
        <v>-1.7</v>
      </c>
      <c r="AK129" s="413"/>
      <c r="AL129" s="312">
        <v>-0.40000000000000036</v>
      </c>
      <c r="AM129" s="312">
        <v>5.9</v>
      </c>
      <c r="AN129" s="413"/>
      <c r="AO129" s="312">
        <v>9.4</v>
      </c>
      <c r="AP129" s="312">
        <v>1.8000000000000003</v>
      </c>
      <c r="AQ129" s="413"/>
      <c r="AR129" s="312">
        <v>3.5</v>
      </c>
      <c r="AS129" s="312">
        <v>94.3</v>
      </c>
      <c r="AT129" s="312">
        <v>99.5</v>
      </c>
      <c r="AU129" s="312">
        <v>93.9</v>
      </c>
      <c r="AW129" s="397"/>
    </row>
    <row r="130" spans="2:55">
      <c r="B130" s="409" t="s">
        <v>59</v>
      </c>
      <c r="C130" s="536"/>
      <c r="D130" s="536"/>
      <c r="E130" s="536"/>
      <c r="F130" s="536"/>
      <c r="G130" s="536"/>
      <c r="H130" s="536"/>
      <c r="I130" s="536"/>
      <c r="J130" s="536"/>
      <c r="K130" s="536"/>
      <c r="L130" s="536"/>
      <c r="M130" s="536"/>
      <c r="N130" s="571" t="e">
        <f>N$129/N$128</f>
        <v>#DIV/0!</v>
      </c>
      <c r="O130" s="536"/>
      <c r="P130" s="536"/>
      <c r="Q130" s="538">
        <f t="shared" ref="Q130:Z130" si="233">Q$129/Q$128</f>
        <v>6.6389306895636001E-3</v>
      </c>
      <c r="R130" s="536"/>
      <c r="S130" s="537"/>
      <c r="T130" s="538">
        <f t="shared" si="233"/>
        <v>2.870294577269393E-2</v>
      </c>
      <c r="U130" s="537"/>
      <c r="V130" s="537"/>
      <c r="W130" s="538">
        <f t="shared" si="233"/>
        <v>-1.105511898071803E-2</v>
      </c>
      <c r="X130" s="538" t="e">
        <f>X$129/X$128*2</f>
        <v>#DIV/0!</v>
      </c>
      <c r="Y130" s="537"/>
      <c r="Z130" s="538">
        <f t="shared" si="233"/>
        <v>-2.8603815960929303E-2</v>
      </c>
      <c r="AA130" s="458">
        <f>AA$129/AA$128</f>
        <v>-0.31088082901554409</v>
      </c>
      <c r="AB130" s="425"/>
      <c r="AC130" s="458">
        <f>AC$129/AC$128</f>
        <v>-3.1065246726014229E-2</v>
      </c>
      <c r="AD130" s="458">
        <f>AD$129/AD$128</f>
        <v>-8.6289549376797683E-3</v>
      </c>
      <c r="AE130" s="425"/>
      <c r="AF130" s="458">
        <f>AF$129/AF$128</f>
        <v>-1.5864892528147389E-2</v>
      </c>
      <c r="AG130" s="458">
        <f>AG$129/AG$128</f>
        <v>-6.0176230388996341E-3</v>
      </c>
      <c r="AH130" s="425"/>
      <c r="AI130" s="458">
        <f>AI$129/AI$128</f>
        <v>-7.0200070200070203E-3</v>
      </c>
      <c r="AJ130" s="458">
        <f>AJ$129/AJ$128</f>
        <v>5.5921052631578948E-3</v>
      </c>
      <c r="AK130" s="425"/>
      <c r="AL130" s="458">
        <f>AL$129/AL$128</f>
        <v>2.8735632183908067E-3</v>
      </c>
      <c r="AM130" s="458">
        <f>AM$129/AM$128</f>
        <v>-4.0095141012572208E-2</v>
      </c>
      <c r="AN130" s="425"/>
      <c r="AO130" s="458">
        <f>AO$129/AO$128</f>
        <v>0.70149253731343308</v>
      </c>
      <c r="AP130" s="458">
        <f>AP$129/AP$128</f>
        <v>-0.10198300283286121</v>
      </c>
      <c r="AQ130" s="425"/>
      <c r="AR130" s="458">
        <f>AR$129/AR$128</f>
        <v>-5.3846153846153849E-2</v>
      </c>
      <c r="AS130" s="458">
        <f t="shared" ref="AS130:AU130" si="234">AS$129/AS$128</f>
        <v>0.10273834066650037</v>
      </c>
      <c r="AT130" s="458">
        <f t="shared" si="234"/>
        <v>5.2656912998891352E-2</v>
      </c>
      <c r="AU130" s="458">
        <f t="shared" si="234"/>
        <v>5.2848466120332255E-2</v>
      </c>
    </row>
    <row r="131" spans="2:55">
      <c r="B131" s="409" t="s">
        <v>60</v>
      </c>
      <c r="C131" s="511"/>
      <c r="D131" s="511"/>
      <c r="E131" s="511"/>
      <c r="F131" s="511"/>
      <c r="G131" s="511"/>
      <c r="H131" s="511"/>
      <c r="I131" s="511"/>
      <c r="J131" s="511"/>
      <c r="K131" s="511"/>
      <c r="L131" s="511"/>
      <c r="M131" s="511"/>
      <c r="N131" s="523">
        <f>N30/N$129</f>
        <v>-152.83018867924537</v>
      </c>
      <c r="O131" s="511"/>
      <c r="P131" s="511"/>
      <c r="Q131" s="523">
        <f>Q30/Q$129</f>
        <v>-74.666666666666671</v>
      </c>
      <c r="R131" s="511"/>
      <c r="S131" s="511"/>
      <c r="T131" s="523">
        <f>T30/T$129</f>
        <v>-16.222222222222221</v>
      </c>
      <c r="U131" s="511"/>
      <c r="V131" s="511"/>
      <c r="W131" s="523">
        <f>W30/W$129</f>
        <v>51.750000000000007</v>
      </c>
      <c r="X131" s="511"/>
      <c r="Y131" s="511"/>
      <c r="Z131" s="523">
        <f>Z30/Z$129</f>
        <v>16.444444444444443</v>
      </c>
      <c r="AA131" s="394">
        <f>AA30/AA$129</f>
        <v>9.6333333333333311</v>
      </c>
      <c r="AB131" s="311"/>
      <c r="AC131" s="394">
        <f>AC30/AC$129</f>
        <v>8.4687500000000036</v>
      </c>
      <c r="AD131" s="394">
        <f>AD30/AD$129</f>
        <v>48.777777777777786</v>
      </c>
      <c r="AE131" s="311"/>
      <c r="AF131" s="394">
        <f>AF30/AF$129</f>
        <v>36.129032258064512</v>
      </c>
      <c r="AG131" s="394">
        <f>AG30/AG$129</f>
        <v>56.785714285714299</v>
      </c>
      <c r="AH131" s="311"/>
      <c r="AI131" s="394">
        <f>AI30/AI$129</f>
        <v>96.59999999999998</v>
      </c>
      <c r="AJ131" s="394">
        <f>AJ30/AJ$129</f>
        <v>-65.17647058823529</v>
      </c>
      <c r="AK131" s="311"/>
      <c r="AL131" s="394">
        <f>AL30/AL$129</f>
        <v>-575.99999999999955</v>
      </c>
      <c r="AM131" s="394">
        <f>AM30/AM$129</f>
        <v>20.949152542372879</v>
      </c>
      <c r="AN131" s="311"/>
      <c r="AO131" s="394">
        <f>AO30/AO$129</f>
        <v>28.478723404255316</v>
      </c>
      <c r="AP131" s="394">
        <f>AP30/AP$129</f>
        <v>88.222222222222214</v>
      </c>
      <c r="AQ131" s="311"/>
      <c r="AR131" s="394">
        <f>AR30/AR$129</f>
        <v>96.342857142857127</v>
      </c>
      <c r="AS131" s="394">
        <f>AS30/AS$129</f>
        <v>5.2707263837607181</v>
      </c>
      <c r="AT131" s="394">
        <f>AT30/AT$129</f>
        <v>6.2594862946158214</v>
      </c>
      <c r="AU131" s="394">
        <f t="shared" ref="AU131" si="235">AU30/AU$129</f>
        <v>7.9877670885553886</v>
      </c>
      <c r="AW131" s="397"/>
      <c r="AZ131" s="397"/>
    </row>
    <row r="132" spans="2:55">
      <c r="B132" s="409"/>
      <c r="C132" s="511"/>
      <c r="D132" s="511"/>
      <c r="E132" s="572"/>
      <c r="F132" s="511"/>
      <c r="G132" s="511"/>
      <c r="H132" s="572"/>
      <c r="I132" s="511"/>
      <c r="J132" s="511"/>
      <c r="K132" s="572"/>
      <c r="L132" s="511"/>
      <c r="M132" s="511"/>
      <c r="N132" s="572"/>
      <c r="O132" s="572"/>
      <c r="P132" s="572"/>
      <c r="Q132" s="572"/>
      <c r="R132" s="572"/>
      <c r="S132" s="572"/>
      <c r="T132" s="572"/>
      <c r="U132" s="572"/>
      <c r="V132" s="572"/>
      <c r="W132" s="572"/>
      <c r="X132" s="572"/>
      <c r="Y132" s="572"/>
      <c r="Z132" s="572"/>
      <c r="AA132" s="459"/>
      <c r="AB132" s="459"/>
      <c r="AC132" s="459"/>
      <c r="AD132" s="459"/>
      <c r="AE132" s="459"/>
      <c r="AF132" s="459"/>
      <c r="AG132" s="459"/>
      <c r="AH132" s="459"/>
      <c r="AI132" s="459"/>
      <c r="AJ132" s="459"/>
      <c r="AK132" s="459"/>
      <c r="AL132" s="459"/>
      <c r="AM132" s="459"/>
      <c r="AN132" s="459"/>
      <c r="AO132" s="459"/>
      <c r="AP132" s="459"/>
      <c r="AQ132" s="459"/>
      <c r="AR132" s="459"/>
      <c r="AS132" s="459"/>
      <c r="AT132" s="459"/>
      <c r="AU132" s="459"/>
      <c r="AX132" s="428"/>
      <c r="BA132" s="428"/>
    </row>
    <row r="133" spans="2:55">
      <c r="B133" s="301" t="s">
        <v>137</v>
      </c>
      <c r="C133" s="497"/>
      <c r="D133" s="497"/>
      <c r="E133" s="497"/>
      <c r="F133" s="497"/>
      <c r="G133" s="497"/>
      <c r="H133" s="497"/>
      <c r="I133" s="497"/>
      <c r="J133" s="497"/>
      <c r="K133" s="497"/>
      <c r="L133" s="497"/>
      <c r="M133" s="497"/>
      <c r="N133" s="497"/>
      <c r="O133" s="497"/>
      <c r="P133" s="497"/>
      <c r="Q133" s="497"/>
      <c r="R133" s="497"/>
      <c r="S133" s="497"/>
      <c r="T133" s="497"/>
      <c r="U133" s="497"/>
      <c r="V133" s="497"/>
      <c r="W133" s="497"/>
      <c r="X133" s="497"/>
      <c r="Y133" s="497"/>
      <c r="Z133" s="497"/>
      <c r="AA133" s="303"/>
      <c r="AB133" s="303"/>
      <c r="AC133" s="303"/>
      <c r="AD133" s="303"/>
      <c r="AE133" s="303"/>
      <c r="AF133" s="303"/>
      <c r="AG133" s="303"/>
      <c r="AH133" s="303"/>
      <c r="AI133" s="303"/>
      <c r="AJ133" s="303"/>
      <c r="AK133" s="303"/>
      <c r="AL133" s="303"/>
      <c r="AM133" s="303"/>
      <c r="AN133" s="303"/>
      <c r="AO133" s="303"/>
      <c r="AP133" s="303"/>
      <c r="AQ133" s="303"/>
      <c r="AR133" s="303"/>
      <c r="AS133" s="303"/>
      <c r="AT133" s="303"/>
      <c r="AU133" s="303"/>
      <c r="AX133" s="428"/>
      <c r="BA133" s="428"/>
    </row>
    <row r="134" spans="2:55">
      <c r="B134" s="380" t="s">
        <v>177</v>
      </c>
      <c r="C134" s="539"/>
      <c r="D134" s="539"/>
      <c r="E134" s="539"/>
      <c r="F134" s="539"/>
      <c r="G134" s="539"/>
      <c r="H134" s="539"/>
      <c r="I134" s="539"/>
      <c r="J134" s="539"/>
      <c r="K134" s="539"/>
      <c r="L134" s="539"/>
      <c r="M134" s="539"/>
      <c r="N134" s="539"/>
      <c r="O134" s="539"/>
      <c r="P134" s="539"/>
      <c r="Q134" s="539"/>
      <c r="R134" s="539"/>
      <c r="S134" s="539"/>
      <c r="T134" s="539"/>
      <c r="U134" s="539"/>
      <c r="V134" s="539"/>
      <c r="W134" s="539"/>
      <c r="X134" s="539"/>
      <c r="Y134" s="539"/>
      <c r="Z134" s="539"/>
      <c r="AA134" s="198"/>
      <c r="AB134" s="198"/>
      <c r="AC134" s="198"/>
      <c r="AD134" s="198"/>
      <c r="AE134" s="198"/>
      <c r="AF134" s="198"/>
      <c r="AG134" s="198"/>
      <c r="AH134" s="198"/>
      <c r="AI134" s="198"/>
      <c r="AJ134" s="198"/>
      <c r="AK134" s="198"/>
      <c r="AL134" s="198"/>
      <c r="AM134" s="198"/>
      <c r="AN134" s="198"/>
      <c r="AO134" s="198"/>
      <c r="AP134" s="198"/>
      <c r="AQ134" s="198"/>
      <c r="AR134" s="198"/>
      <c r="AS134" s="198"/>
      <c r="AT134" s="198"/>
      <c r="AU134" s="198"/>
      <c r="AX134" s="428"/>
      <c r="BA134" s="428"/>
      <c r="BC134" s="403"/>
    </row>
    <row r="135" spans="2:55">
      <c r="B135" s="409" t="s">
        <v>138</v>
      </c>
      <c r="C135" s="545"/>
      <c r="D135" s="570"/>
      <c r="E135" s="545"/>
      <c r="F135" s="545"/>
      <c r="G135" s="570"/>
      <c r="H135" s="545"/>
      <c r="I135" s="545"/>
      <c r="J135" s="570"/>
      <c r="K135" s="545"/>
      <c r="L135" s="545"/>
      <c r="M135" s="570"/>
      <c r="N135" s="547">
        <f>N85/N82</f>
        <v>1.0625114155251141</v>
      </c>
      <c r="O135" s="545"/>
      <c r="P135" s="570"/>
      <c r="Q135" s="547">
        <f>Q85/Q82</f>
        <v>1.0194603174603174</v>
      </c>
      <c r="R135" s="545"/>
      <c r="S135" s="545"/>
      <c r="T135" s="547">
        <f>T85/T82</f>
        <v>1.1895555555555555</v>
      </c>
      <c r="U135" s="545"/>
      <c r="V135" s="545"/>
      <c r="W135" s="547">
        <f>W85/W82</f>
        <v>1.0403201024327784</v>
      </c>
      <c r="X135" s="545"/>
      <c r="Y135" s="545"/>
      <c r="Z135" s="547">
        <f>Z85/Z82</f>
        <v>1.1703703703703705</v>
      </c>
      <c r="AA135" s="431" t="e">
        <f>AA85/AA82</f>
        <v>#DIV/0!</v>
      </c>
      <c r="AB135" s="431"/>
      <c r="AC135" s="431" t="e">
        <f>AC85/AC82</f>
        <v>#DIV/0!</v>
      </c>
      <c r="AD135" s="431" t="e">
        <f>AD85/AD82</f>
        <v>#DIV/0!</v>
      </c>
      <c r="AE135" s="431"/>
      <c r="AF135" s="431"/>
      <c r="AG135" s="431"/>
      <c r="AH135" s="431"/>
      <c r="AI135" s="431"/>
      <c r="AJ135" s="431"/>
      <c r="AK135" s="431"/>
      <c r="AL135" s="431">
        <f>AL85/AL82</f>
        <v>1.0534816941852114</v>
      </c>
      <c r="AM135" s="431">
        <f>AM85/AM82</f>
        <v>1.0749506903353057</v>
      </c>
      <c r="AN135" s="431"/>
      <c r="AO135" s="431">
        <f>AO85/AO82</f>
        <v>1.0624619134673978</v>
      </c>
      <c r="AP135" s="431">
        <f>AP85/AP82</f>
        <v>1.0459236326109391</v>
      </c>
      <c r="AQ135" s="431"/>
      <c r="AR135" s="431">
        <f>AR85/AR82</f>
        <v>1.0615272373540856</v>
      </c>
      <c r="AS135" s="431">
        <f>AS85/AS82</f>
        <v>0.99335384497876278</v>
      </c>
      <c r="AT135" s="431">
        <f>AT85/AT82</f>
        <v>0.99785768733681957</v>
      </c>
      <c r="AU135" s="431">
        <f t="shared" ref="AU135" si="236">AU85/AU82</f>
        <v>0.99818134129718361</v>
      </c>
      <c r="AX135" s="428"/>
      <c r="BA135" s="428"/>
      <c r="BC135" s="403"/>
    </row>
    <row r="136" spans="2:55">
      <c r="B136" s="460" t="s">
        <v>140</v>
      </c>
      <c r="C136" s="545"/>
      <c r="D136" s="570"/>
      <c r="E136" s="545"/>
      <c r="F136" s="545"/>
      <c r="G136" s="570"/>
      <c r="H136" s="545"/>
      <c r="I136" s="545"/>
      <c r="J136" s="570"/>
      <c r="K136" s="545"/>
      <c r="L136" s="545"/>
      <c r="M136" s="570"/>
      <c r="N136" s="545"/>
      <c r="O136" s="545"/>
      <c r="P136" s="570"/>
      <c r="Q136" s="545"/>
      <c r="R136" s="545"/>
      <c r="S136" s="545"/>
      <c r="T136" s="545"/>
      <c r="U136" s="545"/>
      <c r="V136" s="545"/>
      <c r="W136" s="545"/>
      <c r="X136" s="545"/>
      <c r="Y136" s="545"/>
      <c r="Z136" s="545"/>
      <c r="AA136" s="431"/>
      <c r="AB136" s="431"/>
      <c r="AC136" s="431"/>
      <c r="AD136" s="431"/>
      <c r="AE136" s="431"/>
      <c r="AF136" s="431"/>
      <c r="AG136" s="431"/>
      <c r="AH136" s="431"/>
      <c r="AI136" s="431"/>
      <c r="AJ136" s="431"/>
      <c r="AK136" s="431"/>
      <c r="AL136" s="431"/>
      <c r="AM136" s="431"/>
      <c r="AN136" s="431"/>
      <c r="AO136" s="431"/>
      <c r="AP136" s="431"/>
      <c r="AQ136" s="431"/>
      <c r="AR136" s="431"/>
      <c r="AS136" s="431"/>
      <c r="AT136" s="431"/>
      <c r="AU136" s="431"/>
    </row>
    <row r="137" spans="2:55">
      <c r="B137" s="409" t="s">
        <v>141</v>
      </c>
      <c r="C137" s="545"/>
      <c r="D137" s="570"/>
      <c r="E137" s="545"/>
      <c r="F137" s="545"/>
      <c r="G137" s="570"/>
      <c r="H137" s="545"/>
      <c r="I137" s="545"/>
      <c r="J137" s="570"/>
      <c r="K137" s="545"/>
      <c r="L137" s="545"/>
      <c r="M137" s="570"/>
      <c r="N137" s="547">
        <f>-N$83/N$82</f>
        <v>0</v>
      </c>
      <c r="O137" s="545"/>
      <c r="P137" s="570"/>
      <c r="Q137" s="547">
        <f t="shared" ref="Q137:Z137" si="237">-Q$83/Q$82</f>
        <v>0</v>
      </c>
      <c r="R137" s="545"/>
      <c r="S137" s="545"/>
      <c r="T137" s="547">
        <f t="shared" si="237"/>
        <v>-2.6277777777777785E-2</v>
      </c>
      <c r="U137" s="545"/>
      <c r="V137" s="545"/>
      <c r="W137" s="547">
        <f t="shared" si="237"/>
        <v>8.0934699103713204E-2</v>
      </c>
      <c r="X137" s="545"/>
      <c r="Y137" s="545"/>
      <c r="Z137" s="547">
        <f t="shared" si="237"/>
        <v>9.9055555555555494E-2</v>
      </c>
      <c r="AA137" s="431" t="e">
        <f>-AA$83/AA$82</f>
        <v>#DIV/0!</v>
      </c>
      <c r="AB137" s="431"/>
      <c r="AC137" s="431" t="e">
        <f>-AC$83/AC$82</f>
        <v>#DIV/0!</v>
      </c>
      <c r="AD137" s="431" t="e">
        <f>-AD$83/AD$82</f>
        <v>#DIV/0!</v>
      </c>
      <c r="AE137" s="431"/>
      <c r="AF137" s="431"/>
      <c r="AG137" s="431"/>
      <c r="AH137" s="431"/>
      <c r="AI137" s="431"/>
      <c r="AJ137" s="431"/>
      <c r="AK137" s="431"/>
      <c r="AL137" s="431">
        <f>-AL$83/AL$82</f>
        <v>-0.13316582914572864</v>
      </c>
      <c r="AM137" s="431">
        <f>-AM$83/AM$82</f>
        <v>-0.26758711374095995</v>
      </c>
      <c r="AN137" s="431"/>
      <c r="AO137" s="431">
        <f>-AO$83/AO$82</f>
        <v>4.7531992687385748E-2</v>
      </c>
      <c r="AP137" s="431">
        <f>-AP$83/AP$82</f>
        <v>4.2311661506707961E-2</v>
      </c>
      <c r="AQ137" s="431"/>
      <c r="AR137" s="431">
        <f>-AR$83/AR$82</f>
        <v>-8.2928015564202345E-2</v>
      </c>
      <c r="AS137" s="431">
        <f t="shared" ref="AS137:AU137" si="238">-AS$83/AS$82</f>
        <v>6.6461550212372281E-3</v>
      </c>
      <c r="AT137" s="431">
        <f t="shared" si="238"/>
        <v>2.1423126631804259E-3</v>
      </c>
      <c r="AU137" s="431">
        <f t="shared" si="238"/>
        <v>1.8186587028164449E-3</v>
      </c>
      <c r="AX137" s="428"/>
      <c r="BA137" s="428"/>
    </row>
    <row r="138" spans="2:55">
      <c r="B138" s="409" t="s">
        <v>144</v>
      </c>
      <c r="C138" s="545"/>
      <c r="D138" s="570"/>
      <c r="E138" s="545"/>
      <c r="F138" s="545"/>
      <c r="G138" s="570"/>
      <c r="H138" s="545"/>
      <c r="I138" s="545"/>
      <c r="J138" s="570"/>
      <c r="K138" s="545"/>
      <c r="L138" s="545"/>
      <c r="M138" s="570"/>
      <c r="N138" s="547">
        <f>-N$84/N$82</f>
        <v>-6.2511415525114133E-2</v>
      </c>
      <c r="O138" s="545"/>
      <c r="P138" s="570"/>
      <c r="Q138" s="547">
        <f t="shared" ref="Q138:Z138" si="239">-Q$84/Q$82</f>
        <v>-1.9460317460317445E-2</v>
      </c>
      <c r="R138" s="545"/>
      <c r="S138" s="545"/>
      <c r="T138" s="547">
        <f t="shared" si="239"/>
        <v>-0.16327777777777758</v>
      </c>
      <c r="U138" s="545"/>
      <c r="V138" s="545"/>
      <c r="W138" s="547">
        <f t="shared" si="239"/>
        <v>-0.12125480153649151</v>
      </c>
      <c r="X138" s="545"/>
      <c r="Y138" s="545"/>
      <c r="Z138" s="547">
        <f t="shared" si="239"/>
        <v>-0.2694259259259259</v>
      </c>
      <c r="AA138" s="431" t="e">
        <f>-AA$84/AA$82</f>
        <v>#DIV/0!</v>
      </c>
      <c r="AB138" s="431"/>
      <c r="AC138" s="431" t="e">
        <f>-AC$84/AC$82</f>
        <v>#DIV/0!</v>
      </c>
      <c r="AD138" s="431" t="e">
        <f>-AD$84/AD$82</f>
        <v>#DIV/0!</v>
      </c>
      <c r="AE138" s="431"/>
      <c r="AF138" s="431"/>
      <c r="AG138" s="431"/>
      <c r="AH138" s="431"/>
      <c r="AI138" s="431"/>
      <c r="AJ138" s="431"/>
      <c r="AK138" s="431"/>
      <c r="AL138" s="431">
        <f>-AL$84/AL$82</f>
        <v>7.9684134960517156E-2</v>
      </c>
      <c r="AM138" s="431">
        <f>-AM$84/AM$82</f>
        <v>0.19263642340565415</v>
      </c>
      <c r="AN138" s="431"/>
      <c r="AO138" s="431">
        <f>-AO$84/AO$82</f>
        <v>-0.10999390615478367</v>
      </c>
      <c r="AP138" s="431">
        <f>-AP$84/AP$82</f>
        <v>-8.8235294117647092E-2</v>
      </c>
      <c r="AQ138" s="431"/>
      <c r="AR138" s="431">
        <f>-AR$84/AR$82</f>
        <v>2.1400778210116711E-2</v>
      </c>
      <c r="AS138" s="431">
        <f t="shared" ref="AS138:AU138" si="240">-AS$84/AS$82</f>
        <v>0</v>
      </c>
      <c r="AT138" s="431">
        <f t="shared" si="240"/>
        <v>0</v>
      </c>
      <c r="AU138" s="431">
        <f t="shared" si="240"/>
        <v>0</v>
      </c>
    </row>
    <row r="139" spans="2:55">
      <c r="B139" s="409" t="s">
        <v>184</v>
      </c>
      <c r="C139" s="545"/>
      <c r="D139" s="570"/>
      <c r="E139" s="545"/>
      <c r="F139" s="545"/>
      <c r="G139" s="570"/>
      <c r="H139" s="545"/>
      <c r="I139" s="545"/>
      <c r="J139" s="570"/>
      <c r="K139" s="545"/>
      <c r="L139" s="545"/>
      <c r="M139" s="570"/>
      <c r="N139" s="547">
        <f>N137+N138</f>
        <v>-6.2511415525114133E-2</v>
      </c>
      <c r="O139" s="545"/>
      <c r="P139" s="570"/>
      <c r="Q139" s="547">
        <f>Q137+Q138</f>
        <v>-1.9460317460317445E-2</v>
      </c>
      <c r="R139" s="545"/>
      <c r="S139" s="545"/>
      <c r="T139" s="547">
        <f>T137+T138</f>
        <v>-0.18955555555555537</v>
      </c>
      <c r="U139" s="545"/>
      <c r="V139" s="545"/>
      <c r="W139" s="547">
        <f>W137+W138</f>
        <v>-4.032010243277831E-2</v>
      </c>
      <c r="X139" s="545"/>
      <c r="Y139" s="545"/>
      <c r="Z139" s="547">
        <f>Z137+Z138</f>
        <v>-0.17037037037037039</v>
      </c>
      <c r="AA139" s="431" t="e">
        <f>AA137+AA138</f>
        <v>#DIV/0!</v>
      </c>
      <c r="AB139" s="431"/>
      <c r="AC139" s="431" t="e">
        <f>AC137+AC138</f>
        <v>#DIV/0!</v>
      </c>
      <c r="AD139" s="431" t="e">
        <f>AD137+AD138</f>
        <v>#DIV/0!</v>
      </c>
      <c r="AE139" s="431"/>
      <c r="AF139" s="431"/>
      <c r="AG139" s="431"/>
      <c r="AH139" s="431"/>
      <c r="AI139" s="431"/>
      <c r="AJ139" s="431"/>
      <c r="AK139" s="431"/>
      <c r="AL139" s="431">
        <f>AL137+AL138</f>
        <v>-5.3481694185211481E-2</v>
      </c>
      <c r="AM139" s="431">
        <f>AM137+AM138</f>
        <v>-7.4950690335305797E-2</v>
      </c>
      <c r="AN139" s="431"/>
      <c r="AO139" s="431">
        <f>AO137+AO138</f>
        <v>-6.2461913467397927E-2</v>
      </c>
      <c r="AP139" s="431">
        <f>AP137+AP138</f>
        <v>-4.5923632610939132E-2</v>
      </c>
      <c r="AQ139" s="431"/>
      <c r="AR139" s="431">
        <f>AR137+AR138</f>
        <v>-6.1527237354085634E-2</v>
      </c>
      <c r="AS139" s="431">
        <f>AS137+AS138</f>
        <v>6.6461550212372281E-3</v>
      </c>
      <c r="AT139" s="431">
        <f>AT137+AT138</f>
        <v>2.1423126631804259E-3</v>
      </c>
      <c r="AU139" s="431">
        <f t="shared" ref="AU139" si="241">AU137+AU138</f>
        <v>1.8186587028164449E-3</v>
      </c>
    </row>
    <row r="140" spans="2:55">
      <c r="B140" s="409" t="s">
        <v>156</v>
      </c>
      <c r="C140" s="545"/>
      <c r="D140" s="570"/>
      <c r="E140" s="545"/>
      <c r="F140" s="545"/>
      <c r="G140" s="570"/>
      <c r="H140" s="545"/>
      <c r="I140" s="545"/>
      <c r="J140" s="570"/>
      <c r="K140" s="545"/>
      <c r="L140" s="545"/>
      <c r="M140" s="570"/>
      <c r="N140" s="547">
        <f>-N$87/N$35</f>
        <v>0.40186335403726708</v>
      </c>
      <c r="O140" s="545"/>
      <c r="P140" s="570"/>
      <c r="Q140" s="547">
        <f>-Q$87/Q$35</f>
        <v>0.4268055555555556</v>
      </c>
      <c r="R140" s="545"/>
      <c r="S140" s="545"/>
      <c r="T140" s="547">
        <f>-T$87/T$35</f>
        <v>0.6733858267716536</v>
      </c>
      <c r="U140" s="545"/>
      <c r="V140" s="545"/>
      <c r="W140" s="547">
        <f>-W$87/W$35</f>
        <v>0.55350574712643685</v>
      </c>
      <c r="X140" s="545"/>
      <c r="Y140" s="545"/>
      <c r="Z140" s="547">
        <f>-Z$87/Z$35</f>
        <v>0.56910569105691056</v>
      </c>
      <c r="AA140" s="431">
        <f>-AA$87/AA$35</f>
        <v>0</v>
      </c>
      <c r="AB140" s="431"/>
      <c r="AC140" s="431">
        <f>-AC$87/AC$35</f>
        <v>0</v>
      </c>
      <c r="AD140" s="431">
        <f>-AD$87/AD$35</f>
        <v>0</v>
      </c>
      <c r="AE140" s="431"/>
      <c r="AF140" s="431"/>
      <c r="AG140" s="431"/>
      <c r="AH140" s="431"/>
      <c r="AI140" s="431"/>
      <c r="AJ140" s="431"/>
      <c r="AK140" s="431"/>
      <c r="AL140" s="431">
        <f>-AL$87/AL$35</f>
        <v>0.5625</v>
      </c>
      <c r="AM140" s="431">
        <f>-AM$87/AM$35</f>
        <v>0.73255813953488358</v>
      </c>
      <c r="AN140" s="431"/>
      <c r="AO140" s="431">
        <f>-AO$87/AO$35</f>
        <v>0.74587912087912067</v>
      </c>
      <c r="AP140" s="431">
        <f>-AP$87/AP$35</f>
        <v>0.86244541484716153</v>
      </c>
      <c r="AQ140" s="431"/>
      <c r="AR140" s="431">
        <f>-AR$87/AR$35</f>
        <v>0.74892241379310343</v>
      </c>
      <c r="AS140" s="431">
        <f>-AS$87/AS$35</f>
        <v>1</v>
      </c>
      <c r="AT140" s="431">
        <f>-AT$87/AT$35</f>
        <v>1</v>
      </c>
      <c r="AU140" s="431">
        <f t="shared" ref="AU140" si="242">-AU$87/AU$35</f>
        <v>1</v>
      </c>
    </row>
    <row r="141" spans="2:55">
      <c r="B141" s="409"/>
      <c r="C141" s="545"/>
      <c r="D141" s="545"/>
      <c r="E141" s="545"/>
      <c r="F141" s="545"/>
      <c r="G141" s="545"/>
      <c r="H141" s="545"/>
      <c r="I141" s="545"/>
      <c r="J141" s="545"/>
      <c r="K141" s="545"/>
      <c r="L141" s="545"/>
      <c r="M141" s="545"/>
      <c r="N141" s="545"/>
      <c r="O141" s="545"/>
      <c r="P141" s="545"/>
      <c r="Q141" s="545"/>
      <c r="R141" s="545"/>
      <c r="S141" s="545"/>
      <c r="T141" s="545"/>
      <c r="U141" s="545"/>
      <c r="V141" s="545"/>
      <c r="W141" s="545"/>
      <c r="X141" s="545"/>
      <c r="Y141" s="545"/>
      <c r="Z141" s="545"/>
      <c r="AA141" s="431"/>
      <c r="AB141" s="431"/>
      <c r="AC141" s="431"/>
      <c r="AD141" s="431"/>
      <c r="AE141" s="431"/>
      <c r="AF141" s="431"/>
      <c r="AG141" s="431"/>
      <c r="AH141" s="431"/>
      <c r="AI141" s="431"/>
      <c r="AJ141" s="431"/>
      <c r="AK141" s="431"/>
      <c r="AL141" s="431"/>
      <c r="AM141" s="431"/>
      <c r="AN141" s="431"/>
      <c r="AO141" s="431"/>
      <c r="AP141" s="431"/>
      <c r="AQ141" s="431"/>
      <c r="AR141" s="431"/>
      <c r="AS141" s="431"/>
      <c r="AT141" s="431"/>
      <c r="AU141" s="431"/>
    </row>
    <row r="142" spans="2:55">
      <c r="B142" s="301" t="s">
        <v>61</v>
      </c>
      <c r="C142" s="497"/>
      <c r="D142" s="497"/>
      <c r="E142" s="497"/>
      <c r="F142" s="497"/>
      <c r="G142" s="497"/>
      <c r="H142" s="497"/>
      <c r="I142" s="497"/>
      <c r="J142" s="497"/>
      <c r="K142" s="497"/>
      <c r="L142" s="497"/>
      <c r="M142" s="497"/>
      <c r="N142" s="497"/>
      <c r="O142" s="497"/>
      <c r="P142" s="497"/>
      <c r="Q142" s="497"/>
      <c r="R142" s="497"/>
      <c r="S142" s="497"/>
      <c r="T142" s="497"/>
      <c r="U142" s="498" t="s">
        <v>689</v>
      </c>
      <c r="V142" s="497"/>
      <c r="W142" s="497"/>
      <c r="X142" s="498"/>
      <c r="Y142" s="497"/>
      <c r="Z142" s="497"/>
      <c r="AA142" s="461"/>
      <c r="AB142" s="303"/>
      <c r="AC142" s="303"/>
      <c r="AD142" s="461"/>
      <c r="AE142" s="303"/>
      <c r="AF142" s="303"/>
      <c r="AG142" s="461"/>
      <c r="AH142" s="303"/>
      <c r="AI142" s="303"/>
      <c r="AJ142" s="461"/>
      <c r="AK142" s="303"/>
      <c r="AL142" s="303"/>
      <c r="AM142" s="461"/>
      <c r="AN142" s="303"/>
      <c r="AO142" s="303"/>
      <c r="AP142" s="303"/>
      <c r="AQ142" s="303"/>
      <c r="AR142" s="303"/>
      <c r="AS142" s="303"/>
      <c r="AT142" s="303"/>
      <c r="AU142" s="303"/>
    </row>
    <row r="143" spans="2:55">
      <c r="B143" s="380" t="s">
        <v>62</v>
      </c>
      <c r="C143" s="539"/>
      <c r="D143" s="539"/>
      <c r="E143" s="573"/>
      <c r="F143" s="539"/>
      <c r="G143" s="539"/>
      <c r="H143" s="573"/>
      <c r="I143" s="539"/>
      <c r="J143" s="539"/>
      <c r="K143" s="573"/>
      <c r="L143" s="574"/>
      <c r="M143" s="539"/>
      <c r="N143" s="573"/>
      <c r="O143" s="539"/>
      <c r="P143" s="539"/>
      <c r="Q143" s="575"/>
      <c r="R143" s="539"/>
      <c r="S143" s="575"/>
      <c r="T143" s="539"/>
      <c r="U143" s="539"/>
      <c r="V143" s="575"/>
      <c r="W143" s="539"/>
      <c r="X143" s="539"/>
      <c r="Y143" s="575"/>
      <c r="Z143" s="539"/>
      <c r="AA143" s="198"/>
      <c r="AB143" s="198"/>
      <c r="AC143" s="198"/>
      <c r="AD143" s="198"/>
      <c r="AE143" s="198"/>
      <c r="AF143" s="198"/>
      <c r="AG143" s="198"/>
      <c r="AH143" s="198"/>
      <c r="AI143" s="198"/>
      <c r="AJ143" s="198"/>
      <c r="AK143" s="198"/>
      <c r="AL143" s="198"/>
      <c r="AM143" s="198"/>
      <c r="AN143" s="198"/>
      <c r="AO143" s="668"/>
      <c r="AP143" s="668"/>
      <c r="AQ143" s="198"/>
      <c r="AR143" s="668"/>
      <c r="AS143" s="198"/>
      <c r="AT143" s="198"/>
      <c r="AU143" s="198"/>
    </row>
    <row r="144" spans="2:55">
      <c r="B144" s="409" t="s">
        <v>63</v>
      </c>
      <c r="C144" s="526"/>
      <c r="D144" s="511"/>
      <c r="E144" s="511"/>
      <c r="F144" s="511"/>
      <c r="G144" s="511"/>
      <c r="H144" s="511"/>
      <c r="I144" s="511"/>
      <c r="J144" s="511"/>
      <c r="K144" s="511"/>
      <c r="L144" s="511"/>
      <c r="M144" s="511"/>
      <c r="N144" s="511"/>
      <c r="O144" s="511"/>
      <c r="P144" s="511"/>
      <c r="Q144" s="511"/>
      <c r="R144" s="526"/>
      <c r="S144" s="526"/>
      <c r="T144" s="576">
        <v>101.60299999999999</v>
      </c>
      <c r="U144" s="576"/>
      <c r="V144" s="526"/>
      <c r="W144" s="576">
        <v>121.824</v>
      </c>
      <c r="X144" s="576"/>
      <c r="Y144" s="526"/>
      <c r="Z144" s="514">
        <v>260.10000000000002</v>
      </c>
      <c r="AA144" s="462">
        <v>160</v>
      </c>
      <c r="AB144" s="413"/>
      <c r="AC144" s="462">
        <v>153.80000000000001</v>
      </c>
      <c r="AD144" s="462">
        <v>189.3</v>
      </c>
      <c r="AE144" s="413"/>
      <c r="AF144" s="462">
        <v>237</v>
      </c>
      <c r="AG144" s="462">
        <v>276</v>
      </c>
      <c r="AH144" s="413"/>
      <c r="AI144" s="462">
        <v>332.8</v>
      </c>
      <c r="AJ144" s="462">
        <v>332</v>
      </c>
      <c r="AK144" s="413"/>
      <c r="AL144" s="413">
        <v>94.8</v>
      </c>
      <c r="AM144" s="413">
        <v>99.2</v>
      </c>
      <c r="AN144" s="413"/>
      <c r="AO144" s="413">
        <v>80.7</v>
      </c>
      <c r="AP144" s="413">
        <v>103</v>
      </c>
      <c r="AQ144" s="413"/>
      <c r="AR144" s="413">
        <v>167.4</v>
      </c>
      <c r="AS144" s="463">
        <f>IF(AS185=0,AR144+AS109,AR144)</f>
        <v>167.4</v>
      </c>
      <c r="AT144" s="463">
        <f>IF(AT185=0,AS144+AT109,AS144)</f>
        <v>167.4</v>
      </c>
      <c r="AU144" s="463">
        <f t="shared" ref="AU144" si="243">IF(AU185=0,AT144+AU109,AT144)</f>
        <v>167.4</v>
      </c>
    </row>
    <row r="145" spans="1:47">
      <c r="B145" s="409" t="s">
        <v>32</v>
      </c>
      <c r="C145" s="526"/>
      <c r="D145" s="511"/>
      <c r="E145" s="526"/>
      <c r="F145" s="526"/>
      <c r="G145" s="511"/>
      <c r="H145" s="526"/>
      <c r="I145" s="526"/>
      <c r="J145" s="511"/>
      <c r="K145" s="526"/>
      <c r="L145" s="526"/>
      <c r="M145" s="511"/>
      <c r="N145" s="526"/>
      <c r="O145" s="526"/>
      <c r="P145" s="511"/>
      <c r="Q145" s="526"/>
      <c r="R145" s="526"/>
      <c r="S145" s="526"/>
      <c r="T145" s="514">
        <v>13.827</v>
      </c>
      <c r="U145" s="514"/>
      <c r="V145" s="526"/>
      <c r="W145" s="514">
        <v>27.978000000000002</v>
      </c>
      <c r="X145" s="514"/>
      <c r="Y145" s="526"/>
      <c r="Z145" s="514">
        <v>50.8</v>
      </c>
      <c r="AA145" s="312">
        <v>30.9</v>
      </c>
      <c r="AB145" s="413"/>
      <c r="AC145" s="312">
        <v>41</v>
      </c>
      <c r="AD145" s="312">
        <v>47.6</v>
      </c>
      <c r="AE145" s="413"/>
      <c r="AF145" s="312">
        <v>55.8</v>
      </c>
      <c r="AG145" s="312">
        <v>50.2</v>
      </c>
      <c r="AH145" s="413"/>
      <c r="AI145" s="312">
        <v>60.6</v>
      </c>
      <c r="AJ145" s="312">
        <v>62.4</v>
      </c>
      <c r="AK145" s="413"/>
      <c r="AL145" s="413">
        <v>80.2</v>
      </c>
      <c r="AM145" s="413">
        <v>83.3</v>
      </c>
      <c r="AN145" s="413"/>
      <c r="AO145" s="413">
        <v>94</v>
      </c>
      <c r="AP145" s="413">
        <v>92.5</v>
      </c>
      <c r="AQ145" s="413"/>
      <c r="AR145" s="413">
        <v>94.9</v>
      </c>
      <c r="AS145" s="295">
        <f>AR145*(1+AS$56)</f>
        <v>172.53275232025359</v>
      </c>
      <c r="AT145" s="295">
        <f>AS145*(1+AT$56)</f>
        <v>203.39366442418398</v>
      </c>
      <c r="AU145" s="295">
        <f t="shared" ref="AU145" si="244">AT145*(1+AU$56)</f>
        <v>234.4540321248073</v>
      </c>
    </row>
    <row r="146" spans="1:47">
      <c r="B146" s="409" t="s">
        <v>29</v>
      </c>
      <c r="C146" s="526"/>
      <c r="D146" s="511"/>
      <c r="E146" s="526"/>
      <c r="F146" s="526"/>
      <c r="G146" s="511"/>
      <c r="H146" s="526"/>
      <c r="I146" s="526"/>
      <c r="J146" s="511"/>
      <c r="K146" s="526"/>
      <c r="L146" s="526"/>
      <c r="M146" s="511"/>
      <c r="N146" s="526"/>
      <c r="O146" s="526"/>
      <c r="P146" s="511"/>
      <c r="Q146" s="526"/>
      <c r="R146" s="526"/>
      <c r="S146" s="526"/>
      <c r="T146" s="514"/>
      <c r="U146" s="514"/>
      <c r="V146" s="526"/>
      <c r="W146" s="514"/>
      <c r="X146" s="514"/>
      <c r="Y146" s="526"/>
      <c r="Z146" s="514">
        <v>0</v>
      </c>
      <c r="AA146" s="312"/>
      <c r="AB146" s="413"/>
      <c r="AC146" s="312"/>
      <c r="AD146" s="312"/>
      <c r="AE146" s="413"/>
      <c r="AF146" s="312"/>
      <c r="AG146" s="312"/>
      <c r="AH146" s="413"/>
      <c r="AI146" s="312"/>
      <c r="AJ146" s="312"/>
      <c r="AK146" s="413"/>
      <c r="AL146" s="413"/>
      <c r="AM146" s="413"/>
      <c r="AN146" s="413"/>
      <c r="AO146" s="413"/>
      <c r="AP146" s="413"/>
      <c r="AQ146" s="413"/>
      <c r="AR146" s="413"/>
      <c r="AS146" s="295">
        <f>AR146</f>
        <v>0</v>
      </c>
      <c r="AT146" s="295">
        <f>AS146</f>
        <v>0</v>
      </c>
      <c r="AU146" s="295">
        <f t="shared" ref="AU146" si="245">AT146</f>
        <v>0</v>
      </c>
    </row>
    <row r="147" spans="1:47">
      <c r="B147" s="409" t="s">
        <v>30</v>
      </c>
      <c r="C147" s="526"/>
      <c r="D147" s="511"/>
      <c r="E147" s="526"/>
      <c r="F147" s="526"/>
      <c r="G147" s="511"/>
      <c r="H147" s="526"/>
      <c r="I147" s="526"/>
      <c r="J147" s="511"/>
      <c r="K147" s="526"/>
      <c r="L147" s="526"/>
      <c r="M147" s="511"/>
      <c r="N147" s="526"/>
      <c r="O147" s="526"/>
      <c r="P147" s="511"/>
      <c r="Q147" s="526"/>
      <c r="R147" s="526"/>
      <c r="S147" s="526"/>
      <c r="T147" s="514"/>
      <c r="U147" s="514"/>
      <c r="V147" s="526"/>
      <c r="W147" s="514"/>
      <c r="X147" s="514"/>
      <c r="Y147" s="526"/>
      <c r="Z147" s="526"/>
      <c r="AA147" s="312"/>
      <c r="AB147" s="413"/>
      <c r="AC147" s="312"/>
      <c r="AD147" s="312"/>
      <c r="AE147" s="413"/>
      <c r="AF147" s="312"/>
      <c r="AG147" s="312"/>
      <c r="AH147" s="413"/>
      <c r="AI147" s="312"/>
      <c r="AJ147" s="312"/>
      <c r="AK147" s="413"/>
      <c r="AL147" s="413"/>
      <c r="AM147" s="413"/>
      <c r="AN147" s="413"/>
      <c r="AO147" s="413"/>
      <c r="AP147" s="413"/>
      <c r="AQ147" s="413"/>
      <c r="AR147" s="413"/>
      <c r="AS147" s="295">
        <f>AR147*(1+AS$56)</f>
        <v>0</v>
      </c>
      <c r="AT147" s="295">
        <f>AS147*(1+AT$56)</f>
        <v>0</v>
      </c>
      <c r="AU147" s="295">
        <f t="shared" ref="AU147" si="246">AT147*(1+AU$56)</f>
        <v>0</v>
      </c>
    </row>
    <row r="148" spans="1:47">
      <c r="B148" s="409" t="s">
        <v>354</v>
      </c>
      <c r="C148" s="526"/>
      <c r="D148" s="511"/>
      <c r="E148" s="526"/>
      <c r="F148" s="526"/>
      <c r="G148" s="511"/>
      <c r="H148" s="526"/>
      <c r="I148" s="526"/>
      <c r="J148" s="511"/>
      <c r="K148" s="526"/>
      <c r="L148" s="526"/>
      <c r="M148" s="511"/>
      <c r="N148" s="526"/>
      <c r="O148" s="526"/>
      <c r="P148" s="511"/>
      <c r="Q148" s="526"/>
      <c r="R148" s="526"/>
      <c r="S148" s="526"/>
      <c r="T148" s="514">
        <v>1.754</v>
      </c>
      <c r="U148" s="514"/>
      <c r="V148" s="526"/>
      <c r="W148" s="514">
        <v>3.3250000000000002</v>
      </c>
      <c r="X148" s="514"/>
      <c r="Y148" s="526"/>
      <c r="Z148" s="514">
        <v>3.8</v>
      </c>
      <c r="AA148" s="312"/>
      <c r="AB148" s="413"/>
      <c r="AC148" s="312"/>
      <c r="AD148" s="312"/>
      <c r="AE148" s="413"/>
      <c r="AF148" s="312"/>
      <c r="AG148" s="312"/>
      <c r="AH148" s="413"/>
      <c r="AI148" s="312"/>
      <c r="AJ148" s="312"/>
      <c r="AK148" s="413"/>
      <c r="AL148" s="413">
        <v>4.8</v>
      </c>
      <c r="AM148" s="413">
        <v>5.8</v>
      </c>
      <c r="AN148" s="413"/>
      <c r="AO148" s="413">
        <v>3.9</v>
      </c>
      <c r="AP148" s="413">
        <v>22.3</v>
      </c>
      <c r="AQ148" s="413"/>
      <c r="AR148" s="413">
        <v>4</v>
      </c>
      <c r="AS148" s="295">
        <f t="shared" ref="AS148:AT149" si="247">AR148</f>
        <v>4</v>
      </c>
      <c r="AT148" s="295">
        <f t="shared" si="247"/>
        <v>4</v>
      </c>
      <c r="AU148" s="295">
        <f t="shared" ref="AU148" si="248">AT148</f>
        <v>4</v>
      </c>
    </row>
    <row r="149" spans="1:47">
      <c r="B149" s="409" t="s">
        <v>31</v>
      </c>
      <c r="C149" s="526"/>
      <c r="D149" s="511"/>
      <c r="E149" s="526"/>
      <c r="F149" s="526"/>
      <c r="G149" s="511"/>
      <c r="H149" s="526"/>
      <c r="I149" s="526"/>
      <c r="J149" s="511"/>
      <c r="K149" s="526"/>
      <c r="L149" s="526"/>
      <c r="M149" s="511"/>
      <c r="N149" s="526"/>
      <c r="O149" s="526"/>
      <c r="P149" s="511"/>
      <c r="Q149" s="526"/>
      <c r="R149" s="526"/>
      <c r="S149" s="526"/>
      <c r="T149" s="514">
        <v>5.399</v>
      </c>
      <c r="U149" s="514"/>
      <c r="V149" s="526"/>
      <c r="W149" s="514">
        <v>7.6520000000000001</v>
      </c>
      <c r="X149" s="514"/>
      <c r="Y149" s="526"/>
      <c r="Z149" s="514">
        <v>9.1999999999999993</v>
      </c>
      <c r="AA149" s="312">
        <f>10.4</f>
        <v>10.4</v>
      </c>
      <c r="AB149" s="413"/>
      <c r="AC149" s="312">
        <f>3.1+15.3</f>
        <v>18.400000000000002</v>
      </c>
      <c r="AD149" s="312">
        <f>9.1+13.5</f>
        <v>22.6</v>
      </c>
      <c r="AE149" s="413"/>
      <c r="AF149" s="312">
        <f>2.5+17</f>
        <v>19.5</v>
      </c>
      <c r="AG149" s="312">
        <f>1.2+18.8</f>
        <v>20</v>
      </c>
      <c r="AH149" s="413"/>
      <c r="AI149" s="312">
        <f>1.5+24.9</f>
        <v>26.4</v>
      </c>
      <c r="AJ149" s="312">
        <f>0.9+21.9</f>
        <v>22.799999999999997</v>
      </c>
      <c r="AK149" s="413"/>
      <c r="AL149" s="413">
        <f>64.6</f>
        <v>64.599999999999994</v>
      </c>
      <c r="AM149" s="413">
        <f>56.4+1.4</f>
        <v>57.8</v>
      </c>
      <c r="AN149" s="413"/>
      <c r="AO149" s="413">
        <v>40.799999999999997</v>
      </c>
      <c r="AP149" s="413">
        <f>46.6+2.9</f>
        <v>49.5</v>
      </c>
      <c r="AQ149" s="413"/>
      <c r="AR149" s="413">
        <f>0.2+53.1</f>
        <v>53.300000000000004</v>
      </c>
      <c r="AS149" s="295">
        <f t="shared" si="247"/>
        <v>53.300000000000004</v>
      </c>
      <c r="AT149" s="295">
        <f t="shared" si="247"/>
        <v>53.300000000000004</v>
      </c>
      <c r="AU149" s="295">
        <f t="shared" ref="AU149" si="249">AT149</f>
        <v>53.300000000000004</v>
      </c>
    </row>
    <row r="150" spans="1:47" s="397" customFormat="1">
      <c r="A150" s="346"/>
      <c r="B150" s="380" t="s">
        <v>64</v>
      </c>
      <c r="C150" s="511"/>
      <c r="D150" s="511"/>
      <c r="E150" s="511"/>
      <c r="F150" s="511"/>
      <c r="G150" s="511"/>
      <c r="H150" s="511"/>
      <c r="I150" s="511"/>
      <c r="J150" s="511"/>
      <c r="K150" s="511"/>
      <c r="L150" s="511"/>
      <c r="M150" s="511"/>
      <c r="N150" s="511"/>
      <c r="O150" s="511"/>
      <c r="P150" s="511"/>
      <c r="Q150" s="511"/>
      <c r="R150" s="511"/>
      <c r="S150" s="511"/>
      <c r="T150" s="523">
        <f>SUM(T144:T149)</f>
        <v>122.583</v>
      </c>
      <c r="U150" s="523">
        <f>SUM(U144:U149)</f>
        <v>0</v>
      </c>
      <c r="V150" s="511"/>
      <c r="W150" s="523">
        <f>SUM(W144:W149)</f>
        <v>160.77899999999997</v>
      </c>
      <c r="X150" s="523">
        <f>SUM(X144:X149)</f>
        <v>0</v>
      </c>
      <c r="Y150" s="511"/>
      <c r="Z150" s="523">
        <f>SUM(Z144:Z149)</f>
        <v>323.90000000000003</v>
      </c>
      <c r="AA150" s="439">
        <f>SUM(AA144:AA149)</f>
        <v>201.3</v>
      </c>
      <c r="AB150" s="439"/>
      <c r="AC150" s="439">
        <f>SUM(AC144:AC149)</f>
        <v>213.20000000000002</v>
      </c>
      <c r="AD150" s="439">
        <f>SUM(AD144:AD149)</f>
        <v>259.5</v>
      </c>
      <c r="AE150" s="439"/>
      <c r="AF150" s="439">
        <f>SUM(AF144:AF149)</f>
        <v>312.3</v>
      </c>
      <c r="AG150" s="439">
        <f>SUM(AG144:AG149)</f>
        <v>346.2</v>
      </c>
      <c r="AH150" s="439"/>
      <c r="AI150" s="439">
        <f>SUM(AI144:AI149)</f>
        <v>419.8</v>
      </c>
      <c r="AJ150" s="439">
        <f>SUM(AJ144:AJ149)</f>
        <v>417.2</v>
      </c>
      <c r="AK150" s="439"/>
      <c r="AL150" s="439">
        <f>SUM(AL144:AL149)</f>
        <v>244.4</v>
      </c>
      <c r="AM150" s="439">
        <f>SUM(AM144:AM149)</f>
        <v>246.10000000000002</v>
      </c>
      <c r="AN150" s="439"/>
      <c r="AO150" s="439">
        <f>SUM(AO144:AO149)</f>
        <v>219.39999999999998</v>
      </c>
      <c r="AP150" s="439">
        <f>SUM(AP144:AP149)</f>
        <v>267.3</v>
      </c>
      <c r="AQ150" s="439"/>
      <c r="AR150" s="439">
        <f>SUM(AR144:AR149)</f>
        <v>319.60000000000002</v>
      </c>
      <c r="AS150" s="439">
        <f>SUM(AS144:AS149)</f>
        <v>397.23275232025361</v>
      </c>
      <c r="AT150" s="439">
        <f>SUM(AT144:AT149)</f>
        <v>428.093664424184</v>
      </c>
      <c r="AU150" s="439">
        <f t="shared" ref="AU150" si="250">SUM(AU144:AU149)</f>
        <v>459.15403212480732</v>
      </c>
    </row>
    <row r="151" spans="1:47">
      <c r="B151" s="409"/>
      <c r="C151" s="539"/>
      <c r="D151" s="511"/>
      <c r="E151" s="539"/>
      <c r="F151" s="539"/>
      <c r="G151" s="511"/>
      <c r="H151" s="539"/>
      <c r="I151" s="539"/>
      <c r="J151" s="511"/>
      <c r="K151" s="539"/>
      <c r="L151" s="539"/>
      <c r="M151" s="511"/>
      <c r="N151" s="539"/>
      <c r="O151" s="539"/>
      <c r="P151" s="511"/>
      <c r="Q151" s="539"/>
      <c r="R151" s="539"/>
      <c r="S151" s="539"/>
      <c r="T151" s="539"/>
      <c r="U151" s="539"/>
      <c r="V151" s="539"/>
      <c r="W151" s="539"/>
      <c r="X151" s="539"/>
      <c r="Y151" s="539"/>
      <c r="Z151" s="539"/>
      <c r="AA151" s="198"/>
      <c r="AB151" s="198"/>
      <c r="AC151" s="198"/>
      <c r="AD151" s="198"/>
      <c r="AE151" s="198"/>
      <c r="AF151" s="198"/>
      <c r="AG151" s="198"/>
      <c r="AH151" s="198"/>
      <c r="AI151" s="198"/>
      <c r="AJ151" s="198"/>
      <c r="AK151" s="198"/>
      <c r="AL151" s="198"/>
      <c r="AM151" s="198"/>
      <c r="AN151" s="198"/>
      <c r="AO151" s="198"/>
      <c r="AP151" s="198"/>
      <c r="AQ151" s="198"/>
      <c r="AR151" s="198"/>
      <c r="AS151" s="198"/>
      <c r="AT151" s="198"/>
      <c r="AU151" s="198"/>
    </row>
    <row r="152" spans="1:47">
      <c r="B152" s="380" t="s">
        <v>65</v>
      </c>
      <c r="C152" s="539"/>
      <c r="D152" s="511"/>
      <c r="E152" s="539"/>
      <c r="F152" s="539"/>
      <c r="G152" s="511"/>
      <c r="H152" s="539"/>
      <c r="I152" s="539"/>
      <c r="J152" s="511"/>
      <c r="K152" s="539"/>
      <c r="L152" s="539"/>
      <c r="M152" s="511"/>
      <c r="N152" s="539"/>
      <c r="O152" s="539"/>
      <c r="P152" s="511"/>
      <c r="Q152" s="539"/>
      <c r="R152" s="539"/>
      <c r="S152" s="539"/>
      <c r="T152" s="539"/>
      <c r="U152" s="539"/>
      <c r="V152" s="539"/>
      <c r="W152" s="539"/>
      <c r="X152" s="539"/>
      <c r="Y152" s="539"/>
      <c r="Z152" s="539"/>
      <c r="AA152" s="198"/>
      <c r="AB152" s="198"/>
      <c r="AC152" s="198"/>
      <c r="AD152" s="198"/>
      <c r="AE152" s="198"/>
      <c r="AF152" s="198"/>
      <c r="AG152" s="198"/>
      <c r="AH152" s="198"/>
      <c r="AI152" s="198"/>
      <c r="AJ152" s="198"/>
      <c r="AK152" s="198"/>
      <c r="AL152" s="198"/>
      <c r="AM152" s="198"/>
      <c r="AN152" s="198"/>
      <c r="AO152" s="198"/>
      <c r="AP152" s="198"/>
      <c r="AQ152" s="198"/>
      <c r="AR152" s="198"/>
      <c r="AS152" s="198"/>
      <c r="AT152" s="198"/>
      <c r="AU152" s="198"/>
    </row>
    <row r="153" spans="1:47">
      <c r="B153" s="409" t="s">
        <v>178</v>
      </c>
      <c r="C153" s="511"/>
      <c r="D153" s="511"/>
      <c r="E153" s="511"/>
      <c r="F153" s="511"/>
      <c r="G153" s="511"/>
      <c r="H153" s="511"/>
      <c r="I153" s="511"/>
      <c r="J153" s="511"/>
      <c r="K153" s="511"/>
      <c r="L153" s="511"/>
      <c r="M153" s="511"/>
      <c r="N153" s="511"/>
      <c r="O153" s="511"/>
      <c r="P153" s="511"/>
      <c r="Q153" s="511"/>
      <c r="R153" s="511"/>
      <c r="S153" s="511"/>
      <c r="T153" s="514"/>
      <c r="U153" s="514"/>
      <c r="V153" s="511"/>
      <c r="W153" s="514"/>
      <c r="X153" s="514"/>
      <c r="Y153" s="511"/>
      <c r="Z153" s="514"/>
      <c r="AA153" s="312"/>
      <c r="AB153" s="312"/>
      <c r="AC153" s="312"/>
      <c r="AD153" s="312"/>
      <c r="AE153" s="312"/>
      <c r="AF153" s="312"/>
      <c r="AG153" s="312"/>
      <c r="AH153" s="312"/>
      <c r="AI153" s="312"/>
      <c r="AJ153" s="312"/>
      <c r="AK153" s="312"/>
      <c r="AL153" s="312"/>
      <c r="AM153" s="312"/>
      <c r="AN153" s="312"/>
      <c r="AO153" s="312"/>
      <c r="AP153" s="312"/>
      <c r="AQ153" s="312"/>
      <c r="AR153" s="312"/>
      <c r="AS153" s="295">
        <f>AR153</f>
        <v>0</v>
      </c>
      <c r="AT153" s="295">
        <f>AS153</f>
        <v>0</v>
      </c>
      <c r="AU153" s="295">
        <f t="shared" ref="AU153" si="251">AT153</f>
        <v>0</v>
      </c>
    </row>
    <row r="154" spans="1:47">
      <c r="B154" s="409" t="s">
        <v>30</v>
      </c>
      <c r="C154" s="511"/>
      <c r="D154" s="511"/>
      <c r="E154" s="511"/>
      <c r="F154" s="511"/>
      <c r="G154" s="511"/>
      <c r="H154" s="511"/>
      <c r="I154" s="511"/>
      <c r="J154" s="511"/>
      <c r="K154" s="511"/>
      <c r="L154" s="511"/>
      <c r="M154" s="511"/>
      <c r="N154" s="511"/>
      <c r="O154" s="511"/>
      <c r="P154" s="511"/>
      <c r="Q154" s="511"/>
      <c r="R154" s="511"/>
      <c r="S154" s="511"/>
      <c r="T154" s="514"/>
      <c r="U154" s="514"/>
      <c r="V154" s="511"/>
      <c r="W154" s="514"/>
      <c r="X154" s="514"/>
      <c r="Y154" s="511"/>
      <c r="Z154" s="514"/>
      <c r="AA154" s="312"/>
      <c r="AB154" s="312"/>
      <c r="AC154" s="312"/>
      <c r="AD154" s="312"/>
      <c r="AE154" s="312"/>
      <c r="AF154" s="312"/>
      <c r="AG154" s="312"/>
      <c r="AH154" s="312"/>
      <c r="AI154" s="312"/>
      <c r="AJ154" s="312"/>
      <c r="AK154" s="312"/>
      <c r="AL154" s="312"/>
      <c r="AM154" s="312"/>
      <c r="AN154" s="312"/>
      <c r="AO154" s="312"/>
      <c r="AP154" s="312"/>
      <c r="AQ154" s="312"/>
      <c r="AR154" s="312"/>
      <c r="AS154" s="295">
        <f>AR154*(1+AS$56)</f>
        <v>0</v>
      </c>
      <c r="AT154" s="295">
        <f>AS154*(1+AT$56)</f>
        <v>0</v>
      </c>
      <c r="AU154" s="295">
        <f t="shared" ref="AU154" si="252">AT154*(1+AU$56)</f>
        <v>0</v>
      </c>
    </row>
    <row r="155" spans="1:47">
      <c r="B155" s="409" t="s">
        <v>107</v>
      </c>
      <c r="C155" s="511"/>
      <c r="D155" s="511"/>
      <c r="E155" s="526"/>
      <c r="F155" s="511"/>
      <c r="G155" s="511"/>
      <c r="H155" s="526"/>
      <c r="I155" s="511"/>
      <c r="J155" s="511"/>
      <c r="K155" s="526"/>
      <c r="L155" s="511"/>
      <c r="M155" s="511"/>
      <c r="N155" s="526"/>
      <c r="O155" s="511"/>
      <c r="P155" s="511"/>
      <c r="Q155" s="526"/>
      <c r="R155" s="511"/>
      <c r="S155" s="526"/>
      <c r="T155" s="514">
        <v>31.45</v>
      </c>
      <c r="U155" s="511"/>
      <c r="V155" s="526"/>
      <c r="W155" s="514">
        <v>36.878</v>
      </c>
      <c r="X155" s="511"/>
      <c r="Y155" s="526"/>
      <c r="Z155" s="514">
        <v>47.158999999999999</v>
      </c>
      <c r="AA155" s="312"/>
      <c r="AB155" s="312"/>
      <c r="AC155" s="312"/>
      <c r="AD155" s="312"/>
      <c r="AE155" s="312"/>
      <c r="AF155" s="312"/>
      <c r="AG155" s="312"/>
      <c r="AH155" s="312"/>
      <c r="AI155" s="312"/>
      <c r="AJ155" s="312"/>
      <c r="AK155" s="312"/>
      <c r="AL155" s="312">
        <v>60.3</v>
      </c>
      <c r="AM155" s="312">
        <v>60.3</v>
      </c>
      <c r="AN155" s="312"/>
      <c r="AO155" s="312">
        <f>+AO156+AO157</f>
        <v>143.61600000000001</v>
      </c>
      <c r="AP155" s="312">
        <v>64.8</v>
      </c>
      <c r="AQ155" s="312"/>
      <c r="AR155" s="312">
        <f>+AR156+AR157</f>
        <v>232.19200000000001</v>
      </c>
      <c r="AS155" s="295">
        <f>AR155</f>
        <v>232.19200000000001</v>
      </c>
      <c r="AT155" s="295">
        <f>AS155</f>
        <v>232.19200000000001</v>
      </c>
      <c r="AU155" s="295">
        <f t="shared" ref="AU155" si="253">AT155</f>
        <v>232.19200000000001</v>
      </c>
    </row>
    <row r="156" spans="1:47">
      <c r="B156" s="409" t="s">
        <v>66</v>
      </c>
      <c r="C156" s="511"/>
      <c r="D156" s="511"/>
      <c r="E156" s="511"/>
      <c r="F156" s="511"/>
      <c r="G156" s="511"/>
      <c r="H156" s="511"/>
      <c r="I156" s="511"/>
      <c r="J156" s="511"/>
      <c r="K156" s="511"/>
      <c r="L156" s="511"/>
      <c r="M156" s="511"/>
      <c r="N156" s="511"/>
      <c r="O156" s="511"/>
      <c r="P156" s="511"/>
      <c r="Q156" s="511"/>
      <c r="R156" s="511"/>
      <c r="S156" s="511"/>
      <c r="T156" s="523">
        <f>T155-T157</f>
        <v>14.611999999999998</v>
      </c>
      <c r="U156" s="511"/>
      <c r="V156" s="511"/>
      <c r="W156" s="523">
        <f>W155-W157</f>
        <v>22.587</v>
      </c>
      <c r="X156" s="511"/>
      <c r="Y156" s="511"/>
      <c r="Z156" s="523">
        <f>Z155-Z157</f>
        <v>31.358999999999998</v>
      </c>
      <c r="AA156" s="295"/>
      <c r="AB156" s="295"/>
      <c r="AC156" s="295"/>
      <c r="AD156" s="295"/>
      <c r="AE156" s="295"/>
      <c r="AF156" s="295"/>
      <c r="AG156" s="295"/>
      <c r="AH156" s="295"/>
      <c r="AI156" s="295"/>
      <c r="AJ156" s="295"/>
      <c r="AK156" s="295"/>
      <c r="AL156" s="295">
        <f>AL155-AL157</f>
        <v>1.5</v>
      </c>
      <c r="AM156" s="295">
        <f>AM155-AM157</f>
        <v>0</v>
      </c>
      <c r="AN156" s="295"/>
      <c r="AO156" s="295">
        <f>+AO157*1.56</f>
        <v>87.516000000000005</v>
      </c>
      <c r="AP156" s="295">
        <f>AP155-AP157</f>
        <v>0</v>
      </c>
      <c r="AQ156" s="295"/>
      <c r="AR156" s="295">
        <f>+AR157*1.56</f>
        <v>141.49200000000002</v>
      </c>
      <c r="AS156" s="295">
        <f>+AR156+AS27*AR157/(AR157+AR164)</f>
        <v>141.49200000000002</v>
      </c>
      <c r="AT156" s="295">
        <f>+AS156+AT27*AS157/(AS157+AS164)</f>
        <v>141.49200000000002</v>
      </c>
      <c r="AU156" s="295">
        <f t="shared" ref="AU156" si="254">+AT156+AU27*AT157/(AT157+AT164)</f>
        <v>141.49200000000002</v>
      </c>
    </row>
    <row r="157" spans="1:47">
      <c r="B157" s="409" t="s">
        <v>108</v>
      </c>
      <c r="C157" s="526"/>
      <c r="D157" s="511"/>
      <c r="E157" s="526"/>
      <c r="F157" s="526"/>
      <c r="G157" s="511"/>
      <c r="H157" s="526"/>
      <c r="I157" s="526"/>
      <c r="J157" s="511"/>
      <c r="K157" s="526"/>
      <c r="L157" s="526"/>
      <c r="M157" s="511"/>
      <c r="N157" s="526"/>
      <c r="O157" s="526"/>
      <c r="P157" s="511"/>
      <c r="Q157" s="526"/>
      <c r="R157" s="526"/>
      <c r="S157" s="526"/>
      <c r="T157" s="514">
        <v>16.838000000000001</v>
      </c>
      <c r="U157" s="514"/>
      <c r="V157" s="526"/>
      <c r="W157" s="514">
        <v>14.291</v>
      </c>
      <c r="X157" s="514"/>
      <c r="Y157" s="526"/>
      <c r="Z157" s="514">
        <v>15.8</v>
      </c>
      <c r="AA157" s="312"/>
      <c r="AB157" s="312"/>
      <c r="AC157" s="312"/>
      <c r="AD157" s="312"/>
      <c r="AE157" s="312"/>
      <c r="AF157" s="312"/>
      <c r="AG157" s="312"/>
      <c r="AH157" s="312"/>
      <c r="AI157" s="312"/>
      <c r="AJ157" s="312"/>
      <c r="AK157" s="312"/>
      <c r="AL157" s="312">
        <v>58.8</v>
      </c>
      <c r="AM157" s="312">
        <v>60.3</v>
      </c>
      <c r="AN157" s="312"/>
      <c r="AO157" s="312">
        <v>56.1</v>
      </c>
      <c r="AP157" s="312">
        <v>64.8</v>
      </c>
      <c r="AQ157" s="312"/>
      <c r="AR157" s="312">
        <v>90.7</v>
      </c>
      <c r="AS157" s="295">
        <f>+AS155-AS156</f>
        <v>90.699999999999989</v>
      </c>
      <c r="AT157" s="295">
        <f>+AT155-AT156</f>
        <v>90.699999999999989</v>
      </c>
      <c r="AU157" s="295">
        <f t="shared" ref="AU157" si="255">+AU155-AU156</f>
        <v>90.699999999999989</v>
      </c>
    </row>
    <row r="158" spans="1:47">
      <c r="B158" s="409"/>
      <c r="C158" s="539"/>
      <c r="D158" s="511"/>
      <c r="E158" s="539"/>
      <c r="F158" s="539"/>
      <c r="G158" s="511"/>
      <c r="H158" s="539"/>
      <c r="I158" s="539"/>
      <c r="J158" s="511"/>
      <c r="K158" s="574"/>
      <c r="L158" s="539"/>
      <c r="M158" s="511"/>
      <c r="N158" s="574"/>
      <c r="O158" s="539"/>
      <c r="P158" s="511"/>
      <c r="Q158" s="574"/>
      <c r="R158" s="539"/>
      <c r="S158" s="574"/>
      <c r="T158" s="539"/>
      <c r="U158" s="539"/>
      <c r="V158" s="574"/>
      <c r="W158" s="539"/>
      <c r="X158" s="539"/>
      <c r="Y158" s="574"/>
      <c r="Z158" s="539"/>
      <c r="AA158" s="198"/>
      <c r="AB158" s="198"/>
      <c r="AC158" s="198"/>
      <c r="AD158" s="198"/>
      <c r="AE158" s="198"/>
      <c r="AF158" s="198"/>
      <c r="AG158" s="198"/>
      <c r="AH158" s="198"/>
      <c r="AI158" s="198"/>
      <c r="AJ158" s="198"/>
      <c r="AK158" s="198"/>
      <c r="AL158" s="198"/>
      <c r="AM158" s="198"/>
      <c r="AN158" s="198"/>
      <c r="AO158" s="198"/>
      <c r="AP158" s="198"/>
      <c r="AQ158" s="198"/>
      <c r="AR158" s="198"/>
      <c r="AS158" s="198"/>
      <c r="AT158" s="198"/>
      <c r="AU158" s="198"/>
    </row>
    <row r="159" spans="1:47">
      <c r="B159" s="409" t="s">
        <v>33</v>
      </c>
      <c r="C159" s="526"/>
      <c r="D159" s="511"/>
      <c r="E159" s="526"/>
      <c r="F159" s="526"/>
      <c r="G159" s="511"/>
      <c r="H159" s="526"/>
      <c r="I159" s="526"/>
      <c r="J159" s="511"/>
      <c r="K159" s="526"/>
      <c r="L159" s="526"/>
      <c r="M159" s="511"/>
      <c r="N159" s="526"/>
      <c r="O159" s="526"/>
      <c r="P159" s="511"/>
      <c r="Q159" s="526"/>
      <c r="R159" s="526"/>
      <c r="S159" s="526"/>
      <c r="T159" s="514">
        <v>55.36</v>
      </c>
      <c r="U159" s="514"/>
      <c r="V159" s="526"/>
      <c r="W159" s="514">
        <v>236.58600000000001</v>
      </c>
      <c r="X159" s="514"/>
      <c r="Y159" s="526"/>
      <c r="Z159" s="514">
        <v>601.6</v>
      </c>
      <c r="AA159" s="295"/>
      <c r="AB159" s="312"/>
      <c r="AC159" s="295"/>
      <c r="AD159" s="295"/>
      <c r="AE159" s="312"/>
      <c r="AF159" s="295"/>
      <c r="AG159" s="295"/>
      <c r="AH159" s="312"/>
      <c r="AI159" s="295"/>
      <c r="AJ159" s="295"/>
      <c r="AK159" s="312"/>
      <c r="AL159" s="312"/>
      <c r="AM159" s="312"/>
      <c r="AN159" s="312"/>
      <c r="AO159" s="312"/>
      <c r="AP159" s="312"/>
      <c r="AQ159" s="312"/>
      <c r="AR159" s="312"/>
      <c r="AS159" s="295">
        <f>AR159</f>
        <v>0</v>
      </c>
      <c r="AT159" s="295">
        <f>AS159</f>
        <v>0</v>
      </c>
      <c r="AU159" s="295">
        <f t="shared" ref="AU159" si="256">AT159</f>
        <v>0</v>
      </c>
    </row>
    <row r="160" spans="1:47">
      <c r="B160" s="409" t="s">
        <v>67</v>
      </c>
      <c r="C160" s="526"/>
      <c r="D160" s="511"/>
      <c r="E160" s="526"/>
      <c r="F160" s="526"/>
      <c r="G160" s="511"/>
      <c r="H160" s="526"/>
      <c r="I160" s="526"/>
      <c r="J160" s="511"/>
      <c r="K160" s="526"/>
      <c r="L160" s="526"/>
      <c r="M160" s="511"/>
      <c r="N160" s="526"/>
      <c r="O160" s="526"/>
      <c r="P160" s="511"/>
      <c r="Q160" s="526"/>
      <c r="R160" s="526"/>
      <c r="S160" s="526"/>
      <c r="T160" s="523">
        <f>T159-T161</f>
        <v>6.3000000000002387E-2</v>
      </c>
      <c r="U160" s="514">
        <v>0</v>
      </c>
      <c r="V160" s="526"/>
      <c r="W160" s="523">
        <f>W159-W161</f>
        <v>6.3000000000016598E-2</v>
      </c>
      <c r="X160" s="523">
        <f>X159-X161</f>
        <v>0</v>
      </c>
      <c r="Y160" s="526"/>
      <c r="Z160" s="523">
        <f>Z159-Z161</f>
        <v>0.10000000000002274</v>
      </c>
      <c r="AA160" s="312"/>
      <c r="AB160" s="295"/>
      <c r="AC160" s="312"/>
      <c r="AD160" s="312"/>
      <c r="AE160" s="295"/>
      <c r="AF160" s="312"/>
      <c r="AG160" s="312"/>
      <c r="AH160" s="295"/>
      <c r="AI160" s="312"/>
      <c r="AJ160" s="312"/>
      <c r="AK160" s="295"/>
      <c r="AL160" s="295">
        <f>AL159-AL161</f>
        <v>0</v>
      </c>
      <c r="AM160" s="295">
        <f>AM159-AM161</f>
        <v>0</v>
      </c>
      <c r="AN160" s="295"/>
      <c r="AO160" s="295">
        <f>AO159-AO161</f>
        <v>0</v>
      </c>
      <c r="AP160" s="295">
        <f>AP159-AP161</f>
        <v>0</v>
      </c>
      <c r="AQ160" s="295"/>
      <c r="AR160" s="295">
        <f>AR159-AR161</f>
        <v>0</v>
      </c>
      <c r="AS160" s="295">
        <f>AR160-AS28</f>
        <v>0</v>
      </c>
      <c r="AT160" s="295">
        <f>AS160-AT28</f>
        <v>0</v>
      </c>
      <c r="AU160" s="295">
        <f t="shared" ref="AU160" si="257">AT160-AU28</f>
        <v>0</v>
      </c>
    </row>
    <row r="161" spans="1:47">
      <c r="B161" s="409" t="s">
        <v>68</v>
      </c>
      <c r="C161" s="511"/>
      <c r="D161" s="511"/>
      <c r="E161" s="511"/>
      <c r="F161" s="511"/>
      <c r="G161" s="511"/>
      <c r="H161" s="511"/>
      <c r="I161" s="511"/>
      <c r="J161" s="511"/>
      <c r="K161" s="511"/>
      <c r="L161" s="511"/>
      <c r="M161" s="511"/>
      <c r="N161" s="511"/>
      <c r="O161" s="511"/>
      <c r="P161" s="511"/>
      <c r="Q161" s="511"/>
      <c r="R161" s="511"/>
      <c r="S161" s="511"/>
      <c r="T161" s="514">
        <v>55.296999999999997</v>
      </c>
      <c r="U161" s="523">
        <f>U159+U160</f>
        <v>0</v>
      </c>
      <c r="V161" s="511"/>
      <c r="W161" s="514">
        <v>236.523</v>
      </c>
      <c r="X161" s="514"/>
      <c r="Y161" s="511"/>
      <c r="Z161" s="514">
        <v>601.5</v>
      </c>
      <c r="AA161" s="312"/>
      <c r="AB161" s="312"/>
      <c r="AC161" s="312"/>
      <c r="AD161" s="312"/>
      <c r="AE161" s="312"/>
      <c r="AF161" s="312"/>
      <c r="AG161" s="312"/>
      <c r="AH161" s="312"/>
      <c r="AI161" s="312"/>
      <c r="AJ161" s="312"/>
      <c r="AK161" s="312"/>
      <c r="AL161" s="312"/>
      <c r="AM161" s="312"/>
      <c r="AN161" s="312"/>
      <c r="AO161" s="312"/>
      <c r="AP161" s="312"/>
      <c r="AQ161" s="312"/>
      <c r="AR161" s="312"/>
      <c r="AS161" s="295">
        <f>AS159-AS160</f>
        <v>0</v>
      </c>
      <c r="AT161" s="295">
        <f>AT159-AT160</f>
        <v>0</v>
      </c>
      <c r="AU161" s="295">
        <f t="shared" ref="AU161" si="258">AU159-AU160</f>
        <v>0</v>
      </c>
    </row>
    <row r="162" spans="1:47">
      <c r="B162" s="409" t="s">
        <v>69</v>
      </c>
      <c r="C162" s="526"/>
      <c r="D162" s="511"/>
      <c r="E162" s="511"/>
      <c r="F162" s="526"/>
      <c r="G162" s="511"/>
      <c r="H162" s="511"/>
      <c r="I162" s="526"/>
      <c r="J162" s="511"/>
      <c r="K162" s="511"/>
      <c r="L162" s="526"/>
      <c r="M162" s="511"/>
      <c r="N162" s="511"/>
      <c r="O162" s="526"/>
      <c r="P162" s="511"/>
      <c r="Q162" s="511"/>
      <c r="R162" s="526"/>
      <c r="S162" s="511"/>
      <c r="T162" s="523">
        <f>164.961-T159</f>
        <v>109.60100000000001</v>
      </c>
      <c r="U162" s="514"/>
      <c r="V162" s="511"/>
      <c r="W162" s="523">
        <f>405.352-W159</f>
        <v>168.76599999999996</v>
      </c>
      <c r="X162" s="511"/>
      <c r="Y162" s="511"/>
      <c r="Z162" s="523">
        <f>848.2-Z159</f>
        <v>246.60000000000002</v>
      </c>
      <c r="AA162" s="312">
        <v>579.70000000000005</v>
      </c>
      <c r="AB162" s="312"/>
      <c r="AC162" s="312">
        <v>608.5</v>
      </c>
      <c r="AD162" s="312">
        <v>667.9</v>
      </c>
      <c r="AE162" s="312"/>
      <c r="AF162" s="312">
        <v>680.5</v>
      </c>
      <c r="AG162" s="312">
        <v>676.8</v>
      </c>
      <c r="AH162" s="312"/>
      <c r="AI162" s="312">
        <v>661.7</v>
      </c>
      <c r="AJ162" s="312">
        <v>749</v>
      </c>
      <c r="AK162" s="312"/>
      <c r="AL162" s="312">
        <v>1439.2</v>
      </c>
      <c r="AM162" s="312">
        <v>1568.3</v>
      </c>
      <c r="AN162" s="312"/>
      <c r="AO162" s="312">
        <v>1584.8</v>
      </c>
      <c r="AP162" s="312">
        <v>1610</v>
      </c>
      <c r="AQ162" s="312"/>
      <c r="AR162" s="312">
        <v>1807.2</v>
      </c>
      <c r="AS162" s="295">
        <f>AR162-AS89-AS94-AS95-AS97-AS98-AS99</f>
        <v>4193.1742187020009</v>
      </c>
      <c r="AT162" s="295">
        <f>AS162-AT89-AT94-AT95-AT97-AT98-AT99</f>
        <v>4536.141909461764</v>
      </c>
      <c r="AU162" s="295">
        <f t="shared" ref="AU162" si="259">AT162-AU89-AU94-AU95-AU97-AU98-AU99</f>
        <v>4938.2177277595274</v>
      </c>
    </row>
    <row r="163" spans="1:47">
      <c r="B163" s="409" t="s">
        <v>67</v>
      </c>
      <c r="C163" s="511"/>
      <c r="D163" s="511"/>
      <c r="E163" s="514"/>
      <c r="F163" s="511"/>
      <c r="G163" s="511"/>
      <c r="H163" s="514"/>
      <c r="I163" s="511"/>
      <c r="J163" s="511"/>
      <c r="K163" s="514"/>
      <c r="L163" s="511"/>
      <c r="M163" s="511"/>
      <c r="N163" s="514"/>
      <c r="O163" s="511"/>
      <c r="P163" s="511"/>
      <c r="Q163" s="514"/>
      <c r="R163" s="511"/>
      <c r="S163" s="514"/>
      <c r="T163" s="523">
        <f>T162-T164</f>
        <v>31.178000000000011</v>
      </c>
      <c r="U163" s="514"/>
      <c r="V163" s="514"/>
      <c r="W163" s="523">
        <f>W162-W164</f>
        <v>44.943999999999932</v>
      </c>
      <c r="X163" s="514"/>
      <c r="Y163" s="514"/>
      <c r="Z163" s="523">
        <f>Z162-Z164</f>
        <v>64.399999999999977</v>
      </c>
      <c r="AA163" s="295">
        <f>AA162-AA164</f>
        <v>0</v>
      </c>
      <c r="AB163" s="295"/>
      <c r="AC163" s="295">
        <f>AC162-AC164</f>
        <v>0</v>
      </c>
      <c r="AD163" s="295">
        <f>AD162-AD164</f>
        <v>0</v>
      </c>
      <c r="AE163" s="295"/>
      <c r="AF163" s="295">
        <f>AF162-AF164</f>
        <v>0</v>
      </c>
      <c r="AG163" s="295">
        <f>AG162-AG164</f>
        <v>0</v>
      </c>
      <c r="AH163" s="295"/>
      <c r="AI163" s="295">
        <f>AI162-AI164</f>
        <v>0</v>
      </c>
      <c r="AJ163" s="295">
        <f>AJ162-AJ164</f>
        <v>0</v>
      </c>
      <c r="AK163" s="295"/>
      <c r="AL163" s="295">
        <f>AL162-AL164</f>
        <v>0</v>
      </c>
      <c r="AM163" s="295">
        <f>AM162-AM164</f>
        <v>0</v>
      </c>
      <c r="AN163" s="295"/>
      <c r="AO163" s="295">
        <f>AO162-AO164</f>
        <v>0</v>
      </c>
      <c r="AP163" s="295">
        <f>AP162-AP164</f>
        <v>0</v>
      </c>
      <c r="AQ163" s="295"/>
      <c r="AR163" s="295">
        <f>AR162-AR164</f>
        <v>0</v>
      </c>
      <c r="AS163" s="295">
        <f>AR163+AS29</f>
        <v>118.4</v>
      </c>
      <c r="AT163" s="295">
        <f>AS163+AT29</f>
        <v>254.56</v>
      </c>
      <c r="AU163" s="295">
        <f t="shared" ref="AU163" si="260">AT163+AU29</f>
        <v>404.33600000000001</v>
      </c>
    </row>
    <row r="164" spans="1:47">
      <c r="B164" s="409" t="s">
        <v>185</v>
      </c>
      <c r="C164" s="526"/>
      <c r="D164" s="511"/>
      <c r="E164" s="526"/>
      <c r="F164" s="526"/>
      <c r="G164" s="511"/>
      <c r="H164" s="526"/>
      <c r="I164" s="526"/>
      <c r="J164" s="511"/>
      <c r="K164" s="526"/>
      <c r="L164" s="526"/>
      <c r="M164" s="511"/>
      <c r="N164" s="526"/>
      <c r="O164" s="526"/>
      <c r="P164" s="511"/>
      <c r="Q164" s="526"/>
      <c r="R164" s="526"/>
      <c r="S164" s="526"/>
      <c r="T164" s="523">
        <f>133.72-T161</f>
        <v>78.423000000000002</v>
      </c>
      <c r="U164" s="523">
        <f>+U162+U163</f>
        <v>0</v>
      </c>
      <c r="V164" s="526"/>
      <c r="W164" s="523">
        <f>360.345-W161</f>
        <v>123.82200000000003</v>
      </c>
      <c r="X164" s="514"/>
      <c r="Y164" s="526"/>
      <c r="Z164" s="523">
        <f>783.7-Z161</f>
        <v>182.20000000000005</v>
      </c>
      <c r="AA164" s="312">
        <f>+AA162</f>
        <v>579.70000000000005</v>
      </c>
      <c r="AB164" s="312"/>
      <c r="AC164" s="312">
        <f>+AC162</f>
        <v>608.5</v>
      </c>
      <c r="AD164" s="312">
        <f>+AD162</f>
        <v>667.9</v>
      </c>
      <c r="AE164" s="312"/>
      <c r="AF164" s="312">
        <f>+AF162</f>
        <v>680.5</v>
      </c>
      <c r="AG164" s="312">
        <f>+AG162</f>
        <v>676.8</v>
      </c>
      <c r="AH164" s="312"/>
      <c r="AI164" s="312">
        <f>+AI162</f>
        <v>661.7</v>
      </c>
      <c r="AJ164" s="312">
        <f>+AJ162</f>
        <v>749</v>
      </c>
      <c r="AK164" s="312"/>
      <c r="AL164" s="312">
        <f>+AL162</f>
        <v>1439.2</v>
      </c>
      <c r="AM164" s="312">
        <f>+AM162</f>
        <v>1568.3</v>
      </c>
      <c r="AN164" s="312"/>
      <c r="AO164" s="312">
        <f>+AO162</f>
        <v>1584.8</v>
      </c>
      <c r="AP164" s="312">
        <f>+AP162</f>
        <v>1610</v>
      </c>
      <c r="AQ164" s="312"/>
      <c r="AR164" s="312">
        <f>+AR162</f>
        <v>1807.2</v>
      </c>
      <c r="AS164" s="295">
        <f>AS162-AS163</f>
        <v>4074.7742187020008</v>
      </c>
      <c r="AT164" s="295">
        <f>AT162-AT163</f>
        <v>4281.5819094617636</v>
      </c>
      <c r="AU164" s="295">
        <f t="shared" ref="AU164" si="261">AU162-AU163</f>
        <v>4533.8817277595272</v>
      </c>
    </row>
    <row r="165" spans="1:47">
      <c r="B165" s="409" t="s">
        <v>205</v>
      </c>
      <c r="C165" s="526"/>
      <c r="D165" s="511"/>
      <c r="E165" s="526"/>
      <c r="F165" s="526"/>
      <c r="G165" s="511"/>
      <c r="H165" s="526"/>
      <c r="I165" s="526"/>
      <c r="J165" s="511"/>
      <c r="K165" s="526"/>
      <c r="L165" s="526"/>
      <c r="M165" s="511"/>
      <c r="N165" s="526"/>
      <c r="O165" s="526"/>
      <c r="P165" s="511"/>
      <c r="Q165" s="526"/>
      <c r="R165" s="526"/>
      <c r="S165" s="526"/>
      <c r="T165" s="514"/>
      <c r="U165" s="514"/>
      <c r="V165" s="526"/>
      <c r="W165" s="514"/>
      <c r="X165" s="514"/>
      <c r="Y165" s="526"/>
      <c r="Z165" s="514"/>
      <c r="AA165" s="312"/>
      <c r="AB165" s="312"/>
      <c r="AC165" s="312"/>
      <c r="AD165" s="312"/>
      <c r="AE165" s="312"/>
      <c r="AF165" s="312"/>
      <c r="AG165" s="312"/>
      <c r="AH165" s="312"/>
      <c r="AI165" s="312"/>
      <c r="AJ165" s="312"/>
      <c r="AK165" s="312"/>
      <c r="AL165" s="312"/>
      <c r="AM165" s="312"/>
      <c r="AN165" s="312"/>
      <c r="AO165" s="312"/>
      <c r="AP165" s="312"/>
      <c r="AQ165" s="312"/>
      <c r="AR165" s="312"/>
      <c r="AS165" s="295">
        <f>AR165</f>
        <v>0</v>
      </c>
      <c r="AT165" s="295">
        <f>AS165</f>
        <v>0</v>
      </c>
      <c r="AU165" s="295">
        <f t="shared" ref="AU165" si="262">AT165</f>
        <v>0</v>
      </c>
    </row>
    <row r="166" spans="1:47">
      <c r="B166" s="409"/>
      <c r="C166" s="539"/>
      <c r="D166" s="511"/>
      <c r="E166" s="539"/>
      <c r="F166" s="539"/>
      <c r="G166" s="511"/>
      <c r="H166" s="539"/>
      <c r="I166" s="539"/>
      <c r="J166" s="511"/>
      <c r="K166" s="539"/>
      <c r="L166" s="539"/>
      <c r="M166" s="511"/>
      <c r="N166" s="574"/>
      <c r="O166" s="539"/>
      <c r="P166" s="511"/>
      <c r="Q166" s="574"/>
      <c r="R166" s="539"/>
      <c r="S166" s="574"/>
      <c r="T166" s="539"/>
      <c r="U166" s="539"/>
      <c r="V166" s="574"/>
      <c r="W166" s="539"/>
      <c r="X166" s="514"/>
      <c r="Y166" s="574"/>
      <c r="Z166" s="539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U166" s="198"/>
    </row>
    <row r="167" spans="1:47">
      <c r="B167" s="409" t="s">
        <v>157</v>
      </c>
      <c r="C167" s="526"/>
      <c r="D167" s="511"/>
      <c r="E167" s="526"/>
      <c r="F167" s="526"/>
      <c r="G167" s="511"/>
      <c r="H167" s="526"/>
      <c r="I167" s="526"/>
      <c r="J167" s="511"/>
      <c r="K167" s="526"/>
      <c r="L167" s="526"/>
      <c r="M167" s="511"/>
      <c r="N167" s="526"/>
      <c r="O167" s="526"/>
      <c r="P167" s="511"/>
      <c r="Q167" s="526"/>
      <c r="R167" s="526"/>
      <c r="S167" s="526"/>
      <c r="T167" s="514">
        <v>0.17599999999999999</v>
      </c>
      <c r="U167" s="514"/>
      <c r="V167" s="526"/>
      <c r="W167" s="514"/>
      <c r="X167" s="514"/>
      <c r="Y167" s="526"/>
      <c r="Z167" s="514"/>
      <c r="AA167" s="295"/>
      <c r="AB167" s="312"/>
      <c r="AC167" s="295"/>
      <c r="AD167" s="295"/>
      <c r="AE167" s="312"/>
      <c r="AF167" s="295"/>
      <c r="AG167" s="295"/>
      <c r="AH167" s="312"/>
      <c r="AI167" s="295"/>
      <c r="AJ167" s="295"/>
      <c r="AK167" s="312"/>
      <c r="AL167" s="312"/>
      <c r="AM167" s="312"/>
      <c r="AN167" s="312"/>
      <c r="AO167" s="312"/>
      <c r="AP167" s="312"/>
      <c r="AQ167" s="312"/>
      <c r="AR167" s="312"/>
      <c r="AS167" s="295">
        <f>AR167+AS37-AS104-AS95-AS99</f>
        <v>0</v>
      </c>
      <c r="AT167" s="295">
        <f>AS167+AT37-AT104-AT95-AT99</f>
        <v>0</v>
      </c>
      <c r="AU167" s="295">
        <f t="shared" ref="AU167" si="263">AT167+AU37-AU104-AU95-AU99</f>
        <v>0</v>
      </c>
    </row>
    <row r="168" spans="1:47">
      <c r="B168" s="409" t="s">
        <v>158</v>
      </c>
      <c r="C168" s="526"/>
      <c r="D168" s="511"/>
      <c r="E168" s="526"/>
      <c r="F168" s="526"/>
      <c r="G168" s="511"/>
      <c r="H168" s="526"/>
      <c r="I168" s="526"/>
      <c r="J168" s="511"/>
      <c r="K168" s="526"/>
      <c r="L168" s="526"/>
      <c r="M168" s="511"/>
      <c r="N168" s="526"/>
      <c r="O168" s="526"/>
      <c r="P168" s="511"/>
      <c r="Q168" s="526"/>
      <c r="R168" s="526"/>
      <c r="S168" s="526"/>
      <c r="T168" s="514"/>
      <c r="U168" s="514"/>
      <c r="V168" s="526"/>
      <c r="W168" s="514"/>
      <c r="X168" s="514"/>
      <c r="Y168" s="526"/>
      <c r="Z168" s="514"/>
      <c r="AA168" s="312"/>
      <c r="AB168" s="312"/>
      <c r="AC168" s="312"/>
      <c r="AD168" s="312"/>
      <c r="AE168" s="312"/>
      <c r="AF168" s="312"/>
      <c r="AG168" s="312"/>
      <c r="AH168" s="312"/>
      <c r="AI168" s="312"/>
      <c r="AJ168" s="312"/>
      <c r="AK168" s="312"/>
      <c r="AL168" s="312"/>
      <c r="AM168" s="312"/>
      <c r="AN168" s="312"/>
      <c r="AO168" s="312"/>
      <c r="AP168" s="312"/>
      <c r="AQ168" s="312"/>
      <c r="AR168" s="312"/>
      <c r="AS168" s="295">
        <f>AR168-AS105</f>
        <v>0</v>
      </c>
      <c r="AT168" s="295">
        <f>AS168-AT105</f>
        <v>0</v>
      </c>
      <c r="AU168" s="295">
        <f t="shared" ref="AU168" si="264">AT168-AU105</f>
        <v>0</v>
      </c>
    </row>
    <row r="169" spans="1:47">
      <c r="B169" s="409" t="s">
        <v>2</v>
      </c>
      <c r="C169" s="511"/>
      <c r="D169" s="511"/>
      <c r="E169" s="511"/>
      <c r="F169" s="511"/>
      <c r="G169" s="511"/>
      <c r="H169" s="511"/>
      <c r="I169" s="511"/>
      <c r="J169" s="511"/>
      <c r="K169" s="511"/>
      <c r="L169" s="511"/>
      <c r="M169" s="511"/>
      <c r="N169" s="511"/>
      <c r="O169" s="511"/>
      <c r="P169" s="511"/>
      <c r="Q169" s="511"/>
      <c r="R169" s="511"/>
      <c r="S169" s="511"/>
      <c r="T169" s="523">
        <f>SUM(T167:T168)</f>
        <v>0.17599999999999999</v>
      </c>
      <c r="U169" s="523">
        <f>SUM(U167:U168)</f>
        <v>0</v>
      </c>
      <c r="V169" s="511"/>
      <c r="W169" s="523">
        <f>SUM(W167:W168)</f>
        <v>0</v>
      </c>
      <c r="X169" s="523">
        <f>SUM(X167:X168)</f>
        <v>0</v>
      </c>
      <c r="Y169" s="511"/>
      <c r="Z169" s="523">
        <f>SUM(Z167:Z168)</f>
        <v>0</v>
      </c>
      <c r="AA169" s="295"/>
      <c r="AB169" s="295"/>
      <c r="AC169" s="295"/>
      <c r="AD169" s="295"/>
      <c r="AE169" s="295"/>
      <c r="AF169" s="295"/>
      <c r="AG169" s="295"/>
      <c r="AH169" s="295"/>
      <c r="AI169" s="295"/>
      <c r="AJ169" s="295"/>
      <c r="AK169" s="295"/>
      <c r="AL169" s="295">
        <f>SUM(AL167:AL168)</f>
        <v>0</v>
      </c>
      <c r="AM169" s="295">
        <f>SUM(AM167:AM168)</f>
        <v>0</v>
      </c>
      <c r="AN169" s="295"/>
      <c r="AO169" s="295">
        <f>SUM(AO167:AO168)</f>
        <v>0</v>
      </c>
      <c r="AP169" s="295">
        <f>SUM(AP167:AP168)</f>
        <v>0</v>
      </c>
      <c r="AQ169" s="295"/>
      <c r="AR169" s="295">
        <f>SUM(AR167:AR168)</f>
        <v>0</v>
      </c>
      <c r="AS169" s="295">
        <f>SUM(AS167:AS168)</f>
        <v>0</v>
      </c>
      <c r="AT169" s="295">
        <f>SUM(AT167:AT168)</f>
        <v>0</v>
      </c>
      <c r="AU169" s="295">
        <f t="shared" ref="AU169" si="265">SUM(AU167:AU168)</f>
        <v>0</v>
      </c>
    </row>
    <row r="170" spans="1:47">
      <c r="B170" s="409" t="s">
        <v>70</v>
      </c>
      <c r="C170" s="526"/>
      <c r="D170" s="511"/>
      <c r="E170" s="526"/>
      <c r="F170" s="526"/>
      <c r="G170" s="511"/>
      <c r="H170" s="526"/>
      <c r="I170" s="526"/>
      <c r="J170" s="511"/>
      <c r="K170" s="526"/>
      <c r="L170" s="526"/>
      <c r="M170" s="511"/>
      <c r="N170" s="526"/>
      <c r="O170" s="526"/>
      <c r="P170" s="511"/>
      <c r="Q170" s="526"/>
      <c r="R170" s="526"/>
      <c r="S170" s="526"/>
      <c r="T170" s="514">
        <v>1.554</v>
      </c>
      <c r="U170" s="514"/>
      <c r="V170" s="526"/>
      <c r="W170" s="514">
        <v>1.65</v>
      </c>
      <c r="X170" s="514"/>
      <c r="Y170" s="526"/>
      <c r="Z170" s="514">
        <v>6.5</v>
      </c>
      <c r="AA170" s="312"/>
      <c r="AB170" s="312"/>
      <c r="AC170" s="312"/>
      <c r="AD170" s="312"/>
      <c r="AE170" s="312"/>
      <c r="AF170" s="312"/>
      <c r="AG170" s="312"/>
      <c r="AH170" s="312"/>
      <c r="AI170" s="312"/>
      <c r="AJ170" s="312"/>
      <c r="AK170" s="312"/>
      <c r="AL170" s="312"/>
      <c r="AM170" s="312"/>
      <c r="AN170" s="312"/>
      <c r="AO170" s="312"/>
      <c r="AP170" s="312"/>
      <c r="AQ170" s="312"/>
      <c r="AR170" s="312"/>
      <c r="AS170" s="295">
        <f t="shared" ref="AS170:AU170" si="266">AR170</f>
        <v>0</v>
      </c>
      <c r="AT170" s="295">
        <f t="shared" si="266"/>
        <v>0</v>
      </c>
      <c r="AU170" s="295">
        <f t="shared" si="266"/>
        <v>0</v>
      </c>
    </row>
    <row r="171" spans="1:47">
      <c r="B171" s="409" t="s">
        <v>31</v>
      </c>
      <c r="C171" s="526"/>
      <c r="D171" s="511"/>
      <c r="E171" s="526"/>
      <c r="F171" s="526"/>
      <c r="G171" s="511"/>
      <c r="H171" s="526"/>
      <c r="I171" s="526"/>
      <c r="J171" s="511"/>
      <c r="K171" s="526"/>
      <c r="L171" s="526"/>
      <c r="M171" s="511"/>
      <c r="N171" s="526"/>
      <c r="O171" s="526"/>
      <c r="P171" s="511"/>
      <c r="Q171" s="526"/>
      <c r="R171" s="526"/>
      <c r="S171" s="526"/>
      <c r="T171" s="514">
        <v>1.355</v>
      </c>
      <c r="U171" s="514"/>
      <c r="V171" s="526"/>
      <c r="W171" s="514">
        <v>0.161</v>
      </c>
      <c r="X171" s="514"/>
      <c r="Y171" s="526"/>
      <c r="Z171" s="514">
        <v>0.8</v>
      </c>
      <c r="AA171" s="312">
        <v>46.5</v>
      </c>
      <c r="AB171" s="312"/>
      <c r="AC171" s="312">
        <v>56.2</v>
      </c>
      <c r="AD171" s="312">
        <v>64.7</v>
      </c>
      <c r="AE171" s="312"/>
      <c r="AF171" s="312">
        <v>60.4</v>
      </c>
      <c r="AG171" s="312">
        <v>63</v>
      </c>
      <c r="AH171" s="312"/>
      <c r="AI171" s="312">
        <v>63.8</v>
      </c>
      <c r="AJ171" s="312">
        <v>72.7</v>
      </c>
      <c r="AK171" s="312"/>
      <c r="AL171" s="312">
        <f>3.5+5.3</f>
        <v>8.8000000000000007</v>
      </c>
      <c r="AM171" s="312">
        <f>3.2+8.2+0.6</f>
        <v>11.999999999999998</v>
      </c>
      <c r="AN171" s="312"/>
      <c r="AO171" s="312">
        <f>7.4+7.3</f>
        <v>14.7</v>
      </c>
      <c r="AP171" s="312">
        <f>7.2+10.9</f>
        <v>18.100000000000001</v>
      </c>
      <c r="AQ171" s="312"/>
      <c r="AR171" s="312">
        <f>5.5+0.1+10.9</f>
        <v>16.5</v>
      </c>
      <c r="AS171" s="295">
        <f t="shared" ref="AS171:AU171" si="267">AR171-AS106</f>
        <v>22.8</v>
      </c>
      <c r="AT171" s="295">
        <f t="shared" si="267"/>
        <v>30.5</v>
      </c>
      <c r="AU171" s="295">
        <f t="shared" si="267"/>
        <v>36.799999999999997</v>
      </c>
    </row>
    <row r="172" spans="1:47" s="397" customFormat="1">
      <c r="A172" s="346"/>
      <c r="B172" s="380" t="s">
        <v>71</v>
      </c>
      <c r="C172" s="511"/>
      <c r="D172" s="511"/>
      <c r="E172" s="511"/>
      <c r="F172" s="511"/>
      <c r="G172" s="511"/>
      <c r="H172" s="511"/>
      <c r="I172" s="511"/>
      <c r="J172" s="511"/>
      <c r="K172" s="511"/>
      <c r="L172" s="511"/>
      <c r="M172" s="511"/>
      <c r="N172" s="511"/>
      <c r="O172" s="511"/>
      <c r="P172" s="511"/>
      <c r="Q172" s="511"/>
      <c r="R172" s="511"/>
      <c r="S172" s="510"/>
      <c r="T172" s="523">
        <f>T153+T154+T157+T161+T165+T164+T167+T168+T170+T171</f>
        <v>153.64299999999997</v>
      </c>
      <c r="U172" s="523">
        <f>U153+U154+U157+U161+U165+U164+U167+U168+U170+U171</f>
        <v>0</v>
      </c>
      <c r="V172" s="510"/>
      <c r="W172" s="523">
        <f>W153+W154+W157+W161+W165+W164+W167+W168+W170+W171</f>
        <v>376.447</v>
      </c>
      <c r="X172" s="523">
        <f>X153+X154+X157+X161+X165+X164+X167+X168+X170+X171</f>
        <v>0</v>
      </c>
      <c r="Y172" s="510"/>
      <c r="Z172" s="523">
        <f>Z153+Z154+Z157+Z161+Z165+Z164+Z167+Z168+Z170+Z171</f>
        <v>806.8</v>
      </c>
      <c r="AA172" s="439">
        <f>AA153+AA154+AA157+AA161+AA165+AA164+AA167+AA168+AA170+AA171</f>
        <v>626.20000000000005</v>
      </c>
      <c r="AB172" s="439"/>
      <c r="AC172" s="439">
        <f>AC153+AC154+AC157+AC161+AC165+AC164+AC167+AC168+AC170+AC171</f>
        <v>664.7</v>
      </c>
      <c r="AD172" s="439">
        <f>AD153+AD154+AD157+AD161+AD165+AD164+AD167+AD168+AD170+AD171</f>
        <v>732.6</v>
      </c>
      <c r="AE172" s="439"/>
      <c r="AF172" s="439">
        <f>AF153+AF154+AF157+AF161+AF165+AF164+AF167+AF168+AF170+AF171</f>
        <v>740.9</v>
      </c>
      <c r="AG172" s="439">
        <f>AG153+AG154+AG157+AG161+AG165+AG164+AG167+AG168+AG170+AG171</f>
        <v>739.8</v>
      </c>
      <c r="AH172" s="439"/>
      <c r="AI172" s="439">
        <f>AI153+AI154+AI157+AI161+AI165+AI164+AI167+AI168+AI170+AI171</f>
        <v>725.5</v>
      </c>
      <c r="AJ172" s="439">
        <f>AJ153+AJ154+AJ157+AJ161+AJ165+AJ164+AJ167+AJ168+AJ170+AJ171</f>
        <v>821.7</v>
      </c>
      <c r="AK172" s="439"/>
      <c r="AL172" s="439">
        <f>AL153+AL154+AL157+AL161+AL165+AL164+AL167+AL168+AL170+AL171</f>
        <v>1506.8</v>
      </c>
      <c r="AM172" s="439">
        <f>AM153+AM154+AM157+AM161+AM165+AM164+AM167+AM168+AM170+AM171</f>
        <v>1640.6</v>
      </c>
      <c r="AN172" s="439"/>
      <c r="AO172" s="439">
        <f>AO153+AO154+AO157+AO161+AO165+AO164+AO167+AO168+AO170+AO171</f>
        <v>1655.6</v>
      </c>
      <c r="AP172" s="439">
        <f>AP153+AP154+AP157+AP161+AP165+AP164+AP167+AP168+AP170+AP171</f>
        <v>1692.8999999999999</v>
      </c>
      <c r="AQ172" s="439"/>
      <c r="AR172" s="439">
        <f>AR153+AR154+AR157+AR161+AR165+AR164+AR167+AR168+AR170+AR171</f>
        <v>1914.4</v>
      </c>
      <c r="AS172" s="439">
        <f>AS153+AS154+AS157+AS161+AS165+AS164+AS167+AS168+AS170+AS171</f>
        <v>4188.2742187020012</v>
      </c>
      <c r="AT172" s="439">
        <f>AT153+AT154+AT157+AT161+AT165+AT164+AT167+AT168+AT170+AT171</f>
        <v>4402.7819094617635</v>
      </c>
      <c r="AU172" s="439">
        <f t="shared" ref="AU172" si="268">AU153+AU154+AU157+AU161+AU165+AU164+AU167+AU168+AU170+AU171</f>
        <v>4661.3817277595272</v>
      </c>
    </row>
    <row r="173" spans="1:47">
      <c r="B173" s="380"/>
      <c r="C173" s="539"/>
      <c r="D173" s="511"/>
      <c r="E173" s="539"/>
      <c r="F173" s="539"/>
      <c r="G173" s="511"/>
      <c r="H173" s="539"/>
      <c r="I173" s="539"/>
      <c r="J173" s="511"/>
      <c r="K173" s="539"/>
      <c r="L173" s="539"/>
      <c r="M173" s="511"/>
      <c r="N173" s="539"/>
      <c r="O173" s="577"/>
      <c r="P173" s="511"/>
      <c r="Q173" s="539"/>
      <c r="R173" s="577"/>
      <c r="S173" s="539"/>
      <c r="T173" s="539"/>
      <c r="U173" s="539"/>
      <c r="V173" s="539"/>
      <c r="W173" s="539"/>
      <c r="X173" s="539"/>
      <c r="Y173" s="539"/>
      <c r="Z173" s="539"/>
      <c r="AA173" s="198"/>
      <c r="AB173" s="198"/>
      <c r="AC173" s="198"/>
      <c r="AD173" s="198"/>
      <c r="AE173" s="198"/>
      <c r="AF173" s="198"/>
      <c r="AG173" s="198"/>
      <c r="AH173" s="198"/>
      <c r="AI173" s="198"/>
      <c r="AJ173" s="198"/>
      <c r="AK173" s="198"/>
      <c r="AL173" s="198"/>
      <c r="AM173" s="198"/>
      <c r="AN173" s="198"/>
      <c r="AO173" s="198"/>
      <c r="AP173" s="198"/>
      <c r="AQ173" s="198"/>
      <c r="AR173" s="198"/>
      <c r="AS173" s="198"/>
      <c r="AT173" s="198"/>
      <c r="AU173" s="198"/>
    </row>
    <row r="174" spans="1:47">
      <c r="B174" s="416" t="s">
        <v>72</v>
      </c>
      <c r="C174" s="530"/>
      <c r="D174" s="578"/>
      <c r="E174" s="530"/>
      <c r="F174" s="530"/>
      <c r="G174" s="578"/>
      <c r="H174" s="530"/>
      <c r="I174" s="530"/>
      <c r="J174" s="578"/>
      <c r="K174" s="530"/>
      <c r="L174" s="530"/>
      <c r="M174" s="578"/>
      <c r="N174" s="530"/>
      <c r="O174" s="530"/>
      <c r="P174" s="578"/>
      <c r="Q174" s="530"/>
      <c r="R174" s="530"/>
      <c r="S174" s="530"/>
      <c r="T174" s="531">
        <f>T150+T172</f>
        <v>276.226</v>
      </c>
      <c r="U174" s="531">
        <f>U150+U172</f>
        <v>0</v>
      </c>
      <c r="V174" s="530"/>
      <c r="W174" s="531">
        <f>W150+W172</f>
        <v>537.226</v>
      </c>
      <c r="X174" s="531">
        <f>X150+X172</f>
        <v>0</v>
      </c>
      <c r="Y174" s="530"/>
      <c r="Z174" s="531">
        <f>Z150+Z172</f>
        <v>1130.7</v>
      </c>
      <c r="AA174" s="464">
        <f>AA150+AA172</f>
        <v>827.5</v>
      </c>
      <c r="AB174" s="464"/>
      <c r="AC174" s="464">
        <f>AC150+AC172</f>
        <v>877.90000000000009</v>
      </c>
      <c r="AD174" s="464">
        <f>AD150+AD172</f>
        <v>992.1</v>
      </c>
      <c r="AE174" s="464"/>
      <c r="AF174" s="464">
        <f>AF150+AF172</f>
        <v>1053.2</v>
      </c>
      <c r="AG174" s="464">
        <f>AG150+AG172</f>
        <v>1086</v>
      </c>
      <c r="AH174" s="464"/>
      <c r="AI174" s="464">
        <f>AI150+AI172</f>
        <v>1145.3</v>
      </c>
      <c r="AJ174" s="464">
        <f>AJ150+AJ172</f>
        <v>1238.9000000000001</v>
      </c>
      <c r="AK174" s="464"/>
      <c r="AL174" s="464">
        <f>AL150+AL172</f>
        <v>1751.2</v>
      </c>
      <c r="AM174" s="464">
        <f>AM150+AM172</f>
        <v>1886.6999999999998</v>
      </c>
      <c r="AN174" s="464"/>
      <c r="AO174" s="464">
        <f>AO150+AO172</f>
        <v>1875</v>
      </c>
      <c r="AP174" s="464">
        <f>AP150+AP172</f>
        <v>1960.1999999999998</v>
      </c>
      <c r="AQ174" s="464"/>
      <c r="AR174" s="464">
        <f>AR150+AR172</f>
        <v>2234</v>
      </c>
      <c r="AS174" s="464">
        <f>AS150+AS172</f>
        <v>4585.5069710222551</v>
      </c>
      <c r="AT174" s="464">
        <f>AT150+AT172</f>
        <v>4830.8755738859472</v>
      </c>
      <c r="AU174" s="464">
        <f t="shared" ref="AU174" si="269">AU150+AU172</f>
        <v>5120.5357598843348</v>
      </c>
    </row>
    <row r="175" spans="1:47">
      <c r="B175" s="409"/>
      <c r="C175" s="539"/>
      <c r="D175" s="511"/>
      <c r="E175" s="539"/>
      <c r="F175" s="539"/>
      <c r="G175" s="511"/>
      <c r="H175" s="539"/>
      <c r="I175" s="539"/>
      <c r="J175" s="511"/>
      <c r="K175" s="539"/>
      <c r="L175" s="539"/>
      <c r="M175" s="511"/>
      <c r="N175" s="539"/>
      <c r="O175" s="539"/>
      <c r="P175" s="511"/>
      <c r="Q175" s="539"/>
      <c r="R175" s="539"/>
      <c r="S175" s="539"/>
      <c r="T175" s="539"/>
      <c r="U175" s="539"/>
      <c r="V175" s="539"/>
      <c r="W175" s="579"/>
      <c r="X175" s="539"/>
      <c r="Y175" s="539"/>
      <c r="Z175" s="579"/>
      <c r="AA175" s="198"/>
      <c r="AB175" s="465"/>
      <c r="AC175" s="198"/>
      <c r="AD175" s="198"/>
      <c r="AE175" s="465"/>
      <c r="AF175" s="198"/>
      <c r="AG175" s="198"/>
      <c r="AH175" s="465"/>
      <c r="AI175" s="198"/>
      <c r="AJ175" s="198"/>
      <c r="AK175" s="465"/>
      <c r="AL175" s="465"/>
      <c r="AM175" s="465"/>
      <c r="AN175" s="465"/>
      <c r="AO175" s="465"/>
      <c r="AP175" s="465"/>
      <c r="AQ175" s="465"/>
      <c r="AR175" s="465"/>
      <c r="AS175" s="198"/>
      <c r="AT175" s="198"/>
      <c r="AU175" s="198"/>
    </row>
    <row r="176" spans="1:47">
      <c r="B176" s="380" t="s">
        <v>73</v>
      </c>
      <c r="C176" s="539"/>
      <c r="D176" s="511"/>
      <c r="E176" s="539"/>
      <c r="F176" s="539"/>
      <c r="G176" s="511"/>
      <c r="H176" s="539"/>
      <c r="I176" s="539"/>
      <c r="J176" s="511"/>
      <c r="K176" s="539"/>
      <c r="L176" s="539"/>
      <c r="M176" s="511"/>
      <c r="N176" s="539"/>
      <c r="O176" s="539"/>
      <c r="P176" s="511"/>
      <c r="Q176" s="539"/>
      <c r="R176" s="539"/>
      <c r="S176" s="539"/>
      <c r="T176" s="539"/>
      <c r="U176" s="539"/>
      <c r="V176" s="539"/>
      <c r="W176" s="539"/>
      <c r="X176" s="539"/>
      <c r="Y176" s="539"/>
      <c r="Z176" s="539"/>
      <c r="AA176" s="198"/>
      <c r="AB176" s="198"/>
      <c r="AC176" s="198"/>
      <c r="AD176" s="198"/>
      <c r="AE176" s="198"/>
      <c r="AF176" s="198"/>
      <c r="AG176" s="198"/>
      <c r="AH176" s="198"/>
      <c r="AI176" s="198"/>
      <c r="AJ176" s="198"/>
      <c r="AK176" s="198"/>
      <c r="AL176" s="198"/>
      <c r="AM176" s="198"/>
      <c r="AN176" s="198"/>
      <c r="AO176" s="198"/>
      <c r="AP176" s="198"/>
      <c r="AQ176" s="198"/>
      <c r="AR176" s="198"/>
      <c r="AS176" s="198"/>
      <c r="AT176" s="198"/>
      <c r="AU176" s="198"/>
    </row>
    <row r="177" spans="1:47">
      <c r="B177" s="409" t="s">
        <v>34</v>
      </c>
      <c r="C177" s="526"/>
      <c r="D177" s="511"/>
      <c r="E177" s="511"/>
      <c r="F177" s="511"/>
      <c r="G177" s="511"/>
      <c r="H177" s="511"/>
      <c r="I177" s="511"/>
      <c r="J177" s="511"/>
      <c r="K177" s="511"/>
      <c r="L177" s="511"/>
      <c r="M177" s="511"/>
      <c r="N177" s="511"/>
      <c r="O177" s="511"/>
      <c r="P177" s="511"/>
      <c r="Q177" s="511"/>
      <c r="R177" s="526"/>
      <c r="S177" s="526"/>
      <c r="T177" s="514">
        <v>2.6219999999999999</v>
      </c>
      <c r="U177" s="514"/>
      <c r="V177" s="526"/>
      <c r="W177" s="514">
        <v>1.08</v>
      </c>
      <c r="X177" s="514"/>
      <c r="Y177" s="526"/>
      <c r="Z177" s="514">
        <v>0.2</v>
      </c>
      <c r="AA177" s="312">
        <v>0.4</v>
      </c>
      <c r="AB177" s="312"/>
      <c r="AC177" s="312"/>
      <c r="AD177" s="312"/>
      <c r="AE177" s="312"/>
      <c r="AF177" s="312"/>
      <c r="AG177" s="312"/>
      <c r="AH177" s="312"/>
      <c r="AI177" s="312"/>
      <c r="AJ177" s="312"/>
      <c r="AK177" s="312"/>
      <c r="AL177" s="312">
        <v>149.19999999999999</v>
      </c>
      <c r="AM177" s="312">
        <v>0</v>
      </c>
      <c r="AN177" s="312"/>
      <c r="AO177" s="312">
        <v>0</v>
      </c>
      <c r="AP177" s="312">
        <v>0</v>
      </c>
      <c r="AQ177" s="312"/>
      <c r="AR177" s="312">
        <v>0</v>
      </c>
      <c r="AS177" s="295">
        <f>AR177</f>
        <v>0</v>
      </c>
      <c r="AT177" s="295">
        <f>AS177</f>
        <v>0</v>
      </c>
      <c r="AU177" s="295">
        <f t="shared" ref="AU177" si="270">AT177</f>
        <v>0</v>
      </c>
    </row>
    <row r="178" spans="1:47">
      <c r="B178" s="409" t="s">
        <v>74</v>
      </c>
      <c r="C178" s="526"/>
      <c r="D178" s="511"/>
      <c r="E178" s="526"/>
      <c r="F178" s="526"/>
      <c r="G178" s="511"/>
      <c r="H178" s="526"/>
      <c r="I178" s="526"/>
      <c r="J178" s="511"/>
      <c r="K178" s="526"/>
      <c r="L178" s="526"/>
      <c r="M178" s="511"/>
      <c r="N178" s="526"/>
      <c r="O178" s="526"/>
      <c r="P178" s="511"/>
      <c r="Q178" s="526"/>
      <c r="R178" s="526"/>
      <c r="S178" s="526"/>
      <c r="T178" s="514">
        <v>15.246</v>
      </c>
      <c r="U178" s="514"/>
      <c r="V178" s="526"/>
      <c r="W178" s="514">
        <v>23.076000000000001</v>
      </c>
      <c r="X178" s="514"/>
      <c r="Y178" s="526"/>
      <c r="Z178" s="514">
        <v>35.200000000000003</v>
      </c>
      <c r="AA178" s="312"/>
      <c r="AB178" s="312"/>
      <c r="AC178" s="312"/>
      <c r="AD178" s="312"/>
      <c r="AE178" s="312"/>
      <c r="AF178" s="312"/>
      <c r="AG178" s="312"/>
      <c r="AH178" s="312"/>
      <c r="AI178" s="312"/>
      <c r="AJ178" s="312"/>
      <c r="AK178" s="312"/>
      <c r="AL178" s="312">
        <v>56.7</v>
      </c>
      <c r="AM178" s="312">
        <v>61.6</v>
      </c>
      <c r="AN178" s="312"/>
      <c r="AO178" s="312">
        <v>54.9</v>
      </c>
      <c r="AP178" s="312">
        <v>62.6</v>
      </c>
      <c r="AQ178" s="312"/>
      <c r="AR178" s="312">
        <v>89.9</v>
      </c>
      <c r="AS178" s="295">
        <f>AR178*(1+AS$56)</f>
        <v>163.44251247197892</v>
      </c>
      <c r="AT178" s="295">
        <f>AS178*(1+AT$56)</f>
        <v>192.67745449667166</v>
      </c>
      <c r="AU178" s="295">
        <f t="shared" ref="AU178" si="271">AT178*(1+AU$56)</f>
        <v>222.10134339325793</v>
      </c>
    </row>
    <row r="179" spans="1:47">
      <c r="B179" s="409" t="s">
        <v>75</v>
      </c>
      <c r="C179" s="526"/>
      <c r="D179" s="511"/>
      <c r="E179" s="526"/>
      <c r="F179" s="526"/>
      <c r="G179" s="511"/>
      <c r="H179" s="526"/>
      <c r="I179" s="526"/>
      <c r="J179" s="511"/>
      <c r="K179" s="526"/>
      <c r="L179" s="526"/>
      <c r="M179" s="511"/>
      <c r="N179" s="526"/>
      <c r="O179" s="526"/>
      <c r="P179" s="511"/>
      <c r="Q179" s="526"/>
      <c r="R179" s="526"/>
      <c r="S179" s="526"/>
      <c r="T179" s="514">
        <v>12.568</v>
      </c>
      <c r="U179" s="514"/>
      <c r="V179" s="526"/>
      <c r="W179" s="514">
        <v>10.132999999999999</v>
      </c>
      <c r="X179" s="514"/>
      <c r="Y179" s="526"/>
      <c r="Z179" s="514">
        <v>19</v>
      </c>
      <c r="AA179" s="312"/>
      <c r="AB179" s="312"/>
      <c r="AC179" s="312"/>
      <c r="AD179" s="312"/>
      <c r="AE179" s="312"/>
      <c r="AF179" s="312"/>
      <c r="AG179" s="312"/>
      <c r="AH179" s="312"/>
      <c r="AI179" s="312"/>
      <c r="AJ179" s="312"/>
      <c r="AK179" s="312"/>
      <c r="AL179" s="312">
        <v>20.5</v>
      </c>
      <c r="AM179" s="312">
        <v>20.8</v>
      </c>
      <c r="AN179" s="312"/>
      <c r="AO179" s="312">
        <v>21.4</v>
      </c>
      <c r="AP179" s="312">
        <v>15</v>
      </c>
      <c r="AQ179" s="312"/>
      <c r="AR179" s="312">
        <v>18.899999999999999</v>
      </c>
      <c r="AS179" s="295">
        <f>AR179</f>
        <v>18.899999999999999</v>
      </c>
      <c r="AT179" s="295">
        <f>AS179</f>
        <v>18.899999999999999</v>
      </c>
      <c r="AU179" s="295">
        <f t="shared" ref="AU179" si="272">AT179</f>
        <v>18.899999999999999</v>
      </c>
    </row>
    <row r="180" spans="1:47">
      <c r="B180" s="409" t="s">
        <v>35</v>
      </c>
      <c r="C180" s="526"/>
      <c r="D180" s="511"/>
      <c r="E180" s="526"/>
      <c r="F180" s="526"/>
      <c r="G180" s="511"/>
      <c r="H180" s="526"/>
      <c r="I180" s="526"/>
      <c r="J180" s="511"/>
      <c r="K180" s="526"/>
      <c r="L180" s="526"/>
      <c r="M180" s="511"/>
      <c r="N180" s="526"/>
      <c r="O180" s="526"/>
      <c r="P180" s="511"/>
      <c r="Q180" s="526"/>
      <c r="R180" s="526"/>
      <c r="S180" s="526"/>
      <c r="T180" s="514">
        <v>6.2030000000000003</v>
      </c>
      <c r="U180" s="514"/>
      <c r="V180" s="526"/>
      <c r="W180" s="514">
        <v>9.1820000000000004</v>
      </c>
      <c r="X180" s="514"/>
      <c r="Y180" s="526"/>
      <c r="Z180" s="514">
        <v>13.1</v>
      </c>
      <c r="AA180" s="312"/>
      <c r="AB180" s="312"/>
      <c r="AC180" s="312"/>
      <c r="AD180" s="312"/>
      <c r="AE180" s="312"/>
      <c r="AF180" s="312"/>
      <c r="AG180" s="312"/>
      <c r="AH180" s="312"/>
      <c r="AI180" s="312"/>
      <c r="AJ180" s="312"/>
      <c r="AK180" s="312"/>
      <c r="AL180" s="312">
        <v>23.9</v>
      </c>
      <c r="AM180" s="312">
        <v>24</v>
      </c>
      <c r="AN180" s="312"/>
      <c r="AO180" s="312">
        <v>25.6</v>
      </c>
      <c r="AP180" s="312">
        <v>25.6</v>
      </c>
      <c r="AQ180" s="312"/>
      <c r="AR180" s="312">
        <v>31.9</v>
      </c>
      <c r="AS180" s="295">
        <f>AR180+AS35+AS87</f>
        <v>31.900000000000006</v>
      </c>
      <c r="AT180" s="295">
        <f>AS180+AT35+AT87</f>
        <v>31.900000000000006</v>
      </c>
      <c r="AU180" s="295">
        <f t="shared" ref="AU180" si="273">AT180+AU35+AU87</f>
        <v>31.900000000000006</v>
      </c>
    </row>
    <row r="181" spans="1:47">
      <c r="B181" s="409" t="s">
        <v>76</v>
      </c>
      <c r="C181" s="526"/>
      <c r="D181" s="511"/>
      <c r="E181" s="526"/>
      <c r="F181" s="526"/>
      <c r="G181" s="511"/>
      <c r="H181" s="526"/>
      <c r="I181" s="526"/>
      <c r="J181" s="511"/>
      <c r="K181" s="526"/>
      <c r="L181" s="526"/>
      <c r="M181" s="511"/>
      <c r="N181" s="526"/>
      <c r="O181" s="526"/>
      <c r="P181" s="511"/>
      <c r="Q181" s="526"/>
      <c r="R181" s="526"/>
      <c r="S181" s="526"/>
      <c r="T181" s="514">
        <f>3.236+2.452</f>
        <v>5.6880000000000006</v>
      </c>
      <c r="U181" s="514"/>
      <c r="V181" s="526"/>
      <c r="W181" s="514">
        <f>35.462+0.637</f>
        <v>36.099000000000004</v>
      </c>
      <c r="X181" s="514"/>
      <c r="Y181" s="526"/>
      <c r="Z181" s="514">
        <f>96.6+4.7+0.2</f>
        <v>101.5</v>
      </c>
      <c r="AA181" s="312">
        <v>131</v>
      </c>
      <c r="AB181" s="312"/>
      <c r="AC181" s="312">
        <f>108</f>
        <v>108</v>
      </c>
      <c r="AD181" s="312">
        <f>127.7</f>
        <v>127.7</v>
      </c>
      <c r="AE181" s="312"/>
      <c r="AF181" s="312">
        <f>4.8+139.9</f>
        <v>144.70000000000002</v>
      </c>
      <c r="AG181" s="312">
        <f>10.2+133</f>
        <v>143.19999999999999</v>
      </c>
      <c r="AH181" s="312"/>
      <c r="AI181" s="312">
        <f>10.9+137.4</f>
        <v>148.30000000000001</v>
      </c>
      <c r="AJ181" s="312">
        <f>10.2+161.9</f>
        <v>172.1</v>
      </c>
      <c r="AK181" s="312"/>
      <c r="AL181" s="312">
        <f>7.3+16.4+10.8+92.1-0.2</f>
        <v>126.39999999999999</v>
      </c>
      <c r="AM181" s="312">
        <f>8+19.5+2.4+96.8</f>
        <v>126.69999999999999</v>
      </c>
      <c r="AN181" s="312"/>
      <c r="AO181" s="312">
        <f>7.1+15.9+2.8+87.7</f>
        <v>113.5</v>
      </c>
      <c r="AP181" s="312">
        <f>6+14.2+5.7+86.6</f>
        <v>112.5</v>
      </c>
      <c r="AQ181" s="312"/>
      <c r="AR181" s="312">
        <f>7.6+16.1+1.1+105.3</f>
        <v>130.1</v>
      </c>
      <c r="AS181" s="295">
        <f>AR181</f>
        <v>130.1</v>
      </c>
      <c r="AT181" s="295">
        <f>AS181</f>
        <v>130.1</v>
      </c>
      <c r="AU181" s="295">
        <f t="shared" ref="AU181" si="274">AT181</f>
        <v>130.1</v>
      </c>
    </row>
    <row r="182" spans="1:47" s="397" customFormat="1">
      <c r="A182" s="346"/>
      <c r="B182" s="380" t="s">
        <v>77</v>
      </c>
      <c r="C182" s="511"/>
      <c r="D182" s="511"/>
      <c r="E182" s="511"/>
      <c r="F182" s="511"/>
      <c r="G182" s="511"/>
      <c r="H182" s="511"/>
      <c r="I182" s="511"/>
      <c r="J182" s="511"/>
      <c r="K182" s="511"/>
      <c r="L182" s="511"/>
      <c r="M182" s="511"/>
      <c r="N182" s="511"/>
      <c r="O182" s="511"/>
      <c r="P182" s="511"/>
      <c r="Q182" s="511"/>
      <c r="R182" s="511"/>
      <c r="S182" s="511"/>
      <c r="T182" s="523">
        <f>SUM(T177:T181)</f>
        <v>42.327000000000005</v>
      </c>
      <c r="U182" s="523">
        <f>SUM(U177:U181)</f>
        <v>0</v>
      </c>
      <c r="V182" s="511"/>
      <c r="W182" s="523">
        <f>SUM(W177:W181)</f>
        <v>79.570000000000007</v>
      </c>
      <c r="X182" s="523">
        <f>SUM(X177:X181)</f>
        <v>0</v>
      </c>
      <c r="Y182" s="511"/>
      <c r="Z182" s="523">
        <f>SUM(Z177:Z181)</f>
        <v>169</v>
      </c>
      <c r="AA182" s="439">
        <f>SUM(AA177:AA181)</f>
        <v>131.4</v>
      </c>
      <c r="AB182" s="439"/>
      <c r="AC182" s="439">
        <f>SUM(AC177:AC181)</f>
        <v>108</v>
      </c>
      <c r="AD182" s="439">
        <f>SUM(AD177:AD181)</f>
        <v>127.7</v>
      </c>
      <c r="AE182" s="439"/>
      <c r="AF182" s="439">
        <f>SUM(AF177:AF181)</f>
        <v>144.70000000000002</v>
      </c>
      <c r="AG182" s="439">
        <f>SUM(AG177:AG181)</f>
        <v>143.19999999999999</v>
      </c>
      <c r="AH182" s="439"/>
      <c r="AI182" s="439">
        <f>SUM(AI177:AI181)</f>
        <v>148.30000000000001</v>
      </c>
      <c r="AJ182" s="439">
        <f>SUM(AJ177:AJ181)</f>
        <v>172.1</v>
      </c>
      <c r="AK182" s="439"/>
      <c r="AL182" s="439">
        <f>SUM(AL177:AL181)</f>
        <v>376.7</v>
      </c>
      <c r="AM182" s="439">
        <f>SUM(AM177:AM181)</f>
        <v>233.1</v>
      </c>
      <c r="AN182" s="439"/>
      <c r="AO182" s="439">
        <f>SUM(AO177:AO181)</f>
        <v>215.4</v>
      </c>
      <c r="AP182" s="439">
        <f>SUM(AP177:AP181)</f>
        <v>215.7</v>
      </c>
      <c r="AQ182" s="439"/>
      <c r="AR182" s="439">
        <f>SUM(AR177:AR181)</f>
        <v>270.8</v>
      </c>
      <c r="AS182" s="439">
        <f>SUM(AS177:AS181)</f>
        <v>344.34251247197892</v>
      </c>
      <c r="AT182" s="439">
        <f>SUM(AT177:AT181)</f>
        <v>373.57745449667163</v>
      </c>
      <c r="AU182" s="439">
        <f t="shared" ref="AU182" si="275">SUM(AU177:AU181)</f>
        <v>403.00134339325791</v>
      </c>
    </row>
    <row r="183" spans="1:47">
      <c r="B183" s="409"/>
      <c r="C183" s="511"/>
      <c r="D183" s="511"/>
      <c r="E183" s="511"/>
      <c r="F183" s="511"/>
      <c r="G183" s="511"/>
      <c r="H183" s="511"/>
      <c r="I183" s="511"/>
      <c r="J183" s="511"/>
      <c r="K183" s="511"/>
      <c r="L183" s="511"/>
      <c r="M183" s="511"/>
      <c r="N183" s="511"/>
      <c r="O183" s="511"/>
      <c r="P183" s="511"/>
      <c r="Q183" s="511"/>
      <c r="R183" s="511"/>
      <c r="S183" s="511"/>
      <c r="T183" s="511"/>
      <c r="U183" s="511"/>
      <c r="V183" s="511"/>
      <c r="W183" s="511"/>
      <c r="X183" s="511"/>
      <c r="Y183" s="511"/>
      <c r="Z183" s="511"/>
      <c r="AA183" s="295"/>
      <c r="AB183" s="295"/>
      <c r="AC183" s="295"/>
      <c r="AD183" s="295"/>
      <c r="AE183" s="295"/>
      <c r="AF183" s="295"/>
      <c r="AG183" s="295"/>
      <c r="AH183" s="295"/>
      <c r="AI183" s="295"/>
      <c r="AJ183" s="295"/>
      <c r="AK183" s="295"/>
      <c r="AL183" s="295"/>
      <c r="AM183" s="295"/>
      <c r="AN183" s="295"/>
      <c r="AO183" s="295"/>
      <c r="AP183" s="295"/>
      <c r="AQ183" s="295"/>
      <c r="AR183" s="295"/>
      <c r="AS183" s="295"/>
      <c r="AT183" s="295"/>
      <c r="AU183" s="295"/>
    </row>
    <row r="184" spans="1:47">
      <c r="B184" s="380" t="s">
        <v>78</v>
      </c>
      <c r="C184" s="511"/>
      <c r="D184" s="511"/>
      <c r="E184" s="511"/>
      <c r="F184" s="511"/>
      <c r="G184" s="511"/>
      <c r="H184" s="511"/>
      <c r="I184" s="511"/>
      <c r="J184" s="511"/>
      <c r="K184" s="511"/>
      <c r="L184" s="511"/>
      <c r="M184" s="511"/>
      <c r="N184" s="511"/>
      <c r="O184" s="511"/>
      <c r="P184" s="511"/>
      <c r="Q184" s="511"/>
      <c r="R184" s="511"/>
      <c r="S184" s="511"/>
      <c r="T184" s="511"/>
      <c r="U184" s="511"/>
      <c r="V184" s="511"/>
      <c r="W184" s="511"/>
      <c r="X184" s="511"/>
      <c r="Y184" s="511"/>
      <c r="Z184" s="511"/>
      <c r="AA184" s="295"/>
      <c r="AB184" s="295"/>
      <c r="AC184" s="295"/>
      <c r="AD184" s="295"/>
      <c r="AE184" s="295"/>
      <c r="AF184" s="295"/>
      <c r="AG184" s="295"/>
      <c r="AH184" s="295"/>
      <c r="AI184" s="295"/>
      <c r="AJ184" s="295"/>
      <c r="AK184" s="295"/>
      <c r="AL184" s="295"/>
      <c r="AM184" s="295"/>
      <c r="AN184" s="295"/>
      <c r="AO184" s="295"/>
      <c r="AP184" s="295"/>
      <c r="AQ184" s="295"/>
      <c r="AR184" s="295"/>
      <c r="AS184" s="295"/>
      <c r="AT184" s="295"/>
      <c r="AU184" s="295"/>
    </row>
    <row r="185" spans="1:47">
      <c r="B185" s="409" t="s">
        <v>34</v>
      </c>
      <c r="C185" s="526"/>
      <c r="D185" s="511"/>
      <c r="E185" s="511"/>
      <c r="F185" s="511"/>
      <c r="G185" s="511"/>
      <c r="H185" s="511"/>
      <c r="I185" s="511"/>
      <c r="J185" s="511"/>
      <c r="K185" s="511"/>
      <c r="L185" s="511"/>
      <c r="M185" s="511"/>
      <c r="N185" s="511"/>
      <c r="O185" s="511"/>
      <c r="P185" s="511"/>
      <c r="Q185" s="511"/>
      <c r="R185" s="526"/>
      <c r="S185" s="526"/>
      <c r="T185" s="576">
        <v>1.2230000000000001</v>
      </c>
      <c r="U185" s="576"/>
      <c r="V185" s="526"/>
      <c r="W185" s="576">
        <v>1.4079999999999999</v>
      </c>
      <c r="X185" s="576"/>
      <c r="Y185" s="526"/>
      <c r="Z185" s="576">
        <v>0.5</v>
      </c>
      <c r="AA185" s="462"/>
      <c r="AB185" s="462"/>
      <c r="AC185" s="462"/>
      <c r="AD185" s="462"/>
      <c r="AE185" s="462"/>
      <c r="AF185" s="462"/>
      <c r="AG185" s="462"/>
      <c r="AH185" s="462"/>
      <c r="AI185" s="462"/>
      <c r="AJ185" s="462"/>
      <c r="AK185" s="462"/>
      <c r="AL185" s="462">
        <v>0</v>
      </c>
      <c r="AM185" s="462">
        <v>136.9</v>
      </c>
      <c r="AN185" s="462"/>
      <c r="AO185" s="462">
        <v>53.1</v>
      </c>
      <c r="AP185" s="462">
        <v>30</v>
      </c>
      <c r="AQ185" s="462"/>
      <c r="AR185" s="462">
        <v>65</v>
      </c>
      <c r="AS185" s="463">
        <f>AR185+AS108</f>
        <v>2105.5314199984577</v>
      </c>
      <c r="AT185" s="463">
        <f>AS185+AT108</f>
        <v>2008.4494826911812</v>
      </c>
      <c r="AU185" s="463">
        <f t="shared" ref="AU185" si="276">AT185+AU108</f>
        <v>1879.9068224699292</v>
      </c>
    </row>
    <row r="186" spans="1:47">
      <c r="B186" s="449" t="s">
        <v>35</v>
      </c>
      <c r="C186" s="526"/>
      <c r="D186" s="511"/>
      <c r="E186" s="526"/>
      <c r="F186" s="526"/>
      <c r="G186" s="511"/>
      <c r="H186" s="526"/>
      <c r="I186" s="526"/>
      <c r="J186" s="511"/>
      <c r="K186" s="526"/>
      <c r="L186" s="526"/>
      <c r="M186" s="511"/>
      <c r="N186" s="526"/>
      <c r="O186" s="526"/>
      <c r="P186" s="511"/>
      <c r="Q186" s="526"/>
      <c r="R186" s="526"/>
      <c r="S186" s="526"/>
      <c r="T186" s="514">
        <v>0.754</v>
      </c>
      <c r="U186" s="514"/>
      <c r="V186" s="526"/>
      <c r="W186" s="514">
        <v>0.99299999999999999</v>
      </c>
      <c r="X186" s="514"/>
      <c r="Y186" s="526"/>
      <c r="Z186" s="514">
        <v>1.4</v>
      </c>
      <c r="AA186" s="312"/>
      <c r="AB186" s="312"/>
      <c r="AC186" s="312"/>
      <c r="AD186" s="312"/>
      <c r="AE186" s="312"/>
      <c r="AF186" s="312"/>
      <c r="AG186" s="312"/>
      <c r="AH186" s="312"/>
      <c r="AI186" s="312"/>
      <c r="AJ186" s="312"/>
      <c r="AK186" s="312"/>
      <c r="AL186" s="312">
        <v>7.5</v>
      </c>
      <c r="AM186" s="312">
        <v>9.3000000000000007</v>
      </c>
      <c r="AN186" s="312"/>
      <c r="AO186" s="312">
        <v>10.1</v>
      </c>
      <c r="AP186" s="312">
        <v>10.9</v>
      </c>
      <c r="AQ186" s="312"/>
      <c r="AR186" s="312">
        <v>13.1</v>
      </c>
      <c r="AS186" s="295">
        <f t="shared" ref="AS186:AT188" si="277">AR186</f>
        <v>13.1</v>
      </c>
      <c r="AT186" s="295">
        <f t="shared" si="277"/>
        <v>13.1</v>
      </c>
      <c r="AU186" s="295">
        <f t="shared" ref="AU186" si="278">AT186</f>
        <v>13.1</v>
      </c>
    </row>
    <row r="187" spans="1:47">
      <c r="B187" s="409" t="s">
        <v>79</v>
      </c>
      <c r="C187" s="526"/>
      <c r="D187" s="511"/>
      <c r="E187" s="526"/>
      <c r="F187" s="526"/>
      <c r="G187" s="511"/>
      <c r="H187" s="526"/>
      <c r="I187" s="526"/>
      <c r="J187" s="511"/>
      <c r="K187" s="526"/>
      <c r="L187" s="526"/>
      <c r="M187" s="511"/>
      <c r="N187" s="526"/>
      <c r="O187" s="526"/>
      <c r="P187" s="511"/>
      <c r="Q187" s="526"/>
      <c r="R187" s="526"/>
      <c r="S187" s="526"/>
      <c r="T187" s="514">
        <v>13.664</v>
      </c>
      <c r="U187" s="514"/>
      <c r="V187" s="526"/>
      <c r="W187" s="514">
        <v>23.939</v>
      </c>
      <c r="X187" s="514"/>
      <c r="Y187" s="526"/>
      <c r="Z187" s="514">
        <v>33.700000000000003</v>
      </c>
      <c r="AA187" s="312"/>
      <c r="AB187" s="312"/>
      <c r="AC187" s="312"/>
      <c r="AD187" s="312"/>
      <c r="AE187" s="312"/>
      <c r="AF187" s="312"/>
      <c r="AG187" s="312"/>
      <c r="AH187" s="312"/>
      <c r="AI187" s="312"/>
      <c r="AJ187" s="312"/>
      <c r="AK187" s="312"/>
      <c r="AL187" s="312">
        <v>68.2</v>
      </c>
      <c r="AM187" s="312">
        <v>76.7</v>
      </c>
      <c r="AN187" s="312"/>
      <c r="AO187" s="312">
        <v>85.4</v>
      </c>
      <c r="AP187" s="312">
        <v>104.3</v>
      </c>
      <c r="AQ187" s="312"/>
      <c r="AR187" s="312">
        <v>98.5</v>
      </c>
      <c r="AS187" s="295">
        <f t="shared" si="277"/>
        <v>98.5</v>
      </c>
      <c r="AT187" s="295">
        <f t="shared" si="277"/>
        <v>98.5</v>
      </c>
      <c r="AU187" s="295">
        <f t="shared" ref="AU187" si="279">AT187</f>
        <v>98.5</v>
      </c>
    </row>
    <row r="188" spans="1:47">
      <c r="B188" s="409" t="s">
        <v>76</v>
      </c>
      <c r="C188" s="526"/>
      <c r="D188" s="511"/>
      <c r="E188" s="526"/>
      <c r="F188" s="526"/>
      <c r="G188" s="511"/>
      <c r="H188" s="526"/>
      <c r="I188" s="526"/>
      <c r="J188" s="511"/>
      <c r="K188" s="526"/>
      <c r="L188" s="526"/>
      <c r="M188" s="511"/>
      <c r="N188" s="526"/>
      <c r="O188" s="526"/>
      <c r="P188" s="511"/>
      <c r="Q188" s="526"/>
      <c r="R188" s="526"/>
      <c r="S188" s="526"/>
      <c r="T188" s="514">
        <v>4.4960000000000004</v>
      </c>
      <c r="U188" s="514"/>
      <c r="V188" s="526"/>
      <c r="W188" s="514">
        <v>79.161000000000001</v>
      </c>
      <c r="X188" s="514"/>
      <c r="Y188" s="526"/>
      <c r="Z188" s="514">
        <f>159.2+0.2+0.1</f>
        <v>159.49999999999997</v>
      </c>
      <c r="AA188" s="312">
        <v>126.3</v>
      </c>
      <c r="AB188" s="312"/>
      <c r="AC188" s="312">
        <v>80</v>
      </c>
      <c r="AD188" s="312">
        <v>75.5</v>
      </c>
      <c r="AE188" s="312"/>
      <c r="AF188" s="312">
        <v>76.5</v>
      </c>
      <c r="AG188" s="312">
        <v>77.3</v>
      </c>
      <c r="AH188" s="312"/>
      <c r="AI188" s="312">
        <v>91.5</v>
      </c>
      <c r="AJ188" s="312">
        <v>89.9</v>
      </c>
      <c r="AK188" s="312"/>
      <c r="AL188" s="312">
        <f>13.6+2.8+26.5</f>
        <v>42.9</v>
      </c>
      <c r="AM188" s="312">
        <f>11.3+0.1+36.7</f>
        <v>48.1</v>
      </c>
      <c r="AN188" s="312"/>
      <c r="AO188" s="312">
        <f>9.1+0.1+33.9</f>
        <v>43.099999999999994</v>
      </c>
      <c r="AP188" s="312">
        <f>9.7+32.4</f>
        <v>42.099999999999994</v>
      </c>
      <c r="AQ188" s="312"/>
      <c r="AR188" s="312">
        <f>38.9+0.2+43.8</f>
        <v>82.9</v>
      </c>
      <c r="AS188" s="295">
        <f t="shared" si="277"/>
        <v>82.9</v>
      </c>
      <c r="AT188" s="295">
        <f t="shared" si="277"/>
        <v>82.9</v>
      </c>
      <c r="AU188" s="295">
        <f t="shared" ref="AU188" si="280">AT188</f>
        <v>82.9</v>
      </c>
    </row>
    <row r="189" spans="1:47" s="397" customFormat="1">
      <c r="A189" s="346"/>
      <c r="B189" s="380" t="s">
        <v>80</v>
      </c>
      <c r="C189" s="511"/>
      <c r="D189" s="511"/>
      <c r="E189" s="511"/>
      <c r="F189" s="511"/>
      <c r="G189" s="511"/>
      <c r="H189" s="511"/>
      <c r="I189" s="511"/>
      <c r="J189" s="511"/>
      <c r="K189" s="511"/>
      <c r="L189" s="511"/>
      <c r="M189" s="511"/>
      <c r="N189" s="511"/>
      <c r="O189" s="511"/>
      <c r="P189" s="511"/>
      <c r="Q189" s="511"/>
      <c r="R189" s="511"/>
      <c r="S189" s="511"/>
      <c r="T189" s="523">
        <f>SUM(T185:T188)</f>
        <v>20.137</v>
      </c>
      <c r="U189" s="523">
        <f>SUM(U185:U188)</f>
        <v>0</v>
      </c>
      <c r="V189" s="511"/>
      <c r="W189" s="523">
        <f>SUM(W185:W188)</f>
        <v>105.501</v>
      </c>
      <c r="X189" s="523">
        <f>SUM(X185:X188)</f>
        <v>0</v>
      </c>
      <c r="Y189" s="511"/>
      <c r="Z189" s="523">
        <f>SUM(Z185:Z188)</f>
        <v>195.09999999999997</v>
      </c>
      <c r="AA189" s="439">
        <f>SUM(AA185:AA188)</f>
        <v>126.3</v>
      </c>
      <c r="AB189" s="439"/>
      <c r="AC189" s="439">
        <f>SUM(AC185:AC188)</f>
        <v>80</v>
      </c>
      <c r="AD189" s="439">
        <f>SUM(AD185:AD188)</f>
        <v>75.5</v>
      </c>
      <c r="AE189" s="439"/>
      <c r="AF189" s="439">
        <f>SUM(AF185:AF188)</f>
        <v>76.5</v>
      </c>
      <c r="AG189" s="439">
        <f>SUM(AG185:AG188)</f>
        <v>77.3</v>
      </c>
      <c r="AH189" s="439"/>
      <c r="AI189" s="439">
        <f>SUM(AI185:AI188)</f>
        <v>91.5</v>
      </c>
      <c r="AJ189" s="439">
        <f>SUM(AJ185:AJ188)</f>
        <v>89.9</v>
      </c>
      <c r="AK189" s="439"/>
      <c r="AL189" s="439">
        <f>SUM(AL185:AL188)</f>
        <v>118.6</v>
      </c>
      <c r="AM189" s="439">
        <f>SUM(AM185:AM188)</f>
        <v>271.00000000000006</v>
      </c>
      <c r="AN189" s="439"/>
      <c r="AO189" s="439">
        <f>SUM(AO185:AO188)</f>
        <v>191.70000000000002</v>
      </c>
      <c r="AP189" s="439">
        <f>SUM(AP185:AP188)</f>
        <v>187.29999999999998</v>
      </c>
      <c r="AQ189" s="439"/>
      <c r="AR189" s="439">
        <f>SUM(AR185:AR188)</f>
        <v>259.5</v>
      </c>
      <c r="AS189" s="439">
        <f>SUM(AS185:AS188)</f>
        <v>2300.0314199984577</v>
      </c>
      <c r="AT189" s="439">
        <f>SUM(AT185:AT188)</f>
        <v>2202.9494826911809</v>
      </c>
      <c r="AU189" s="439">
        <f t="shared" ref="AU189" si="281">SUM(AU185:AU188)</f>
        <v>2074.406822469929</v>
      </c>
    </row>
    <row r="190" spans="1:47">
      <c r="B190" s="409"/>
      <c r="C190" s="539"/>
      <c r="D190" s="511"/>
      <c r="E190" s="539"/>
      <c r="F190" s="539"/>
      <c r="G190" s="511"/>
      <c r="H190" s="539"/>
      <c r="I190" s="539"/>
      <c r="J190" s="511"/>
      <c r="K190" s="539"/>
      <c r="L190" s="539"/>
      <c r="M190" s="511"/>
      <c r="N190" s="539"/>
      <c r="O190" s="539"/>
      <c r="P190" s="511"/>
      <c r="Q190" s="539"/>
      <c r="R190" s="539"/>
      <c r="S190" s="539"/>
      <c r="T190" s="539"/>
      <c r="U190" s="539"/>
      <c r="V190" s="539"/>
      <c r="W190" s="539"/>
      <c r="X190" s="539"/>
      <c r="Y190" s="539"/>
      <c r="Z190" s="539"/>
      <c r="AA190" s="198"/>
      <c r="AB190" s="198"/>
      <c r="AC190" s="198"/>
      <c r="AD190" s="198"/>
      <c r="AE190" s="198"/>
      <c r="AF190" s="198"/>
      <c r="AG190" s="198"/>
      <c r="AH190" s="198"/>
      <c r="AI190" s="198"/>
      <c r="AJ190" s="198"/>
      <c r="AK190" s="198"/>
      <c r="AL190" s="198"/>
      <c r="AM190" s="198"/>
      <c r="AN190" s="198"/>
      <c r="AO190" s="198"/>
      <c r="AP190" s="198"/>
      <c r="AQ190" s="198"/>
      <c r="AR190" s="198"/>
      <c r="AS190" s="198"/>
      <c r="AT190" s="198"/>
      <c r="AU190" s="198"/>
    </row>
    <row r="191" spans="1:47">
      <c r="B191" s="416" t="s">
        <v>81</v>
      </c>
      <c r="C191" s="530"/>
      <c r="D191" s="578"/>
      <c r="E191" s="530"/>
      <c r="F191" s="530"/>
      <c r="G191" s="578"/>
      <c r="H191" s="530"/>
      <c r="I191" s="530"/>
      <c r="J191" s="578"/>
      <c r="K191" s="530"/>
      <c r="L191" s="530"/>
      <c r="M191" s="578"/>
      <c r="N191" s="530"/>
      <c r="O191" s="530"/>
      <c r="P191" s="578"/>
      <c r="Q191" s="530"/>
      <c r="R191" s="530"/>
      <c r="S191" s="530"/>
      <c r="T191" s="531">
        <f>T182+T189</f>
        <v>62.464000000000006</v>
      </c>
      <c r="U191" s="531">
        <f>U182+U189</f>
        <v>0</v>
      </c>
      <c r="V191" s="530"/>
      <c r="W191" s="531">
        <f>W182+W189</f>
        <v>185.07100000000003</v>
      </c>
      <c r="X191" s="531">
        <f>X182+X189</f>
        <v>0</v>
      </c>
      <c r="Y191" s="530"/>
      <c r="Z191" s="531">
        <f>Z182+Z189</f>
        <v>364.09999999999997</v>
      </c>
      <c r="AA191" s="464">
        <f>AA182+AA189</f>
        <v>257.7</v>
      </c>
      <c r="AB191" s="464"/>
      <c r="AC191" s="464">
        <f>AC182+AC189</f>
        <v>188</v>
      </c>
      <c r="AD191" s="464">
        <f>AD182+AD189</f>
        <v>203.2</v>
      </c>
      <c r="AE191" s="464"/>
      <c r="AF191" s="464">
        <f>AF182+AF189</f>
        <v>221.20000000000002</v>
      </c>
      <c r="AG191" s="464">
        <f>AG182+AG189</f>
        <v>220.5</v>
      </c>
      <c r="AH191" s="464"/>
      <c r="AI191" s="464">
        <f>AI182+AI189</f>
        <v>239.8</v>
      </c>
      <c r="AJ191" s="464">
        <f>AJ182+AJ189</f>
        <v>262</v>
      </c>
      <c r="AK191" s="464"/>
      <c r="AL191" s="464">
        <f>AL182+AL189</f>
        <v>495.29999999999995</v>
      </c>
      <c r="AM191" s="464">
        <f>AM182+AM189</f>
        <v>504.1</v>
      </c>
      <c r="AN191" s="464"/>
      <c r="AO191" s="464">
        <f>AO182+AO189</f>
        <v>407.1</v>
      </c>
      <c r="AP191" s="464">
        <f>AP182+AP189</f>
        <v>403</v>
      </c>
      <c r="AQ191" s="464"/>
      <c r="AR191" s="464">
        <f>AR182+AR189</f>
        <v>530.29999999999995</v>
      </c>
      <c r="AS191" s="464">
        <f>AS182+AS189</f>
        <v>2644.3739324704366</v>
      </c>
      <c r="AT191" s="464">
        <f>AT182+AT189</f>
        <v>2576.5269371878526</v>
      </c>
      <c r="AU191" s="464">
        <f t="shared" ref="AU191" si="282">AU182+AU189</f>
        <v>2477.4081658631867</v>
      </c>
    </row>
    <row r="192" spans="1:47">
      <c r="B192" s="380"/>
      <c r="C192" s="539"/>
      <c r="D192" s="511"/>
      <c r="E192" s="539"/>
      <c r="F192" s="539"/>
      <c r="G192" s="511"/>
      <c r="H192" s="539"/>
      <c r="I192" s="539"/>
      <c r="J192" s="511"/>
      <c r="K192" s="539"/>
      <c r="L192" s="539"/>
      <c r="M192" s="511"/>
      <c r="N192" s="539"/>
      <c r="O192" s="539"/>
      <c r="P192" s="511"/>
      <c r="Q192" s="539"/>
      <c r="R192" s="539"/>
      <c r="S192" s="539"/>
      <c r="T192" s="539"/>
      <c r="U192" s="539"/>
      <c r="V192" s="539"/>
      <c r="W192" s="539"/>
      <c r="X192" s="539"/>
      <c r="Y192" s="539"/>
      <c r="Z192" s="539"/>
      <c r="AA192" s="198"/>
      <c r="AB192" s="198"/>
      <c r="AC192" s="198"/>
      <c r="AD192" s="198"/>
      <c r="AE192" s="198"/>
      <c r="AF192" s="198"/>
      <c r="AG192" s="198"/>
      <c r="AH192" s="198"/>
      <c r="AI192" s="198"/>
      <c r="AJ192" s="198"/>
      <c r="AK192" s="198"/>
      <c r="AL192" s="198"/>
      <c r="AM192" s="198"/>
      <c r="AN192" s="198"/>
      <c r="AO192" s="198"/>
      <c r="AP192" s="198"/>
      <c r="AQ192" s="198"/>
      <c r="AR192" s="198"/>
      <c r="AS192" s="198"/>
      <c r="AT192" s="198"/>
      <c r="AU192" s="198"/>
    </row>
    <row r="193" spans="1:47">
      <c r="B193" s="380" t="s">
        <v>82</v>
      </c>
      <c r="C193" s="539"/>
      <c r="D193" s="511"/>
      <c r="E193" s="539"/>
      <c r="F193" s="539"/>
      <c r="G193" s="511"/>
      <c r="H193" s="539"/>
      <c r="I193" s="539"/>
      <c r="J193" s="511"/>
      <c r="K193" s="539"/>
      <c r="L193" s="539"/>
      <c r="M193" s="511"/>
      <c r="N193" s="539"/>
      <c r="O193" s="539"/>
      <c r="P193" s="511"/>
      <c r="Q193" s="539"/>
      <c r="R193" s="539"/>
      <c r="S193" s="539"/>
      <c r="T193" s="539"/>
      <c r="U193" s="539"/>
      <c r="V193" s="539"/>
      <c r="W193" s="539"/>
      <c r="X193" s="539"/>
      <c r="Y193" s="539"/>
      <c r="Z193" s="539"/>
      <c r="AA193" s="198"/>
      <c r="AB193" s="198"/>
      <c r="AC193" s="198"/>
      <c r="AD193" s="198"/>
      <c r="AE193" s="198"/>
      <c r="AF193" s="198"/>
      <c r="AG193" s="198"/>
      <c r="AH193" s="198"/>
      <c r="AI193" s="198"/>
      <c r="AJ193" s="198"/>
      <c r="AK193" s="198"/>
      <c r="AL193" s="198"/>
      <c r="AM193" s="198"/>
      <c r="AN193" s="198"/>
      <c r="AO193" s="198"/>
      <c r="AP193" s="198"/>
      <c r="AQ193" s="198"/>
      <c r="AR193" s="198"/>
      <c r="AS193" s="198"/>
      <c r="AT193" s="198"/>
      <c r="AU193" s="198"/>
    </row>
    <row r="194" spans="1:47">
      <c r="B194" s="409" t="s">
        <v>179</v>
      </c>
      <c r="C194" s="526"/>
      <c r="D194" s="511"/>
      <c r="E194" s="526"/>
      <c r="F194" s="526"/>
      <c r="G194" s="511"/>
      <c r="H194" s="526"/>
      <c r="I194" s="526"/>
      <c r="J194" s="511"/>
      <c r="K194" s="526"/>
      <c r="L194" s="526"/>
      <c r="M194" s="511"/>
      <c r="N194" s="526"/>
      <c r="O194" s="526"/>
      <c r="P194" s="511"/>
      <c r="Q194" s="526"/>
      <c r="R194" s="526"/>
      <c r="S194" s="526"/>
      <c r="T194" s="514">
        <v>166.60599999999999</v>
      </c>
      <c r="U194" s="514"/>
      <c r="V194" s="526"/>
      <c r="W194" s="514">
        <v>288.84699999999998</v>
      </c>
      <c r="X194" s="514"/>
      <c r="Y194" s="526"/>
      <c r="Z194" s="514">
        <v>668.5</v>
      </c>
      <c r="AA194" s="312">
        <f>491+0.1</f>
        <v>491.1</v>
      </c>
      <c r="AB194" s="312"/>
      <c r="AC194" s="312">
        <f>562.5</f>
        <v>562.5</v>
      </c>
      <c r="AD194" s="312">
        <f>569.9</f>
        <v>569.9</v>
      </c>
      <c r="AE194" s="312"/>
      <c r="AF194" s="312">
        <f>599-0.1</f>
        <v>598.9</v>
      </c>
      <c r="AG194" s="312">
        <f>654.1+0.1</f>
        <v>654.20000000000005</v>
      </c>
      <c r="AH194" s="312"/>
      <c r="AI194" s="312">
        <v>656.1</v>
      </c>
      <c r="AJ194" s="312">
        <f>683.6-0.1</f>
        <v>683.5</v>
      </c>
      <c r="AK194" s="312"/>
      <c r="AL194" s="312">
        <v>892</v>
      </c>
      <c r="AM194" s="312">
        <v>958.2</v>
      </c>
      <c r="AN194" s="312"/>
      <c r="AO194" s="312">
        <v>961.4</v>
      </c>
      <c r="AP194" s="312">
        <v>968.1</v>
      </c>
      <c r="AQ194" s="312"/>
      <c r="AR194" s="312">
        <v>976.5</v>
      </c>
      <c r="AS194" s="295">
        <f>AR194+AS103</f>
        <v>976.5</v>
      </c>
      <c r="AT194" s="295">
        <f>AS194+AT103</f>
        <v>976.5</v>
      </c>
      <c r="AU194" s="295">
        <f t="shared" ref="AU194" si="283">AT194+AU103</f>
        <v>976.5</v>
      </c>
    </row>
    <row r="195" spans="1:47">
      <c r="B195" s="409" t="s">
        <v>36</v>
      </c>
      <c r="C195" s="526"/>
      <c r="D195" s="511"/>
      <c r="E195" s="526"/>
      <c r="F195" s="526"/>
      <c r="G195" s="511"/>
      <c r="H195" s="526"/>
      <c r="I195" s="526"/>
      <c r="J195" s="511"/>
      <c r="K195" s="526"/>
      <c r="L195" s="526"/>
      <c r="M195" s="511"/>
      <c r="N195" s="526"/>
      <c r="O195" s="526"/>
      <c r="P195" s="511"/>
      <c r="Q195" s="526"/>
      <c r="R195" s="526"/>
      <c r="S195" s="526"/>
      <c r="T195" s="514">
        <v>-8.3350000000000009</v>
      </c>
      <c r="U195" s="514"/>
      <c r="V195" s="526"/>
      <c r="W195" s="514">
        <v>-22.206</v>
      </c>
      <c r="X195" s="514"/>
      <c r="Y195" s="526"/>
      <c r="Z195" s="514">
        <v>-25.7</v>
      </c>
      <c r="AA195" s="312"/>
      <c r="AB195" s="312"/>
      <c r="AC195" s="312"/>
      <c r="AD195" s="312"/>
      <c r="AE195" s="312"/>
      <c r="AF195" s="312"/>
      <c r="AG195" s="312"/>
      <c r="AH195" s="312"/>
      <c r="AI195" s="312"/>
      <c r="AJ195" s="312"/>
      <c r="AK195" s="312"/>
      <c r="AL195" s="312">
        <v>-115.4</v>
      </c>
      <c r="AM195" s="312">
        <v>-110.2</v>
      </c>
      <c r="AN195" s="312"/>
      <c r="AO195" s="312">
        <v>-107</v>
      </c>
      <c r="AP195" s="312">
        <v>-74.599999999999994</v>
      </c>
      <c r="AQ195" s="312"/>
      <c r="AR195" s="312">
        <v>-6.8</v>
      </c>
      <c r="AS195" s="295">
        <f>AR195</f>
        <v>-6.8</v>
      </c>
      <c r="AT195" s="295">
        <f>AS195</f>
        <v>-6.8</v>
      </c>
      <c r="AU195" s="295">
        <f t="shared" ref="AU195" si="284">AT195</f>
        <v>-6.8</v>
      </c>
    </row>
    <row r="196" spans="1:47">
      <c r="B196" s="409" t="s">
        <v>83</v>
      </c>
      <c r="C196" s="526"/>
      <c r="D196" s="511"/>
      <c r="E196" s="526"/>
      <c r="F196" s="526"/>
      <c r="G196" s="511"/>
      <c r="H196" s="526"/>
      <c r="I196" s="526"/>
      <c r="J196" s="511"/>
      <c r="K196" s="526"/>
      <c r="L196" s="526"/>
      <c r="M196" s="511"/>
      <c r="N196" s="526"/>
      <c r="O196" s="526"/>
      <c r="P196" s="511"/>
      <c r="Q196" s="526"/>
      <c r="R196" s="526"/>
      <c r="S196" s="526"/>
      <c r="T196" s="514">
        <v>53.854999999999997</v>
      </c>
      <c r="U196" s="514"/>
      <c r="V196" s="526"/>
      <c r="W196" s="514">
        <v>85.094999999999999</v>
      </c>
      <c r="X196" s="514"/>
      <c r="Y196" s="526"/>
      <c r="Z196" s="514">
        <v>123.8</v>
      </c>
      <c r="AA196" s="312">
        <v>78.7</v>
      </c>
      <c r="AB196" s="312"/>
      <c r="AC196" s="312">
        <v>127.4</v>
      </c>
      <c r="AD196" s="312">
        <v>219</v>
      </c>
      <c r="AE196" s="312"/>
      <c r="AF196" s="312">
        <v>233.1</v>
      </c>
      <c r="AG196" s="312">
        <v>211.3</v>
      </c>
      <c r="AH196" s="312"/>
      <c r="AI196" s="312">
        <v>249.4</v>
      </c>
      <c r="AJ196" s="312">
        <v>293.39999999999998</v>
      </c>
      <c r="AK196" s="312"/>
      <c r="AL196" s="312">
        <v>479.3</v>
      </c>
      <c r="AM196" s="312">
        <f>534.7-0.1</f>
        <v>534.6</v>
      </c>
      <c r="AN196" s="312"/>
      <c r="AO196" s="312">
        <v>613.5</v>
      </c>
      <c r="AP196" s="312">
        <f>663.8-0.1</f>
        <v>663.69999999999993</v>
      </c>
      <c r="AQ196" s="312"/>
      <c r="AR196" s="312">
        <f>734.3-0.3</f>
        <v>734</v>
      </c>
      <c r="AS196" s="295">
        <f>AR196+AS42+AS91</f>
        <v>971.43303855181773</v>
      </c>
      <c r="AT196" s="295">
        <f>AS196+AT42+AT91</f>
        <v>1284.6486366980951</v>
      </c>
      <c r="AU196" s="295">
        <f t="shared" ref="AU196" si="285">AT196+AU42+AU91</f>
        <v>1673.4275940211478</v>
      </c>
    </row>
    <row r="197" spans="1:47">
      <c r="B197" s="409" t="s">
        <v>84</v>
      </c>
      <c r="C197" s="526"/>
      <c r="D197" s="511"/>
      <c r="E197" s="526"/>
      <c r="F197" s="526"/>
      <c r="G197" s="511"/>
      <c r="H197" s="526"/>
      <c r="I197" s="526"/>
      <c r="J197" s="511"/>
      <c r="K197" s="526"/>
      <c r="L197" s="526"/>
      <c r="M197" s="511"/>
      <c r="N197" s="526"/>
      <c r="O197" s="526"/>
      <c r="P197" s="511"/>
      <c r="Q197" s="526"/>
      <c r="R197" s="526"/>
      <c r="S197" s="526"/>
      <c r="T197" s="580">
        <v>1.6359999999999999</v>
      </c>
      <c r="U197" s="580"/>
      <c r="V197" s="526"/>
      <c r="W197" s="580">
        <v>0.41899999999999998</v>
      </c>
      <c r="X197" s="580"/>
      <c r="Y197" s="526"/>
      <c r="Z197" s="580"/>
      <c r="AA197" s="466"/>
      <c r="AB197" s="466"/>
      <c r="AC197" s="466"/>
      <c r="AD197" s="466"/>
      <c r="AE197" s="466"/>
      <c r="AF197" s="466"/>
      <c r="AG197" s="466"/>
      <c r="AH197" s="466"/>
      <c r="AI197" s="466"/>
      <c r="AJ197" s="466"/>
      <c r="AK197" s="466"/>
      <c r="AL197" s="466"/>
      <c r="AM197" s="466"/>
      <c r="AN197" s="466"/>
      <c r="AO197" s="466"/>
      <c r="AP197" s="466"/>
      <c r="AQ197" s="466"/>
      <c r="AR197" s="466"/>
      <c r="AS197" s="467">
        <f>AR197+AS38</f>
        <v>0</v>
      </c>
      <c r="AT197" s="467">
        <f>AS197+AT38</f>
        <v>0</v>
      </c>
      <c r="AU197" s="467">
        <f t="shared" ref="AU197" si="286">AT197+AU38</f>
        <v>0</v>
      </c>
    </row>
    <row r="198" spans="1:47">
      <c r="B198" s="416" t="s">
        <v>85</v>
      </c>
      <c r="C198" s="530"/>
      <c r="D198" s="578"/>
      <c r="E198" s="530"/>
      <c r="F198" s="530"/>
      <c r="G198" s="578"/>
      <c r="H198" s="530"/>
      <c r="I198" s="530"/>
      <c r="J198" s="578"/>
      <c r="K198" s="530"/>
      <c r="L198" s="530"/>
      <c r="M198" s="578"/>
      <c r="N198" s="530"/>
      <c r="O198" s="530"/>
      <c r="P198" s="578"/>
      <c r="Q198" s="530"/>
      <c r="R198" s="530"/>
      <c r="S198" s="530"/>
      <c r="T198" s="531">
        <f>SUM(T194:T197)</f>
        <v>213.76199999999997</v>
      </c>
      <c r="U198" s="531">
        <f>SUM(U194:U197)</f>
        <v>0</v>
      </c>
      <c r="V198" s="530"/>
      <c r="W198" s="531">
        <f>SUM(W194:W197)</f>
        <v>352.15499999999997</v>
      </c>
      <c r="X198" s="531">
        <f>SUM(X194:X197)</f>
        <v>0</v>
      </c>
      <c r="Y198" s="530"/>
      <c r="Z198" s="531">
        <f>SUM(Z194:Z197)</f>
        <v>766.59999999999991</v>
      </c>
      <c r="AA198" s="464">
        <f>SUM(AA194:AA197)</f>
        <v>569.80000000000007</v>
      </c>
      <c r="AB198" s="464"/>
      <c r="AC198" s="464">
        <f>SUM(AC194:AC197)</f>
        <v>689.9</v>
      </c>
      <c r="AD198" s="464">
        <f>SUM(AD194:AD197)</f>
        <v>788.9</v>
      </c>
      <c r="AE198" s="464"/>
      <c r="AF198" s="464">
        <f>SUM(AF194:AF197)</f>
        <v>832</v>
      </c>
      <c r="AG198" s="464">
        <f>SUM(AG194:AG197)</f>
        <v>865.5</v>
      </c>
      <c r="AH198" s="464"/>
      <c r="AI198" s="464">
        <f>SUM(AI194:AI197)</f>
        <v>905.5</v>
      </c>
      <c r="AJ198" s="464">
        <f>SUM(AJ194:AJ197)</f>
        <v>976.9</v>
      </c>
      <c r="AK198" s="464"/>
      <c r="AL198" s="464">
        <f>SUM(AL194:AL197)</f>
        <v>1255.9000000000001</v>
      </c>
      <c r="AM198" s="464">
        <f>SUM(AM194:AM197)</f>
        <v>1382.6</v>
      </c>
      <c r="AN198" s="464"/>
      <c r="AO198" s="464">
        <f>SUM(AO194:AO197)</f>
        <v>1467.9</v>
      </c>
      <c r="AP198" s="464">
        <f>SUM(AP194:AP197)</f>
        <v>1557.1999999999998</v>
      </c>
      <c r="AQ198" s="464"/>
      <c r="AR198" s="464">
        <f>SUM(AR194:AR197)</f>
        <v>1703.7</v>
      </c>
      <c r="AS198" s="464">
        <f>SUM(AS194:AS197)</f>
        <v>1941.1330385518177</v>
      </c>
      <c r="AT198" s="464">
        <f>SUM(AT194:AT197)</f>
        <v>2254.3486366980951</v>
      </c>
      <c r="AU198" s="464">
        <f t="shared" ref="AU198" si="287">SUM(AU194:AU197)</f>
        <v>2643.1275940211481</v>
      </c>
    </row>
    <row r="199" spans="1:47" s="470" customFormat="1">
      <c r="A199" s="468"/>
      <c r="B199" s="469" t="s">
        <v>133</v>
      </c>
      <c r="C199" s="581"/>
      <c r="D199" s="581"/>
      <c r="E199" s="581"/>
      <c r="F199" s="581"/>
      <c r="G199" s="581"/>
      <c r="H199" s="581"/>
      <c r="I199" s="581"/>
      <c r="J199" s="581"/>
      <c r="K199" s="581"/>
      <c r="L199" s="581"/>
      <c r="M199" s="582"/>
      <c r="N199" s="581"/>
      <c r="O199" s="581"/>
      <c r="P199" s="582"/>
      <c r="Q199" s="581"/>
      <c r="R199" s="581"/>
      <c r="S199" s="581"/>
      <c r="T199" s="583">
        <f>T174-T191-T198</f>
        <v>0</v>
      </c>
      <c r="U199" s="584"/>
      <c r="V199" s="584"/>
      <c r="W199" s="583">
        <f>W174-W191-W198</f>
        <v>0</v>
      </c>
      <c r="X199" s="584"/>
      <c r="Y199" s="584"/>
      <c r="Z199" s="583">
        <f>Z174-Z191-Z198</f>
        <v>0</v>
      </c>
      <c r="AA199" s="471">
        <f>AA174-AA191-AA198</f>
        <v>0</v>
      </c>
      <c r="AB199" s="471"/>
      <c r="AC199" s="471">
        <f>AC174-AC191-AC198</f>
        <v>0</v>
      </c>
      <c r="AD199" s="471">
        <f>AD174-AD191-AD198</f>
        <v>0</v>
      </c>
      <c r="AE199" s="471"/>
      <c r="AF199" s="471">
        <f>AF174-AF191-AF198</f>
        <v>0</v>
      </c>
      <c r="AG199" s="471">
        <f>AG174-AG191-AG198</f>
        <v>0</v>
      </c>
      <c r="AH199" s="471"/>
      <c r="AI199" s="471">
        <f>AI174-AI191-AI198</f>
        <v>0</v>
      </c>
      <c r="AJ199" s="471">
        <f>AJ174-AJ191-AJ198</f>
        <v>0</v>
      </c>
      <c r="AK199" s="471"/>
      <c r="AL199" s="471">
        <f>AL174-AL191-AL198</f>
        <v>0</v>
      </c>
      <c r="AM199" s="471">
        <f>AM174-AM191-AM198</f>
        <v>0</v>
      </c>
      <c r="AN199" s="471"/>
      <c r="AO199" s="471">
        <f>AO174-AO191-AO198</f>
        <v>0</v>
      </c>
      <c r="AP199" s="471">
        <f>AP174-AP191-AP198</f>
        <v>0</v>
      </c>
      <c r="AQ199" s="471"/>
      <c r="AR199" s="471">
        <f>AR174-AR191-AR198</f>
        <v>0</v>
      </c>
      <c r="AS199" s="676">
        <f>AS174-AS191-AS198</f>
        <v>0</v>
      </c>
      <c r="AT199" s="676">
        <f>AT174-AT191-AT198</f>
        <v>0</v>
      </c>
      <c r="AU199" s="471">
        <f t="shared" ref="AU199" si="288">AU174-AU191-AU198</f>
        <v>0</v>
      </c>
    </row>
    <row r="200" spans="1:47">
      <c r="B200" s="472"/>
      <c r="C200" s="511"/>
      <c r="D200" s="511"/>
      <c r="E200" s="511"/>
      <c r="F200" s="511"/>
      <c r="G200" s="511"/>
      <c r="H200" s="511"/>
      <c r="I200" s="511"/>
      <c r="J200" s="511"/>
      <c r="K200" s="511"/>
      <c r="L200" s="511"/>
      <c r="M200" s="511"/>
      <c r="N200" s="511" t="str">
        <f>IF(N199="ERROR",N174-N191-N198,"")</f>
        <v/>
      </c>
      <c r="O200" s="511"/>
      <c r="P200" s="511"/>
      <c r="Q200" s="511" t="str">
        <f>IF(Q199="ERROR",Q174-Q191-Q198,"")</f>
        <v/>
      </c>
      <c r="R200" s="511"/>
      <c r="S200" s="511"/>
      <c r="T200" s="511" t="str">
        <f>IF(T199="ERROR",T174-T191-T198,"")</f>
        <v/>
      </c>
      <c r="U200" s="510"/>
      <c r="V200" s="511"/>
      <c r="W200" s="510" t="str">
        <f>IF(W199="ERROR",W174-W191-W198,"")</f>
        <v/>
      </c>
      <c r="X200" s="510"/>
      <c r="Y200" s="511"/>
      <c r="Z200" s="511" t="str">
        <f>IF(Z199="ERROR",Z174-Z191-Z198,"")</f>
        <v/>
      </c>
      <c r="AA200" s="295"/>
      <c r="AB200" s="295"/>
      <c r="AC200" s="295" t="str">
        <f>IF(AC199="ERROR",AC174-AC191-AC198,"")</f>
        <v/>
      </c>
      <c r="AD200" s="295"/>
      <c r="AE200" s="295"/>
      <c r="AF200" s="295" t="str">
        <f>IF(AF199="ERROR",AF174-AF191-AF198,"")</f>
        <v/>
      </c>
      <c r="AG200" s="295"/>
      <c r="AH200" s="295"/>
      <c r="AI200" s="295" t="str">
        <f>IF(AI199="ERROR",AI174-AI191-AI198,"")</f>
        <v/>
      </c>
      <c r="AJ200" s="295"/>
      <c r="AK200" s="295"/>
      <c r="AL200" s="295" t="str">
        <f>IF(AL199="ERROR",AL174-AL191-AL198,"")</f>
        <v/>
      </c>
      <c r="AM200" s="295"/>
      <c r="AN200" s="295"/>
      <c r="AO200" s="295" t="str">
        <f>IF(AO199="ERROR",AO174-AO191-AO198,"")</f>
        <v/>
      </c>
      <c r="AP200" s="295" t="str">
        <f>IF(AP199="ERROR",AP174-AP191-AP198,"")</f>
        <v/>
      </c>
      <c r="AQ200" s="295"/>
      <c r="AR200" s="295" t="str">
        <f>IF(AR199="ERROR",AR174-AR191-AR198,"")</f>
        <v/>
      </c>
      <c r="AS200" s="295" t="str">
        <f>IF(AS199="ERROR",AS174-AS191-AS198,"")</f>
        <v/>
      </c>
      <c r="AT200" s="295" t="str">
        <f>IF(AT199="ERROR",AT174-AT191-AT198,"")</f>
        <v/>
      </c>
      <c r="AU200" s="295" t="str">
        <f t="shared" ref="AU200" si="289">IF(AU199="ERROR",AU174-AU191-AU198,"")</f>
        <v/>
      </c>
    </row>
    <row r="201" spans="1:47">
      <c r="B201" s="301" t="s">
        <v>125</v>
      </c>
      <c r="C201" s="497"/>
      <c r="D201" s="497"/>
      <c r="E201" s="497"/>
      <c r="F201" s="497"/>
      <c r="G201" s="497"/>
      <c r="H201" s="497"/>
      <c r="I201" s="497"/>
      <c r="J201" s="497"/>
      <c r="K201" s="497"/>
      <c r="L201" s="497"/>
      <c r="M201" s="497"/>
      <c r="N201" s="497"/>
      <c r="O201" s="497"/>
      <c r="P201" s="497"/>
      <c r="Q201" s="497"/>
      <c r="R201" s="497"/>
      <c r="S201" s="497"/>
      <c r="T201" s="497"/>
      <c r="U201" s="497"/>
      <c r="V201" s="497"/>
      <c r="W201" s="497"/>
      <c r="X201" s="497"/>
      <c r="Y201" s="497"/>
      <c r="Z201" s="497"/>
      <c r="AA201" s="303"/>
      <c r="AB201" s="303"/>
      <c r="AC201" s="303"/>
      <c r="AD201" s="303"/>
      <c r="AE201" s="303"/>
      <c r="AF201" s="303"/>
      <c r="AG201" s="303"/>
      <c r="AH201" s="303"/>
      <c r="AI201" s="303"/>
      <c r="AJ201" s="303"/>
      <c r="AK201" s="303"/>
      <c r="AL201" s="303"/>
      <c r="AM201" s="303"/>
      <c r="AN201" s="303"/>
      <c r="AO201" s="303"/>
      <c r="AP201" s="303"/>
      <c r="AQ201" s="303"/>
      <c r="AR201" s="303"/>
      <c r="AS201" s="303"/>
      <c r="AT201" s="303"/>
      <c r="AU201" s="303"/>
    </row>
    <row r="202" spans="1:47">
      <c r="B202" s="409" t="s">
        <v>14</v>
      </c>
      <c r="C202" s="570"/>
      <c r="D202" s="570"/>
      <c r="E202" s="570"/>
      <c r="F202" s="570"/>
      <c r="G202" s="570"/>
      <c r="H202" s="570"/>
      <c r="I202" s="570"/>
      <c r="J202" s="570"/>
      <c r="K202" s="570"/>
      <c r="L202" s="570"/>
      <c r="M202" s="570"/>
      <c r="N202" s="570"/>
      <c r="O202" s="570"/>
      <c r="P202" s="570"/>
      <c r="Q202" s="570"/>
      <c r="R202" s="570"/>
      <c r="S202" s="570"/>
      <c r="T202" s="585">
        <f>T$127/T198</f>
        <v>-0.45732169422067537</v>
      </c>
      <c r="U202" s="570"/>
      <c r="V202" s="570"/>
      <c r="W202" s="585">
        <f>W$127/W198</f>
        <v>-0.33887350740441002</v>
      </c>
      <c r="X202" s="570"/>
      <c r="Y202" s="570"/>
      <c r="Z202" s="585">
        <f>Z$127/Z198</f>
        <v>-0.33685885729193854</v>
      </c>
      <c r="AA202" s="456">
        <f>AA$127/AA198</f>
        <v>-3.3871533871533861E-2</v>
      </c>
      <c r="AB202" s="456"/>
      <c r="AC202" s="456">
        <f>AC$127/AC198</f>
        <v>-0.22293085954486161</v>
      </c>
      <c r="AD202" s="456">
        <f>AD$127/AD198</f>
        <v>-0.23995436683990368</v>
      </c>
      <c r="AE202" s="456"/>
      <c r="AF202" s="456">
        <f>AF$127/AF198</f>
        <v>-0.28485576923076922</v>
      </c>
      <c r="AG202" s="456">
        <f>AG$127/AG198</f>
        <v>-0.3188908145580589</v>
      </c>
      <c r="AH202" s="456"/>
      <c r="AI202" s="456">
        <f>AI$127/AI198</f>
        <v>-0.36753175041413583</v>
      </c>
      <c r="AJ202" s="456">
        <f>AJ$127/AJ198</f>
        <v>-0.33985054765073192</v>
      </c>
      <c r="AK202" s="456"/>
      <c r="AL202" s="456">
        <f>AL$127/AL198</f>
        <v>4.3315550601162503E-2</v>
      </c>
      <c r="AM202" s="456">
        <f>AM$127/AM198</f>
        <v>2.7267467090987998E-2</v>
      </c>
      <c r="AN202" s="456"/>
      <c r="AO202" s="456">
        <f>AO$127/AO198</f>
        <v>-1.8802370733701206E-2</v>
      </c>
      <c r="AP202" s="456">
        <f>AP$127/AP198</f>
        <v>-4.6879013614179302E-2</v>
      </c>
      <c r="AQ202" s="456"/>
      <c r="AR202" s="456">
        <f>AR$127/AR198</f>
        <v>-6.0104478487996715E-2</v>
      </c>
      <c r="AS202" s="456">
        <f>AS$127/AS198</f>
        <v>0.99845367705677746</v>
      </c>
      <c r="AT202" s="456">
        <f>AT$127/AT198</f>
        <v>0.81666582210093908</v>
      </c>
      <c r="AU202" s="456">
        <f t="shared" ref="AU202" si="290">AU$127/AU198</f>
        <v>0.64790925203296379</v>
      </c>
    </row>
    <row r="203" spans="1:47">
      <c r="B203" s="409" t="s">
        <v>13</v>
      </c>
      <c r="C203" s="570"/>
      <c r="D203" s="570"/>
      <c r="E203" s="570"/>
      <c r="F203" s="570"/>
      <c r="G203" s="570"/>
      <c r="H203" s="570"/>
      <c r="I203" s="570"/>
      <c r="J203" s="570"/>
      <c r="K203" s="570"/>
      <c r="L203" s="570"/>
      <c r="M203" s="570"/>
      <c r="N203" s="570"/>
      <c r="O203" s="570"/>
      <c r="P203" s="570"/>
      <c r="Q203" s="570"/>
      <c r="R203" s="570"/>
      <c r="S203" s="570"/>
      <c r="T203" s="585">
        <f>T$127/(T127+T198)</f>
        <v>-0.84271232026481857</v>
      </c>
      <c r="U203" s="570"/>
      <c r="V203" s="570"/>
      <c r="W203" s="585">
        <f>W$127/(W127+W198)</f>
        <v>-0.51256985039880776</v>
      </c>
      <c r="X203" s="570"/>
      <c r="Y203" s="570"/>
      <c r="Z203" s="585">
        <f>Z$127/(Z127+Z198)</f>
        <v>-0.50797460087653756</v>
      </c>
      <c r="AA203" s="456">
        <f>AA$127/(AA127+AA198)</f>
        <v>-3.5059037238873741E-2</v>
      </c>
      <c r="AB203" s="456"/>
      <c r="AC203" s="456">
        <f>AC$127/(AC127+AC198)</f>
        <v>-0.28688677485543751</v>
      </c>
      <c r="AD203" s="456">
        <f>AD$127/(AD127+AD198)</f>
        <v>-0.31571047364909949</v>
      </c>
      <c r="AE203" s="456"/>
      <c r="AF203" s="456">
        <f>AF$127/(AF127+AF198)</f>
        <v>-0.39831932773109241</v>
      </c>
      <c r="AG203" s="456">
        <f>AG$127/(AG127+AG198)</f>
        <v>-0.4681933842239186</v>
      </c>
      <c r="AH203" s="456"/>
      <c r="AI203" s="456">
        <f>AI$127/(AI127+AI198)</f>
        <v>-0.58110703684302423</v>
      </c>
      <c r="AJ203" s="456">
        <f>AJ$127/(AJ127+AJ198)</f>
        <v>-0.51480849744146384</v>
      </c>
      <c r="AK203" s="456"/>
      <c r="AL203" s="456">
        <f>AL$127/(AL127+AL198)</f>
        <v>4.1517209799282598E-2</v>
      </c>
      <c r="AM203" s="456">
        <f>AM$127/(AM127+AM198)</f>
        <v>2.6543687953249316E-2</v>
      </c>
      <c r="AN203" s="456"/>
      <c r="AO203" s="456">
        <f>AO$127/(AO127+AO198)</f>
        <v>-1.916267444282441E-2</v>
      </c>
      <c r="AP203" s="456">
        <f>AP$127/(AP127+AP198)</f>
        <v>-4.9184745991106324E-2</v>
      </c>
      <c r="AQ203" s="456"/>
      <c r="AR203" s="456">
        <f>AR$127/(AR127+AR198)</f>
        <v>-6.3948042215699746E-2</v>
      </c>
      <c r="AS203" s="456">
        <f>AS$127/(AS127+AS198)</f>
        <v>0.49961312014359527</v>
      </c>
      <c r="AT203" s="456">
        <f>AT$127/(AT127+AT198)</f>
        <v>0.44954102849608346</v>
      </c>
      <c r="AU203" s="456">
        <f t="shared" ref="AU203" si="291">AU$127/(AU127+AU198)</f>
        <v>0.39317046811507522</v>
      </c>
    </row>
    <row r="204" spans="1:47">
      <c r="B204" s="409" t="s">
        <v>180</v>
      </c>
      <c r="C204" s="511"/>
      <c r="D204" s="511"/>
      <c r="E204" s="511"/>
      <c r="F204" s="511"/>
      <c r="G204" s="511"/>
      <c r="H204" s="511"/>
      <c r="I204" s="511"/>
      <c r="J204" s="511"/>
      <c r="K204" s="511"/>
      <c r="L204" s="511"/>
      <c r="M204" s="511"/>
      <c r="N204" s="511"/>
      <c r="O204" s="511"/>
      <c r="P204" s="511"/>
      <c r="Q204" s="511"/>
      <c r="R204" s="511"/>
      <c r="S204" s="511"/>
      <c r="T204" s="586">
        <f>T127/T24</f>
        <v>-1.8103333333333333</v>
      </c>
      <c r="U204" s="511"/>
      <c r="V204" s="511"/>
      <c r="W204" s="586">
        <f>W127/W24</f>
        <v>-1.527989756722151</v>
      </c>
      <c r="X204" s="511"/>
      <c r="Y204" s="511"/>
      <c r="Z204" s="586">
        <f>Z127/Z24</f>
        <v>-2.3910740740740746</v>
      </c>
      <c r="AA204" s="295">
        <f>AA127/AA24</f>
        <v>-0.44988344988344992</v>
      </c>
      <c r="AB204" s="473"/>
      <c r="AC204" s="473">
        <f>AC127/AC24</f>
        <v>-1.8072855464159809</v>
      </c>
      <c r="AD204" s="473">
        <f>AD127/AD24</f>
        <v>-2.9717425431711146</v>
      </c>
      <c r="AE204" s="473"/>
      <c r="AF204" s="473">
        <f>AF127/AF24</f>
        <v>-1.5379623621025309</v>
      </c>
      <c r="AG204" s="473">
        <f>AG127/AG24</f>
        <v>-2.711198428290766</v>
      </c>
      <c r="AH204" s="473"/>
      <c r="AI204" s="473">
        <f>AI127/AI24</f>
        <v>-1.4216146945749681</v>
      </c>
      <c r="AJ204" s="473">
        <f>AJ127/AJ24</f>
        <v>-2.4906226556639162</v>
      </c>
      <c r="AK204" s="473"/>
      <c r="AL204" s="295">
        <f t="shared" ref="AL204:AU204" si="292">AL127/AL24</f>
        <v>0.195262024407753</v>
      </c>
      <c r="AM204" s="473">
        <f>AM127/AM24</f>
        <v>0.2478632478632479</v>
      </c>
      <c r="AN204" s="295"/>
      <c r="AO204" s="295">
        <f t="shared" ref="AO204" si="293">AO127/AO24</f>
        <v>-8.4095063985374779E-2</v>
      </c>
      <c r="AP204" s="473">
        <f>AP127/AP24</f>
        <v>-0.37667698658410731</v>
      </c>
      <c r="AQ204" s="295"/>
      <c r="AR204" s="295">
        <f t="shared" ref="AR204" si="294">AR127/AR24</f>
        <v>-0.24902723735408566</v>
      </c>
      <c r="AS204" s="295">
        <f t="shared" si="292"/>
        <v>3.1492338705452276</v>
      </c>
      <c r="AT204" s="295">
        <f t="shared" si="292"/>
        <v>2.4256926192395403</v>
      </c>
      <c r="AU204" s="295">
        <f t="shared" si="292"/>
        <v>1.903150489107698</v>
      </c>
    </row>
    <row r="205" spans="1:47">
      <c r="B205" s="409" t="s">
        <v>181</v>
      </c>
      <c r="C205" s="536"/>
      <c r="D205" s="536"/>
      <c r="E205" s="536"/>
      <c r="F205" s="536"/>
      <c r="G205" s="536"/>
      <c r="H205" s="536"/>
      <c r="I205" s="536"/>
      <c r="J205" s="536"/>
      <c r="K205" s="536"/>
      <c r="L205" s="536"/>
      <c r="M205" s="536"/>
      <c r="N205" s="536"/>
      <c r="O205" s="536"/>
      <c r="P205" s="536"/>
      <c r="Q205" s="536"/>
      <c r="R205" s="536"/>
      <c r="S205" s="536"/>
      <c r="T205" s="571">
        <f>T27/T155</f>
        <v>0.14308426073131955</v>
      </c>
      <c r="U205" s="536"/>
      <c r="V205" s="536"/>
      <c r="W205" s="571">
        <f>W27/W155</f>
        <v>0.19794999728835619</v>
      </c>
      <c r="X205" s="536"/>
      <c r="Y205" s="536"/>
      <c r="Z205" s="571">
        <f>Z27/Z155</f>
        <v>0.1781208252931572</v>
      </c>
      <c r="AA205" s="424" t="e">
        <f>AA27/AA155</f>
        <v>#DIV/0!</v>
      </c>
      <c r="AB205" s="424"/>
      <c r="AC205" s="424" t="e">
        <f>AC27/AC155</f>
        <v>#DIV/0!</v>
      </c>
      <c r="AD205" s="424" t="e">
        <f>AD27/AD155</f>
        <v>#DIV/0!</v>
      </c>
      <c r="AE205" s="424"/>
      <c r="AF205" s="424" t="e">
        <f>AF27/AF155</f>
        <v>#DIV/0!</v>
      </c>
      <c r="AG205" s="424" t="e">
        <f>AG27/AG155</f>
        <v>#DIV/0!</v>
      </c>
      <c r="AH205" s="424"/>
      <c r="AI205" s="424" t="e">
        <f>AI27/AI155</f>
        <v>#DIV/0!</v>
      </c>
      <c r="AJ205" s="424" t="e">
        <f>AJ27/AJ155</f>
        <v>#DIV/0!</v>
      </c>
      <c r="AK205" s="424"/>
      <c r="AL205" s="424">
        <f>AL27/AL155</f>
        <v>0</v>
      </c>
      <c r="AM205" s="424">
        <f>AM27/AM155</f>
        <v>0</v>
      </c>
      <c r="AN205" s="424"/>
      <c r="AO205" s="424">
        <f>AO27/AO155</f>
        <v>0</v>
      </c>
      <c r="AP205" s="424">
        <f>AP27/AP155</f>
        <v>0</v>
      </c>
      <c r="AQ205" s="424"/>
      <c r="AR205" s="424">
        <f>AR27/AR155</f>
        <v>0</v>
      </c>
      <c r="AS205" s="424">
        <f>AS27/AS155</f>
        <v>0</v>
      </c>
      <c r="AT205" s="424">
        <f>AT27/AT155</f>
        <v>0</v>
      </c>
      <c r="AU205" s="424">
        <f t="shared" ref="AU205" si="295">AU27/AU155</f>
        <v>0</v>
      </c>
    </row>
    <row r="206" spans="1:47">
      <c r="B206" s="409" t="s">
        <v>159</v>
      </c>
      <c r="C206" s="511"/>
      <c r="D206" s="511"/>
      <c r="E206" s="511"/>
      <c r="F206" s="511"/>
      <c r="G206" s="511"/>
      <c r="H206" s="511"/>
      <c r="I206" s="587"/>
      <c r="J206" s="511"/>
      <c r="K206" s="587"/>
      <c r="L206" s="587"/>
      <c r="M206" s="511"/>
      <c r="N206" s="523">
        <f>-N89/N27</f>
        <v>5.8888888888888884</v>
      </c>
      <c r="O206" s="511"/>
      <c r="P206" s="511"/>
      <c r="Q206" s="523">
        <f>-Q89/Q27</f>
        <v>4.6823255813953493</v>
      </c>
      <c r="R206" s="511"/>
      <c r="S206" s="511"/>
      <c r="T206" s="523">
        <f>-T89/T27</f>
        <v>6.4215555555555559</v>
      </c>
      <c r="U206" s="587"/>
      <c r="V206" s="511"/>
      <c r="W206" s="523">
        <f>-W89/W27</f>
        <v>5.1732876712328766</v>
      </c>
      <c r="X206" s="587"/>
      <c r="Y206" s="511"/>
      <c r="Z206" s="523">
        <f>-Z89/Z27</f>
        <v>6</v>
      </c>
      <c r="AA206" s="295" t="e">
        <f>-AA89/AA27</f>
        <v>#DIV/0!</v>
      </c>
      <c r="AB206" s="295"/>
      <c r="AC206" s="295" t="e">
        <f>-AC89/AC27</f>
        <v>#DIV/0!</v>
      </c>
      <c r="AD206" s="295" t="e">
        <f>-AD89/AD27</f>
        <v>#DIV/0!</v>
      </c>
      <c r="AE206" s="295"/>
      <c r="AF206" s="295" t="e">
        <f>-AF89/AF27</f>
        <v>#DIV/0!</v>
      </c>
      <c r="AG206" s="295" t="e">
        <f>-AG89/AG27</f>
        <v>#DIV/0!</v>
      </c>
      <c r="AH206" s="295"/>
      <c r="AI206" s="295" t="e">
        <f>-AI89/AI27</f>
        <v>#DIV/0!</v>
      </c>
      <c r="AJ206" s="295" t="e">
        <f>-AJ89/AJ27</f>
        <v>#DIV/0!</v>
      </c>
      <c r="AK206" s="295"/>
      <c r="AL206" s="295" t="e">
        <f>-AL89/AL27</f>
        <v>#DIV/0!</v>
      </c>
      <c r="AM206" s="295" t="e">
        <f>-AM89/AM27</f>
        <v>#DIV/0!</v>
      </c>
      <c r="AN206" s="295"/>
      <c r="AO206" s="295" t="e">
        <f>-AO89/AO27</f>
        <v>#DIV/0!</v>
      </c>
      <c r="AP206" s="295" t="e">
        <f>-AP89/AP27</f>
        <v>#DIV/0!</v>
      </c>
      <c r="AQ206" s="295"/>
      <c r="AR206" s="295" t="e">
        <f>-AR89/AR27</f>
        <v>#DIV/0!</v>
      </c>
      <c r="AS206" s="295" t="e">
        <f>-AS89/AS27</f>
        <v>#DIV/0!</v>
      </c>
      <c r="AT206" s="295" t="e">
        <f>-AT89/AT27</f>
        <v>#DIV/0!</v>
      </c>
      <c r="AU206" s="295" t="e">
        <f t="shared" ref="AU206" si="296">-AU89/AU27</f>
        <v>#DIV/0!</v>
      </c>
    </row>
    <row r="207" spans="1:47">
      <c r="B207" s="409" t="s">
        <v>160</v>
      </c>
      <c r="C207" s="511"/>
      <c r="D207" s="511"/>
      <c r="E207" s="511"/>
      <c r="F207" s="511"/>
      <c r="G207" s="511"/>
      <c r="H207" s="511"/>
      <c r="I207" s="511"/>
      <c r="J207" s="511"/>
      <c r="K207" s="511"/>
      <c r="L207" s="511"/>
      <c r="M207" s="511"/>
      <c r="N207" s="511"/>
      <c r="O207" s="511"/>
      <c r="P207" s="511"/>
      <c r="Q207" s="511"/>
      <c r="R207" s="511"/>
      <c r="S207" s="511"/>
      <c r="T207" s="511"/>
      <c r="U207" s="511"/>
      <c r="V207" s="511"/>
      <c r="W207" s="511"/>
      <c r="X207" s="511"/>
      <c r="Y207" s="511"/>
      <c r="Z207" s="511"/>
      <c r="AA207" s="295"/>
      <c r="AB207" s="295"/>
      <c r="AC207" s="295"/>
      <c r="AD207" s="295"/>
      <c r="AE207" s="295"/>
      <c r="AF207" s="295"/>
      <c r="AG207" s="295"/>
      <c r="AH207" s="295"/>
      <c r="AI207" s="295"/>
      <c r="AJ207" s="295"/>
      <c r="AK207" s="295"/>
      <c r="AL207" s="295"/>
      <c r="AM207" s="295"/>
      <c r="AN207" s="295"/>
      <c r="AO207" s="295"/>
      <c r="AP207" s="295"/>
      <c r="AQ207" s="295"/>
      <c r="AR207" s="295"/>
      <c r="AS207" s="295"/>
      <c r="AT207" s="295"/>
      <c r="AU207" s="295"/>
    </row>
    <row r="208" spans="1:47">
      <c r="B208" s="409" t="s">
        <v>126</v>
      </c>
      <c r="C208" s="536"/>
      <c r="D208" s="536"/>
      <c r="E208" s="536"/>
      <c r="F208" s="536"/>
      <c r="G208" s="536"/>
      <c r="H208" s="536"/>
      <c r="I208" s="536"/>
      <c r="J208" s="536"/>
      <c r="K208" s="567"/>
      <c r="L208" s="536"/>
      <c r="M208" s="536"/>
      <c r="N208" s="571">
        <f>-N89/N8</f>
        <v>0.19974874371859297</v>
      </c>
      <c r="O208" s="536"/>
      <c r="P208" s="536"/>
      <c r="Q208" s="571">
        <f>-Q89/Q8</f>
        <v>0.19490803484995162</v>
      </c>
      <c r="R208" s="536"/>
      <c r="S208" s="536"/>
      <c r="T208" s="571">
        <f>-T89/T8</f>
        <v>0.18788686605981794</v>
      </c>
      <c r="U208" s="567"/>
      <c r="V208" s="536"/>
      <c r="W208" s="571">
        <f>-W89/W8</f>
        <v>0.17041967509025271</v>
      </c>
      <c r="X208" s="567"/>
      <c r="Y208" s="536"/>
      <c r="Z208" s="571">
        <f>-Z89/Z8</f>
        <v>0.14474439977024697</v>
      </c>
      <c r="AA208" s="424">
        <f>-AA89/AA8</f>
        <v>0.20240622788393489</v>
      </c>
      <c r="AB208" s="424"/>
      <c r="AC208" s="424">
        <f>-AC89/AC8</f>
        <v>0.21083709621396321</v>
      </c>
      <c r="AD208" s="424">
        <f>-AD89/AD8</f>
        <v>0.18176470588235294</v>
      </c>
      <c r="AE208" s="453"/>
      <c r="AF208" s="424">
        <f>-AF89/AF8</f>
        <v>0.17851458885941643</v>
      </c>
      <c r="AG208" s="424">
        <f>-AG89/AG8</f>
        <v>0.15840154068367837</v>
      </c>
      <c r="AH208" s="453"/>
      <c r="AI208" s="424">
        <f>-AI89/AI8</f>
        <v>0.16164026903883708</v>
      </c>
      <c r="AJ208" s="424">
        <f>-AJ89/AJ8</f>
        <v>0.17195456325891109</v>
      </c>
      <c r="AK208" s="424"/>
      <c r="AL208" s="424">
        <f>-AL89/AL8</f>
        <v>0.17312567910177473</v>
      </c>
      <c r="AM208" s="424">
        <f>-AM89/AM8</f>
        <v>0.1889908256880734</v>
      </c>
      <c r="AN208" s="424"/>
      <c r="AO208" s="424">
        <f>-AO89/AO8</f>
        <v>0.19031597425394967</v>
      </c>
      <c r="AP208" s="424">
        <f>-AP89/AP8</f>
        <v>0.20629921259842518</v>
      </c>
      <c r="AQ208" s="424"/>
      <c r="AR208" s="424">
        <f>-AR89/AR8</f>
        <v>0.19198664440734556</v>
      </c>
      <c r="AS208" s="424">
        <f t="shared" ref="AS208:AU208" si="297">-AS89/AS8</f>
        <v>0.20199999999999999</v>
      </c>
      <c r="AT208" s="424">
        <f t="shared" si="297"/>
        <v>0.20550000000000002</v>
      </c>
      <c r="AU208" s="424">
        <f t="shared" si="297"/>
        <v>0.20899999999999999</v>
      </c>
    </row>
    <row r="209" spans="2:47">
      <c r="B209" s="409" t="s">
        <v>162</v>
      </c>
      <c r="C209" s="570"/>
      <c r="D209" s="570"/>
      <c r="E209" s="570"/>
      <c r="F209" s="570"/>
      <c r="G209" s="570"/>
      <c r="H209" s="570"/>
      <c r="I209" s="570"/>
      <c r="J209" s="570"/>
      <c r="K209" s="570"/>
      <c r="L209" s="570"/>
      <c r="M209" s="570"/>
      <c r="N209" s="570"/>
      <c r="O209" s="570"/>
      <c r="P209" s="570"/>
      <c r="Q209" s="570"/>
      <c r="R209" s="570"/>
      <c r="S209" s="570"/>
      <c r="T209" s="585">
        <f>-T89/T24</f>
        <v>0.53512962962962962</v>
      </c>
      <c r="U209" s="570"/>
      <c r="V209" s="570"/>
      <c r="W209" s="585">
        <f>-W89/W24</f>
        <v>0.48354673495518563</v>
      </c>
      <c r="X209" s="570"/>
      <c r="Y209" s="570"/>
      <c r="Z209" s="585">
        <f>-Z89/Z24</f>
        <v>0.46666666666666667</v>
      </c>
      <c r="AA209" s="456">
        <f>-AA89/AA24</f>
        <v>0.66666666666666685</v>
      </c>
      <c r="AB209" s="456"/>
      <c r="AC209" s="456">
        <f>-AC89/AC24</f>
        <v>0.71327849588719139</v>
      </c>
      <c r="AD209" s="456">
        <f>-AD89/AD24</f>
        <v>0.48508634222919933</v>
      </c>
      <c r="AE209" s="456"/>
      <c r="AF209" s="456">
        <f>-AF89/AF24</f>
        <v>0.43672939649578196</v>
      </c>
      <c r="AG209" s="456">
        <f>-AG89/AG24</f>
        <v>0.32318271119842823</v>
      </c>
      <c r="AH209" s="456"/>
      <c r="AI209" s="456">
        <f>-AI89/AI24</f>
        <v>0.31824006834686036</v>
      </c>
      <c r="AJ209" s="456">
        <f>-AJ89/AJ24</f>
        <v>0.32933233308327092</v>
      </c>
      <c r="AK209" s="456"/>
      <c r="AL209" s="456">
        <f t="shared" ref="AL209:AU209" si="298">-AL89/AL24</f>
        <v>0.34314429289303655</v>
      </c>
      <c r="AM209" s="456">
        <f>-AM89/AM24</f>
        <v>0.40631163708086787</v>
      </c>
      <c r="AN209" s="456"/>
      <c r="AO209" s="456">
        <f t="shared" ref="AO209" si="299">-AO89/AO24</f>
        <v>0.39640463132236442</v>
      </c>
      <c r="AP209" s="456">
        <f>-AP89/AP24</f>
        <v>0.40557275541795662</v>
      </c>
      <c r="AQ209" s="456"/>
      <c r="AR209" s="456">
        <f t="shared" ref="AR209" si="300">-AR89/AR24</f>
        <v>0.36357003891050588</v>
      </c>
      <c r="AS209" s="456">
        <f t="shared" si="298"/>
        <v>0.46467421473398612</v>
      </c>
      <c r="AT209" s="456">
        <f t="shared" si="298"/>
        <v>0.45188041056750672</v>
      </c>
      <c r="AU209" s="456">
        <f t="shared" si="298"/>
        <v>0.44683663750204045</v>
      </c>
    </row>
    <row r="210" spans="2:47">
      <c r="B210" s="409" t="s">
        <v>86</v>
      </c>
      <c r="C210" s="511"/>
      <c r="D210" s="511"/>
      <c r="E210" s="511"/>
      <c r="F210" s="511"/>
      <c r="G210" s="511"/>
      <c r="H210" s="511"/>
      <c r="I210" s="511"/>
      <c r="J210" s="511"/>
      <c r="K210" s="511"/>
      <c r="L210" s="511"/>
      <c r="M210" s="511"/>
      <c r="N210" s="511"/>
      <c r="O210" s="511"/>
      <c r="P210" s="511"/>
      <c r="Q210" s="511"/>
      <c r="R210" s="511"/>
      <c r="S210" s="511"/>
      <c r="T210" s="523">
        <f>T145+T147-T178</f>
        <v>-1.4190000000000005</v>
      </c>
      <c r="U210" s="511"/>
      <c r="V210" s="511"/>
      <c r="W210" s="523">
        <f>W145+W147-W178</f>
        <v>4.902000000000001</v>
      </c>
      <c r="X210" s="511"/>
      <c r="Y210" s="511"/>
      <c r="Z210" s="523">
        <f>Z145+Z147-Z178</f>
        <v>15.599999999999994</v>
      </c>
      <c r="AA210" s="295">
        <f>AA145+AA147-AA178</f>
        <v>30.9</v>
      </c>
      <c r="AB210" s="295"/>
      <c r="AC210" s="295">
        <f>AC145+AC147-AC178</f>
        <v>41</v>
      </c>
      <c r="AD210" s="295">
        <f>AD145+AD147-AD178</f>
        <v>47.6</v>
      </c>
      <c r="AE210" s="295"/>
      <c r="AF210" s="295">
        <f>AF145+AF147-AF178</f>
        <v>55.8</v>
      </c>
      <c r="AG210" s="295">
        <f>AG145+AG147-AG178</f>
        <v>50.2</v>
      </c>
      <c r="AH210" s="295"/>
      <c r="AI210" s="295">
        <f>AI145+AI147-AI178</f>
        <v>60.6</v>
      </c>
      <c r="AJ210" s="295">
        <f>AJ145+AJ147-AJ178</f>
        <v>62.4</v>
      </c>
      <c r="AK210" s="295"/>
      <c r="AL210" s="295">
        <f>AL145+AL147-AL178</f>
        <v>23.5</v>
      </c>
      <c r="AM210" s="295">
        <f>AM145+AM147-AM178</f>
        <v>21.699999999999996</v>
      </c>
      <c r="AN210" s="295"/>
      <c r="AO210" s="295">
        <f>AO145+AO147-AO178</f>
        <v>39.1</v>
      </c>
      <c r="AP210" s="295">
        <f>AP145+AP147-AP178</f>
        <v>29.9</v>
      </c>
      <c r="AQ210" s="295"/>
      <c r="AR210" s="295">
        <f>AR145+AR147-AR178</f>
        <v>5</v>
      </c>
      <c r="AS210" s="295">
        <f>AS145+AS147-AS178</f>
        <v>9.0902398482746776</v>
      </c>
      <c r="AT210" s="295">
        <f>AT145+AT147-AT178</f>
        <v>10.716209927512324</v>
      </c>
      <c r="AU210" s="295">
        <f t="shared" ref="AU210" si="301">AU145+AU147-AU178</f>
        <v>12.352688731549364</v>
      </c>
    </row>
    <row r="211" spans="2:47">
      <c r="B211" s="409" t="s">
        <v>87</v>
      </c>
      <c r="C211" s="511"/>
      <c r="D211" s="511"/>
      <c r="E211" s="511"/>
      <c r="F211" s="511"/>
      <c r="G211" s="511"/>
      <c r="H211" s="511"/>
      <c r="I211" s="511"/>
      <c r="J211" s="511"/>
      <c r="K211" s="511"/>
      <c r="L211" s="511"/>
      <c r="M211" s="511"/>
      <c r="N211" s="511"/>
      <c r="O211" s="511"/>
      <c r="P211" s="511"/>
      <c r="Q211" s="511"/>
      <c r="R211" s="511"/>
      <c r="S211" s="511"/>
      <c r="T211" s="523">
        <f>Q210-T210</f>
        <v>1.4190000000000005</v>
      </c>
      <c r="U211" s="511"/>
      <c r="V211" s="511"/>
      <c r="W211" s="523">
        <f>T210-W210</f>
        <v>-6.3210000000000015</v>
      </c>
      <c r="X211" s="511"/>
      <c r="Y211" s="511"/>
      <c r="Z211" s="523">
        <f>W210-Z210</f>
        <v>-10.697999999999993</v>
      </c>
      <c r="AA211" s="295">
        <f>Z210-AA210</f>
        <v>-15.300000000000004</v>
      </c>
      <c r="AB211" s="295"/>
      <c r="AC211" s="295">
        <f>Z210-AC210</f>
        <v>-25.400000000000006</v>
      </c>
      <c r="AD211" s="295">
        <f>AA210-AD210</f>
        <v>-16.700000000000003</v>
      </c>
      <c r="AE211" s="295"/>
      <c r="AF211" s="295">
        <f>AC210-AF210</f>
        <v>-14.799999999999997</v>
      </c>
      <c r="AG211" s="295">
        <f>AD210-AG210</f>
        <v>-2.6000000000000014</v>
      </c>
      <c r="AH211" s="295"/>
      <c r="AI211" s="295">
        <f>AF210-AI210</f>
        <v>-4.8000000000000043</v>
      </c>
      <c r="AJ211" s="295">
        <f>AG210-AJ210</f>
        <v>-12.199999999999996</v>
      </c>
      <c r="AK211" s="295"/>
      <c r="AL211" s="295">
        <f>AI210-AL210</f>
        <v>37.1</v>
      </c>
      <c r="AM211" s="295">
        <f>AJ210-AM210</f>
        <v>40.700000000000003</v>
      </c>
      <c r="AN211" s="295"/>
      <c r="AO211" s="295">
        <f>AL210-AO210</f>
        <v>-15.600000000000001</v>
      </c>
      <c r="AP211" s="295">
        <f>AM210-AP210</f>
        <v>-8.2000000000000028</v>
      </c>
      <c r="AQ211" s="295"/>
      <c r="AR211" s="295">
        <f>AO210-AR210</f>
        <v>34.1</v>
      </c>
      <c r="AS211" s="295">
        <f>AR210-AS210</f>
        <v>-4.0902398482746776</v>
      </c>
      <c r="AT211" s="295">
        <f>AS210-AT210</f>
        <v>-1.6259700792376464</v>
      </c>
      <c r="AU211" s="295">
        <f t="shared" ref="AU211" si="302">AT210-AU210</f>
        <v>-1.6364788040370399</v>
      </c>
    </row>
    <row r="212" spans="2:47">
      <c r="B212" s="409" t="s">
        <v>124</v>
      </c>
      <c r="C212" s="570"/>
      <c r="D212" s="570"/>
      <c r="E212" s="570"/>
      <c r="F212" s="570"/>
      <c r="G212" s="570"/>
      <c r="H212" s="570"/>
      <c r="I212" s="570"/>
      <c r="J212" s="570"/>
      <c r="K212" s="570"/>
      <c r="L212" s="570"/>
      <c r="M212" s="570"/>
      <c r="N212" s="570"/>
      <c r="O212" s="570"/>
      <c r="P212" s="570"/>
      <c r="Q212" s="570"/>
      <c r="R212" s="570"/>
      <c r="S212" s="570"/>
      <c r="T212" s="585">
        <f>T210/T8</f>
        <v>-9.2262678803641113E-3</v>
      </c>
      <c r="U212" s="570"/>
      <c r="V212" s="570"/>
      <c r="W212" s="585">
        <f>W210/W8</f>
        <v>2.2120938628158851E-2</v>
      </c>
      <c r="X212" s="570"/>
      <c r="Y212" s="570"/>
      <c r="Z212" s="585">
        <f>Z210/Z8</f>
        <v>4.4801838024124054E-2</v>
      </c>
      <c r="AA212" s="456">
        <f>AA210/AA8</f>
        <v>0.21868365180467089</v>
      </c>
      <c r="AB212" s="456"/>
      <c r="AC212" s="456">
        <f>AC210/AC8</f>
        <v>0.14241055922195209</v>
      </c>
      <c r="AD212" s="456">
        <f>AD210/AD8</f>
        <v>0.28000000000000003</v>
      </c>
      <c r="AE212" s="456"/>
      <c r="AF212" s="456">
        <f>AF210/AF8</f>
        <v>0.14801061007957558</v>
      </c>
      <c r="AG212" s="456">
        <f>AG210/AG8</f>
        <v>0.24169475204622054</v>
      </c>
      <c r="AH212" s="456"/>
      <c r="AI212" s="456">
        <f>AI210/AI8</f>
        <v>0.13148188327185942</v>
      </c>
      <c r="AJ212" s="456">
        <f>AJ210/AJ8</f>
        <v>0.24441833137485311</v>
      </c>
      <c r="AK212" s="456"/>
      <c r="AL212" s="456">
        <f>AL210/AL8</f>
        <v>4.2557044549076425E-2</v>
      </c>
      <c r="AM212" s="456">
        <f>AM210/AM8</f>
        <v>6.636085626911313E-2</v>
      </c>
      <c r="AN212" s="456"/>
      <c r="AO212" s="456">
        <f>AO210/AO8</f>
        <v>5.7197191339964891E-2</v>
      </c>
      <c r="AP212" s="456">
        <f>AP210/AP8</f>
        <v>7.8477690288713903E-2</v>
      </c>
      <c r="AQ212" s="456"/>
      <c r="AR212" s="456">
        <f>AR210/AR8</f>
        <v>6.4209580069346343E-3</v>
      </c>
      <c r="AS212" s="456">
        <f t="shared" ref="AS212:AU212" si="303">AS210/AS8</f>
        <v>6.4209580069346265E-3</v>
      </c>
      <c r="AT212" s="456">
        <f t="shared" si="303"/>
        <v>6.4209580069346326E-3</v>
      </c>
      <c r="AU212" s="456">
        <f t="shared" si="303"/>
        <v>6.4209580069346248E-3</v>
      </c>
    </row>
    <row r="213" spans="2:47">
      <c r="B213" s="409" t="s">
        <v>130</v>
      </c>
      <c r="C213" s="511"/>
      <c r="D213" s="511"/>
      <c r="E213" s="511"/>
      <c r="F213" s="511"/>
      <c r="G213" s="511"/>
      <c r="H213" s="511"/>
      <c r="I213" s="511"/>
      <c r="J213" s="511"/>
      <c r="K213" s="511"/>
      <c r="L213" s="511"/>
      <c r="M213" s="511"/>
      <c r="N213" s="511"/>
      <c r="O213" s="511"/>
      <c r="P213" s="511"/>
      <c r="Q213" s="511"/>
      <c r="R213" s="511"/>
      <c r="S213" s="511"/>
      <c r="T213" s="523">
        <f>365/(T$8*2/(Q$145+T$145))</f>
        <v>16.40720091027308</v>
      </c>
      <c r="U213" s="511"/>
      <c r="V213" s="511"/>
      <c r="W213" s="523">
        <f>365/(W$8*2/(T$145+W$145))</f>
        <v>34.428756768953065</v>
      </c>
      <c r="X213" s="511"/>
      <c r="Y213" s="511"/>
      <c r="Z213" s="523">
        <f>365/(Z$8*2/(W$145+Z$145))</f>
        <v>41.289445720850082</v>
      </c>
      <c r="AA213" s="295">
        <f>182.5/(AA$8*2/(X$145+AA$145))</f>
        <v>19.954883227176222</v>
      </c>
      <c r="AB213" s="295"/>
      <c r="AC213" s="295">
        <f>365/(AC$8*2/(Z$145+AC$145))</f>
        <v>58.192080583535954</v>
      </c>
      <c r="AD213" s="295">
        <f>365/(AD$8*2/(AA$145+AD$145))</f>
        <v>84.27205882352942</v>
      </c>
      <c r="AE213" s="295"/>
      <c r="AF213" s="295">
        <f>365/(AF$8*2/(AC$145+AF$145))</f>
        <v>46.859416445623339</v>
      </c>
      <c r="AG213" s="295">
        <f>365/(AG$8*2/(AD$145+AG$145))</f>
        <v>85.934039480019266</v>
      </c>
      <c r="AH213" s="295"/>
      <c r="AI213" s="295">
        <f>365/(AI$8*2/(AF$145+AI$145))</f>
        <v>46.090258190496854</v>
      </c>
      <c r="AJ213" s="295">
        <f>365/(AJ$8*2/(AG$145+AJ$145))</f>
        <v>80.491578535056789</v>
      </c>
      <c r="AK213" s="295"/>
      <c r="AL213" s="295">
        <f>365/(AL$8*2/(AI$145+AL$145))</f>
        <v>46.533864541832678</v>
      </c>
      <c r="AM213" s="295">
        <f>365/(AM$8*2/(AJ$145+AM$145))</f>
        <v>81.315749235474001</v>
      </c>
      <c r="AN213" s="295"/>
      <c r="AO213" s="295">
        <f>365/(AO$8*2/(AL$145+AO$145))</f>
        <v>46.505997659449967</v>
      </c>
      <c r="AP213" s="295">
        <f>365/(AP$8*2/(AM$145+AP$145))</f>
        <v>84.20866141732283</v>
      </c>
      <c r="AQ213" s="295"/>
      <c r="AR213" s="295">
        <f>365/(AR$8*2/(AO$145+AR$145))</f>
        <v>44.271542314113262</v>
      </c>
      <c r="AS213" s="295">
        <f t="shared" ref="AS213:AU213" si="304">365/(AS$8*2/(AR$145+AS$145))</f>
        <v>34.47481545376516</v>
      </c>
      <c r="AT213" s="295">
        <f t="shared" si="304"/>
        <v>41.107809078887286</v>
      </c>
      <c r="AU213" s="295">
        <f t="shared" si="304"/>
        <v>41.535961641075367</v>
      </c>
    </row>
    <row r="214" spans="2:47">
      <c r="B214" s="409" t="s">
        <v>132</v>
      </c>
      <c r="C214" s="511"/>
      <c r="D214" s="511"/>
      <c r="E214" s="511"/>
      <c r="F214" s="511"/>
      <c r="G214" s="511"/>
      <c r="H214" s="511"/>
      <c r="I214" s="511"/>
      <c r="J214" s="511"/>
      <c r="K214" s="511"/>
      <c r="L214" s="511"/>
      <c r="M214" s="511"/>
      <c r="N214" s="511"/>
      <c r="O214" s="511"/>
      <c r="P214" s="511"/>
      <c r="Q214" s="511"/>
      <c r="R214" s="511"/>
      <c r="S214" s="511"/>
      <c r="T214" s="523" t="e">
        <f>365/(T$8*2/(Q$147+T$147))</f>
        <v>#DIV/0!</v>
      </c>
      <c r="U214" s="511"/>
      <c r="V214" s="511"/>
      <c r="W214" s="523" t="e">
        <f>365/(W$8*2/(T$147+W$147))</f>
        <v>#DIV/0!</v>
      </c>
      <c r="X214" s="511"/>
      <c r="Y214" s="511"/>
      <c r="Z214" s="523" t="e">
        <f>365/(Z$8*2/(W$147+Z$147))</f>
        <v>#DIV/0!</v>
      </c>
      <c r="AA214" s="295" t="e">
        <f>365/(AA$8*2/(X$147+AA$147))</f>
        <v>#DIV/0!</v>
      </c>
      <c r="AB214" s="295"/>
      <c r="AC214" s="295" t="e">
        <f>365/(AC$8*2/(Z$147+AC$147))</f>
        <v>#DIV/0!</v>
      </c>
      <c r="AD214" s="295" t="e">
        <f>365/(AD$8*2/(AA$147+AD$147))</f>
        <v>#DIV/0!</v>
      </c>
      <c r="AE214" s="295"/>
      <c r="AF214" s="295" t="e">
        <f>365/(AF$8*2/(AC$147+AF$147))</f>
        <v>#DIV/0!</v>
      </c>
      <c r="AG214" s="295" t="e">
        <f>365/(AG$8*2/(AD$147+AG$147))</f>
        <v>#DIV/0!</v>
      </c>
      <c r="AH214" s="295"/>
      <c r="AI214" s="295" t="e">
        <f>365/(AI$8*2/(AF$147+AI$147))</f>
        <v>#DIV/0!</v>
      </c>
      <c r="AJ214" s="295" t="e">
        <f>365/(AJ$8*2/(AG$147+AJ$147))</f>
        <v>#DIV/0!</v>
      </c>
      <c r="AK214" s="295"/>
      <c r="AL214" s="295" t="e">
        <f>365/(AL$8*2/(AI$147+AL$147))</f>
        <v>#DIV/0!</v>
      </c>
      <c r="AM214" s="295" t="e">
        <f>365/(AM$8*2/(AJ$147+AM$147))</f>
        <v>#DIV/0!</v>
      </c>
      <c r="AN214" s="295"/>
      <c r="AO214" s="295" t="e">
        <f>365/(AO$8*2/(AL$147+AO$147))</f>
        <v>#DIV/0!</v>
      </c>
      <c r="AP214" s="295" t="e">
        <f>365/(AP$8*2/(AM$147+AP$147))</f>
        <v>#DIV/0!</v>
      </c>
      <c r="AQ214" s="295"/>
      <c r="AR214" s="295" t="e">
        <f>365/(AR$8*2/(AO$147+AR$147))</f>
        <v>#DIV/0!</v>
      </c>
      <c r="AS214" s="295" t="e">
        <f t="shared" ref="AS214:AU214" si="305">365/(AS$8*2/(AR$147+AS$147))</f>
        <v>#DIV/0!</v>
      </c>
      <c r="AT214" s="295" t="e">
        <f t="shared" si="305"/>
        <v>#DIV/0!</v>
      </c>
      <c r="AU214" s="295" t="e">
        <f t="shared" si="305"/>
        <v>#DIV/0!</v>
      </c>
    </row>
    <row r="215" spans="2:47">
      <c r="B215" s="409" t="s">
        <v>131</v>
      </c>
      <c r="C215" s="511"/>
      <c r="D215" s="511"/>
      <c r="E215" s="511"/>
      <c r="F215" s="511"/>
      <c r="G215" s="511"/>
      <c r="H215" s="511"/>
      <c r="I215" s="511"/>
      <c r="J215" s="511"/>
      <c r="K215" s="511"/>
      <c r="L215" s="511"/>
      <c r="M215" s="511"/>
      <c r="N215" s="511"/>
      <c r="O215" s="511"/>
      <c r="P215" s="511"/>
      <c r="Q215" s="511"/>
      <c r="R215" s="511"/>
      <c r="S215" s="511"/>
      <c r="T215" s="523">
        <f>365/(T$8*2/(Q$178+T$178))</f>
        <v>18.090994798439532</v>
      </c>
      <c r="U215" s="511"/>
      <c r="V215" s="511"/>
      <c r="W215" s="523">
        <f>365/(W$8*2/(T$178+W$178))</f>
        <v>31.560311371841156</v>
      </c>
      <c r="X215" s="511"/>
      <c r="Y215" s="511"/>
      <c r="Z215" s="523">
        <f>365/(Z$8*2/(W$178+Z$178))</f>
        <v>30.543854106835155</v>
      </c>
      <c r="AA215" s="295" t="e">
        <f>182.5/(AA$8*2/(X$178+AA$178))</f>
        <v>#DIV/0!</v>
      </c>
      <c r="AB215" s="295"/>
      <c r="AC215" s="295">
        <f>365/(AC$8*2/(Z$178+AC$178))</f>
        <v>22.313303230288298</v>
      </c>
      <c r="AD215" s="295" t="e">
        <f>365/(AD$8*2/(AA$178+AD$178))</f>
        <v>#DIV/0!</v>
      </c>
      <c r="AE215" s="295"/>
      <c r="AF215" s="295" t="e">
        <f>365/(AF$8*2/(AC$178+AF$178))</f>
        <v>#DIV/0!</v>
      </c>
      <c r="AG215" s="295" t="e">
        <f>365/(AG$8*2/(AD$178+AG$178))</f>
        <v>#DIV/0!</v>
      </c>
      <c r="AH215" s="295"/>
      <c r="AI215" s="295" t="e">
        <f>365/(AI$8*2/(AF$178+AI$178))</f>
        <v>#DIV/0!</v>
      </c>
      <c r="AJ215" s="295" t="e">
        <f>365/(AJ$8*2/(AG$178+AJ$178))</f>
        <v>#DIV/0!</v>
      </c>
      <c r="AK215" s="295"/>
      <c r="AL215" s="295">
        <f>365/(AL$8*2/(AI$178+AL$178))</f>
        <v>18.739134371604496</v>
      </c>
      <c r="AM215" s="295">
        <f>365/(AM$8*2/(AJ$178+AM$178))</f>
        <v>34.379204892966364</v>
      </c>
      <c r="AN215" s="295"/>
      <c r="AO215" s="295">
        <f>365/(AO$8*2/(AL$178+AO$178))</f>
        <v>29.793739028671737</v>
      </c>
      <c r="AP215" s="295">
        <f>365/(AP$8*2/(AM$178+AP$178))</f>
        <v>59.49212598425197</v>
      </c>
      <c r="AQ215" s="295"/>
      <c r="AR215" s="295">
        <f>365/(AR$8*2/(AO$178+AR$178))</f>
        <v>33.93604725825093</v>
      </c>
      <c r="AS215" s="295">
        <f t="shared" ref="AS215:AU215" si="306">365/(AS$8*2/(AR$178+AS$178))</f>
        <v>32.658439507834437</v>
      </c>
      <c r="AT215" s="295">
        <f t="shared" si="306"/>
        <v>38.941960339219889</v>
      </c>
      <c r="AU215" s="295">
        <f t="shared" si="306"/>
        <v>39.347554810670971</v>
      </c>
    </row>
    <row r="216" spans="2:47">
      <c r="B216" s="409"/>
      <c r="C216" s="539"/>
      <c r="D216" s="539"/>
      <c r="E216" s="539"/>
      <c r="F216" s="539"/>
      <c r="G216" s="539"/>
      <c r="H216" s="539"/>
      <c r="I216" s="539"/>
      <c r="J216" s="539"/>
      <c r="K216" s="539"/>
      <c r="L216" s="539"/>
      <c r="M216" s="539"/>
      <c r="N216" s="539"/>
      <c r="O216" s="539"/>
      <c r="P216" s="539"/>
      <c r="Q216" s="539"/>
      <c r="R216" s="539"/>
      <c r="S216" s="539"/>
      <c r="T216" s="539"/>
      <c r="U216" s="539"/>
      <c r="V216" s="539"/>
      <c r="W216" s="539"/>
      <c r="X216" s="539"/>
      <c r="Y216" s="539"/>
      <c r="Z216" s="539"/>
      <c r="AA216" s="198"/>
      <c r="AB216" s="198"/>
      <c r="AC216" s="198"/>
      <c r="AD216" s="198"/>
      <c r="AE216" s="198"/>
      <c r="AF216" s="198"/>
      <c r="AG216" s="198"/>
      <c r="AH216" s="198"/>
      <c r="AI216" s="198"/>
      <c r="AJ216" s="198"/>
      <c r="AK216" s="198"/>
      <c r="AL216" s="198"/>
      <c r="AM216" s="198"/>
      <c r="AN216" s="198"/>
      <c r="AO216" s="198"/>
      <c r="AP216" s="198"/>
      <c r="AQ216" s="198"/>
      <c r="AR216" s="198"/>
      <c r="AS216" s="198"/>
      <c r="AT216" s="198"/>
      <c r="AU216" s="198"/>
    </row>
    <row r="217" spans="2:47" hidden="1" outlineLevel="1">
      <c r="B217" s="301" t="s">
        <v>189</v>
      </c>
      <c r="C217" s="497"/>
      <c r="D217" s="497"/>
      <c r="E217" s="497"/>
      <c r="F217" s="497"/>
      <c r="G217" s="497"/>
      <c r="H217" s="497"/>
      <c r="I217" s="497"/>
      <c r="J217" s="497"/>
      <c r="K217" s="497"/>
      <c r="L217" s="497"/>
      <c r="M217" s="497"/>
      <c r="N217" s="497"/>
      <c r="O217" s="497"/>
      <c r="P217" s="497"/>
      <c r="Q217" s="497"/>
      <c r="R217" s="497"/>
      <c r="S217" s="497"/>
      <c r="T217" s="497"/>
      <c r="U217" s="497"/>
      <c r="V217" s="497"/>
      <c r="W217" s="497"/>
      <c r="X217" s="497"/>
      <c r="Y217" s="497"/>
      <c r="Z217" s="497"/>
      <c r="AA217" s="303"/>
      <c r="AB217" s="303"/>
      <c r="AC217" s="303"/>
      <c r="AD217" s="303"/>
      <c r="AE217" s="303"/>
      <c r="AF217" s="303"/>
      <c r="AG217" s="303"/>
      <c r="AH217" s="303"/>
      <c r="AI217" s="303"/>
      <c r="AJ217" s="303"/>
      <c r="AK217" s="303"/>
      <c r="AL217" s="303"/>
      <c r="AM217" s="303"/>
      <c r="AN217" s="303"/>
      <c r="AO217" s="303"/>
      <c r="AP217" s="303"/>
      <c r="AQ217" s="303"/>
      <c r="AR217" s="303"/>
      <c r="AS217" s="303"/>
      <c r="AT217" s="303"/>
      <c r="AU217" s="303"/>
    </row>
    <row r="218" spans="2:47" hidden="1" outlineLevel="1">
      <c r="B218" s="409" t="s">
        <v>88</v>
      </c>
      <c r="C218" s="488"/>
      <c r="D218" s="488"/>
      <c r="E218" s="488"/>
      <c r="F218" s="488"/>
      <c r="G218" s="488"/>
      <c r="H218" s="488"/>
      <c r="I218" s="488"/>
      <c r="J218" s="488"/>
      <c r="K218" s="488"/>
      <c r="L218" s="488"/>
      <c r="M218" s="488"/>
      <c r="N218" s="488"/>
      <c r="O218" s="488"/>
      <c r="P218" s="488"/>
      <c r="Q218" s="488"/>
      <c r="R218" s="488"/>
      <c r="S218" s="488"/>
      <c r="T218" s="505">
        <f>T198+T189+T177-T144-T148-T156-T160-T167-T168-T170</f>
        <v>116.75899999999996</v>
      </c>
      <c r="U218" s="488"/>
      <c r="V218" s="488"/>
      <c r="W218" s="505">
        <f>W198+W189+W177-W144-W148-W156-W160-W167-W168-W170</f>
        <v>309.28699999999992</v>
      </c>
      <c r="X218" s="488"/>
      <c r="Y218" s="488"/>
      <c r="Z218" s="505">
        <f>Z198+Z189+Z177-Z144-Z148-Z156-Z160-Z167-Z168-Z170</f>
        <v>660.04099999999983</v>
      </c>
      <c r="AA218" s="295"/>
      <c r="AB218" s="295"/>
      <c r="AC218" s="295">
        <f>AC198+AC189+AC177-AC144-AC148-AC156-AC160-AC167-AC168-AC170</f>
        <v>616.09999999999991</v>
      </c>
      <c r="AD218" s="295"/>
      <c r="AE218" s="295"/>
      <c r="AF218" s="295">
        <f>AF198+AF189+AF177-AF144-AF148-AF156-AF160-AF167-AF168-AF170</f>
        <v>671.5</v>
      </c>
      <c r="AG218" s="295"/>
      <c r="AH218" s="295"/>
      <c r="AI218" s="295">
        <f>AI198+AI189+AI177-AI144-AI148-AI156-AI160-AI167-AI168-AI170</f>
        <v>664.2</v>
      </c>
      <c r="AJ218" s="295"/>
      <c r="AK218" s="295"/>
      <c r="AL218" s="295">
        <f>AL198+AL189+AL177-AL144-AL148-AL156-AL160-AL167-AL168-AL170</f>
        <v>1422.6000000000001</v>
      </c>
      <c r="AM218" s="295"/>
      <c r="AN218" s="295"/>
      <c r="AO218" s="295">
        <f>AO198+AO189+AO177-AO144-AO148-AO156-AO160-AO167-AO168-AO170</f>
        <v>1487.4839999999999</v>
      </c>
      <c r="AP218" s="295"/>
      <c r="AQ218" s="295"/>
      <c r="AR218" s="295">
        <f>AR198+AR189+AR177-AR144-AR148-AR156-AR160-AR167-AR168-AR170</f>
        <v>1650.308</v>
      </c>
      <c r="AS218" s="295">
        <f>AS198+AS189+AS177-AS144-AS148-AS156-AS160-AS167-AS168-AS170</f>
        <v>3928.2724585502751</v>
      </c>
      <c r="AT218" s="295">
        <f>AT198+AT189+AT177-AT144-AT148-AT156-AT160-AT167-AT168-AT170</f>
        <v>4144.4061193892758</v>
      </c>
      <c r="AU218" s="295">
        <f t="shared" ref="AU218" si="307">AU198+AU189+AU177-AU144-AU148-AU156-AU160-AU167-AU168-AU170</f>
        <v>4404.6424164910768</v>
      </c>
    </row>
    <row r="219" spans="2:47" hidden="1" outlineLevel="1">
      <c r="B219" s="409" t="s">
        <v>186</v>
      </c>
      <c r="C219" s="488"/>
      <c r="D219" s="488"/>
      <c r="E219" s="488"/>
      <c r="F219" s="488"/>
      <c r="G219" s="488"/>
      <c r="H219" s="488"/>
      <c r="I219" s="488"/>
      <c r="J219" s="488"/>
      <c r="K219" s="488"/>
      <c r="L219" s="488"/>
      <c r="M219" s="488"/>
      <c r="N219" s="488"/>
      <c r="O219" s="488"/>
      <c r="P219" s="488"/>
      <c r="Q219" s="488"/>
      <c r="R219" s="488"/>
      <c r="S219" s="488"/>
      <c r="T219" s="489">
        <v>0</v>
      </c>
      <c r="U219" s="488"/>
      <c r="V219" s="488"/>
      <c r="W219" s="489">
        <v>0</v>
      </c>
      <c r="X219" s="488"/>
      <c r="Y219" s="488"/>
      <c r="Z219" s="489">
        <v>0</v>
      </c>
      <c r="AA219" s="295"/>
      <c r="AB219" s="295"/>
      <c r="AC219" s="295">
        <v>0</v>
      </c>
      <c r="AD219" s="295"/>
      <c r="AE219" s="295"/>
      <c r="AF219" s="295">
        <v>0</v>
      </c>
      <c r="AG219" s="295"/>
      <c r="AH219" s="295"/>
      <c r="AI219" s="295">
        <v>0</v>
      </c>
      <c r="AJ219" s="295"/>
      <c r="AK219" s="295"/>
      <c r="AL219" s="295">
        <v>0</v>
      </c>
      <c r="AM219" s="295"/>
      <c r="AN219" s="295"/>
      <c r="AO219" s="295">
        <v>0</v>
      </c>
      <c r="AP219" s="295"/>
      <c r="AQ219" s="295"/>
      <c r="AR219" s="295">
        <v>0</v>
      </c>
      <c r="AS219" s="295">
        <v>0</v>
      </c>
      <c r="AT219" s="295">
        <v>0</v>
      </c>
      <c r="AU219" s="295">
        <v>0</v>
      </c>
    </row>
    <row r="220" spans="2:47" hidden="1" outlineLevel="1">
      <c r="B220" s="409" t="s">
        <v>187</v>
      </c>
      <c r="C220" s="488"/>
      <c r="D220" s="488"/>
      <c r="E220" s="488"/>
      <c r="F220" s="488"/>
      <c r="G220" s="488"/>
      <c r="H220" s="488"/>
      <c r="I220" s="488"/>
      <c r="J220" s="488"/>
      <c r="K220" s="488"/>
      <c r="L220" s="488"/>
      <c r="M220" s="488"/>
      <c r="N220" s="488"/>
      <c r="O220" s="488"/>
      <c r="P220" s="488"/>
      <c r="Q220" s="488"/>
      <c r="R220" s="488"/>
      <c r="S220" s="488"/>
      <c r="T220" s="505">
        <f>SUM(T218:T219)</f>
        <v>116.75899999999996</v>
      </c>
      <c r="U220" s="488"/>
      <c r="V220" s="488"/>
      <c r="W220" s="505">
        <f>SUM(W218:W219)</f>
        <v>309.28699999999992</v>
      </c>
      <c r="X220" s="488"/>
      <c r="Y220" s="488"/>
      <c r="Z220" s="505">
        <f>SUM(Z218:Z219)</f>
        <v>660.04099999999983</v>
      </c>
      <c r="AA220" s="295"/>
      <c r="AB220" s="295"/>
      <c r="AC220" s="295">
        <f>SUM(AC218:AC219)</f>
        <v>616.09999999999991</v>
      </c>
      <c r="AD220" s="295"/>
      <c r="AE220" s="295"/>
      <c r="AF220" s="295">
        <f>SUM(AF218:AF219)</f>
        <v>671.5</v>
      </c>
      <c r="AG220" s="295"/>
      <c r="AH220" s="295"/>
      <c r="AI220" s="295">
        <f>SUM(AI218:AI219)</f>
        <v>664.2</v>
      </c>
      <c r="AJ220" s="295"/>
      <c r="AK220" s="295"/>
      <c r="AL220" s="295">
        <f>SUM(AL218:AL219)</f>
        <v>1422.6000000000001</v>
      </c>
      <c r="AM220" s="295"/>
      <c r="AN220" s="295"/>
      <c r="AO220" s="295">
        <f>SUM(AO218:AO219)</f>
        <v>1487.4839999999999</v>
      </c>
      <c r="AP220" s="295"/>
      <c r="AQ220" s="295"/>
      <c r="AR220" s="295">
        <f>SUM(AR218:AR219)</f>
        <v>1650.308</v>
      </c>
      <c r="AS220" s="295">
        <f>SUM(AS218:AS219)</f>
        <v>3928.2724585502751</v>
      </c>
      <c r="AT220" s="295">
        <f>SUM(AT218:AT219)</f>
        <v>4144.4061193892758</v>
      </c>
      <c r="AU220" s="295">
        <f t="shared" ref="AU220" si="308">SUM(AU218:AU219)</f>
        <v>4404.6424164910768</v>
      </c>
    </row>
    <row r="221" spans="2:47" hidden="1" outlineLevel="1">
      <c r="B221" s="409" t="s">
        <v>89</v>
      </c>
      <c r="C221" s="488"/>
      <c r="D221" s="488"/>
      <c r="E221" s="488"/>
      <c r="F221" s="488"/>
      <c r="G221" s="488"/>
      <c r="H221" s="488"/>
      <c r="I221" s="488"/>
      <c r="J221" s="488"/>
      <c r="K221" s="488"/>
      <c r="L221" s="488"/>
      <c r="M221" s="488"/>
      <c r="N221" s="488"/>
      <c r="O221" s="488"/>
      <c r="P221" s="488"/>
      <c r="Q221" s="488"/>
      <c r="R221" s="488"/>
      <c r="S221" s="488"/>
      <c r="T221" s="505">
        <f>AVERAGE(Q218,T218)</f>
        <v>116.75899999999996</v>
      </c>
      <c r="U221" s="488"/>
      <c r="V221" s="488"/>
      <c r="W221" s="505">
        <f>AVERAGE(T218,W218)</f>
        <v>213.02299999999994</v>
      </c>
      <c r="X221" s="488"/>
      <c r="Y221" s="488"/>
      <c r="Z221" s="505">
        <f>AVERAGE(W218,Z218)</f>
        <v>484.66399999999987</v>
      </c>
      <c r="AA221" s="295"/>
      <c r="AB221" s="295"/>
      <c r="AC221" s="295">
        <f>AVERAGE(Z218,AC218)</f>
        <v>638.07049999999981</v>
      </c>
      <c r="AD221" s="295"/>
      <c r="AE221" s="295"/>
      <c r="AF221" s="295">
        <f>AVERAGE(AC218,AF218)</f>
        <v>643.79999999999995</v>
      </c>
      <c r="AG221" s="295"/>
      <c r="AH221" s="295"/>
      <c r="AI221" s="295">
        <f>AVERAGE(AF218,AI218)</f>
        <v>667.85</v>
      </c>
      <c r="AJ221" s="295"/>
      <c r="AK221" s="295"/>
      <c r="AL221" s="295">
        <f>AVERAGE(AI218,AL218)</f>
        <v>1043.4000000000001</v>
      </c>
      <c r="AM221" s="295"/>
      <c r="AN221" s="295"/>
      <c r="AO221" s="295">
        <f>AVERAGE(AL218,AO218)</f>
        <v>1455.0419999999999</v>
      </c>
      <c r="AP221" s="295"/>
      <c r="AQ221" s="295"/>
      <c r="AR221" s="295">
        <f>AVERAGE(AO218,AR218)</f>
        <v>1568.896</v>
      </c>
      <c r="AS221" s="295">
        <f>AVERAGE(AR218,AS218)</f>
        <v>2789.2902292751378</v>
      </c>
      <c r="AT221" s="295">
        <f>AVERAGE(AS218,AT218)</f>
        <v>4036.3392889697752</v>
      </c>
      <c r="AU221" s="295">
        <f t="shared" ref="AU221" si="309">AVERAGE(AT218,AU218)</f>
        <v>4274.5242679401763</v>
      </c>
    </row>
    <row r="222" spans="2:47" hidden="1" outlineLevel="1">
      <c r="B222" s="409" t="s">
        <v>188</v>
      </c>
      <c r="C222" s="488"/>
      <c r="D222" s="488"/>
      <c r="E222" s="488"/>
      <c r="F222" s="488"/>
      <c r="G222" s="488"/>
      <c r="H222" s="488"/>
      <c r="I222" s="488"/>
      <c r="J222" s="488"/>
      <c r="K222" s="488"/>
      <c r="L222" s="488"/>
      <c r="M222" s="488"/>
      <c r="N222" s="488"/>
      <c r="O222" s="488"/>
      <c r="P222" s="488"/>
      <c r="Q222" s="488"/>
      <c r="R222" s="488"/>
      <c r="S222" s="488"/>
      <c r="T222" s="505">
        <f>AVERAGE(Q220,T220)</f>
        <v>116.75899999999996</v>
      </c>
      <c r="U222" s="488"/>
      <c r="V222" s="488"/>
      <c r="W222" s="505">
        <f>AVERAGE(T220,W220)</f>
        <v>213.02299999999994</v>
      </c>
      <c r="X222" s="488"/>
      <c r="Y222" s="488"/>
      <c r="Z222" s="505">
        <f>AVERAGE(W220,Z220)</f>
        <v>484.66399999999987</v>
      </c>
      <c r="AA222" s="295"/>
      <c r="AB222" s="295"/>
      <c r="AC222" s="295">
        <f>AVERAGE(Z220,AC220)</f>
        <v>638.07049999999981</v>
      </c>
      <c r="AD222" s="295"/>
      <c r="AE222" s="295"/>
      <c r="AF222" s="295">
        <f>AVERAGE(AC220,AF220)</f>
        <v>643.79999999999995</v>
      </c>
      <c r="AG222" s="295"/>
      <c r="AH222" s="295"/>
      <c r="AI222" s="295">
        <f>AVERAGE(AF220,AI220)</f>
        <v>667.85</v>
      </c>
      <c r="AJ222" s="295"/>
      <c r="AK222" s="295"/>
      <c r="AL222" s="295">
        <f>AVERAGE(AI220,AL220)</f>
        <v>1043.4000000000001</v>
      </c>
      <c r="AM222" s="295"/>
      <c r="AN222" s="295"/>
      <c r="AO222" s="295">
        <f>AVERAGE(AL220,AO220)</f>
        <v>1455.0419999999999</v>
      </c>
      <c r="AP222" s="295"/>
      <c r="AQ222" s="295"/>
      <c r="AR222" s="295">
        <f>AVERAGE(AO220,AR220)</f>
        <v>1568.896</v>
      </c>
      <c r="AS222" s="295">
        <f>AVERAGE(AR220,AS220)</f>
        <v>2789.2902292751378</v>
      </c>
      <c r="AT222" s="295">
        <f>AVERAGE(AS220,AT220)</f>
        <v>4036.3392889697752</v>
      </c>
      <c r="AU222" s="295">
        <f t="shared" ref="AU222" si="310">AVERAGE(AT220,AU220)</f>
        <v>4274.5242679401763</v>
      </c>
    </row>
    <row r="223" spans="2:47" hidden="1" outlineLevel="1">
      <c r="B223" s="409" t="s">
        <v>27</v>
      </c>
      <c r="C223" s="488"/>
      <c r="D223" s="488"/>
      <c r="E223" s="488"/>
      <c r="F223" s="488"/>
      <c r="G223" s="488"/>
      <c r="H223" s="488"/>
      <c r="I223" s="488"/>
      <c r="J223" s="488"/>
      <c r="K223" s="488"/>
      <c r="L223" s="488"/>
      <c r="M223" s="488"/>
      <c r="N223" s="488"/>
      <c r="O223" s="488"/>
      <c r="P223" s="488"/>
      <c r="Q223" s="488"/>
      <c r="R223" s="488"/>
      <c r="S223" s="488"/>
      <c r="T223" s="505">
        <f>T24</f>
        <v>54</v>
      </c>
      <c r="U223" s="488"/>
      <c r="V223" s="488"/>
      <c r="W223" s="505">
        <f>W24</f>
        <v>78.100000000000009</v>
      </c>
      <c r="X223" s="488"/>
      <c r="Y223" s="488"/>
      <c r="Z223" s="505">
        <f>Z24</f>
        <v>108</v>
      </c>
      <c r="AA223" s="295"/>
      <c r="AB223" s="295"/>
      <c r="AC223" s="295">
        <f>AC24</f>
        <v>85.100000000000023</v>
      </c>
      <c r="AD223" s="295"/>
      <c r="AE223" s="295"/>
      <c r="AF223" s="295">
        <f>AF24</f>
        <v>154.1</v>
      </c>
      <c r="AG223" s="295"/>
      <c r="AH223" s="295"/>
      <c r="AI223" s="295">
        <f>AI24</f>
        <v>234.09999999999997</v>
      </c>
      <c r="AJ223" s="295"/>
      <c r="AK223" s="295"/>
      <c r="AL223" s="295">
        <f t="shared" ref="AL223:AU223" si="311">AL24</f>
        <v>278.60000000000002</v>
      </c>
      <c r="AM223" s="295"/>
      <c r="AN223" s="295"/>
      <c r="AO223" s="295">
        <f t="shared" si="311"/>
        <v>328.2</v>
      </c>
      <c r="AP223" s="295"/>
      <c r="AQ223" s="295"/>
      <c r="AR223" s="295">
        <f t="shared" ref="AR223" si="312">AR24</f>
        <v>411.19999999999993</v>
      </c>
      <c r="AS223" s="295">
        <f t="shared" si="311"/>
        <v>615.42949798863572</v>
      </c>
      <c r="AT223" s="295">
        <f t="shared" si="311"/>
        <v>758.97888631427418</v>
      </c>
      <c r="AU223" s="295">
        <f t="shared" si="311"/>
        <v>899.827329615351</v>
      </c>
    </row>
    <row r="224" spans="2:47" hidden="1" outlineLevel="1">
      <c r="B224" s="380" t="s">
        <v>90</v>
      </c>
      <c r="C224" s="496"/>
      <c r="D224" s="496"/>
      <c r="E224" s="491"/>
      <c r="F224" s="496"/>
      <c r="G224" s="496"/>
      <c r="H224" s="491"/>
      <c r="I224" s="496"/>
      <c r="J224" s="496"/>
      <c r="K224" s="491"/>
      <c r="L224" s="496"/>
      <c r="M224" s="496"/>
      <c r="N224" s="491"/>
      <c r="O224" s="496"/>
      <c r="P224" s="496"/>
      <c r="Q224" s="491"/>
      <c r="R224" s="496"/>
      <c r="S224" s="491"/>
      <c r="T224" s="491"/>
      <c r="U224" s="491"/>
      <c r="V224" s="491"/>
      <c r="W224" s="491"/>
      <c r="X224" s="491"/>
      <c r="Y224" s="491"/>
      <c r="Z224" s="491"/>
      <c r="AA224" s="276"/>
      <c r="AB224" s="276"/>
      <c r="AC224" s="276"/>
      <c r="AD224" s="276"/>
      <c r="AE224" s="276"/>
      <c r="AF224" s="276"/>
      <c r="AG224" s="276"/>
      <c r="AH224" s="276"/>
      <c r="AI224" s="276"/>
      <c r="AJ224" s="276"/>
      <c r="AK224" s="276"/>
      <c r="AL224" s="276"/>
      <c r="AM224" s="276"/>
      <c r="AN224" s="276"/>
      <c r="AO224" s="276"/>
      <c r="AP224" s="276"/>
      <c r="AQ224" s="276"/>
      <c r="AR224" s="276"/>
      <c r="AS224" s="276"/>
      <c r="AT224" s="276"/>
      <c r="AU224" s="276"/>
    </row>
    <row r="225" spans="2:47" hidden="1" outlineLevel="1">
      <c r="B225" s="409" t="s">
        <v>190</v>
      </c>
      <c r="C225" s="492"/>
      <c r="D225" s="492"/>
      <c r="E225" s="493"/>
      <c r="F225" s="492"/>
      <c r="G225" s="492"/>
      <c r="H225" s="493"/>
      <c r="I225" s="492"/>
      <c r="J225" s="492"/>
      <c r="K225" s="493"/>
      <c r="L225" s="492"/>
      <c r="M225" s="492"/>
      <c r="N225" s="493"/>
      <c r="O225" s="492"/>
      <c r="P225" s="492"/>
      <c r="Q225" s="493"/>
      <c r="R225" s="492"/>
      <c r="S225" s="493"/>
      <c r="T225" s="506">
        <f>T223/T221</f>
        <v>0.46249111417535282</v>
      </c>
      <c r="U225" s="493"/>
      <c r="V225" s="493"/>
      <c r="W225" s="506">
        <f>W223/W221</f>
        <v>0.36662707782727699</v>
      </c>
      <c r="X225" s="493"/>
      <c r="Y225" s="493"/>
      <c r="Z225" s="506">
        <f>Z223/Z221</f>
        <v>0.22283478863707645</v>
      </c>
      <c r="AA225" s="425"/>
      <c r="AB225" s="425"/>
      <c r="AC225" s="425">
        <f>AC223/AC221</f>
        <v>0.1333708422501903</v>
      </c>
      <c r="AD225" s="425"/>
      <c r="AE225" s="425"/>
      <c r="AF225" s="425">
        <f>AF223/AF221</f>
        <v>0.23936004970487729</v>
      </c>
      <c r="AG225" s="425"/>
      <c r="AH225" s="425"/>
      <c r="AI225" s="425">
        <f>AI223/AI221</f>
        <v>0.35052781313169118</v>
      </c>
      <c r="AJ225" s="425"/>
      <c r="AK225" s="425"/>
      <c r="AL225" s="425">
        <f>AL223/AL221</f>
        <v>0.26701169254360746</v>
      </c>
      <c r="AM225" s="425"/>
      <c r="AN225" s="425"/>
      <c r="AO225" s="425">
        <f>AO223/AO221</f>
        <v>0.22556049928455674</v>
      </c>
      <c r="AP225" s="425"/>
      <c r="AQ225" s="425"/>
      <c r="AR225" s="425">
        <f>AR223/AR221</f>
        <v>0.26209512931386142</v>
      </c>
      <c r="AS225" s="425">
        <f>AS223/AS221</f>
        <v>0.22064017990288856</v>
      </c>
      <c r="AT225" s="425">
        <f>AT223/AT221</f>
        <v>0.18803644391054003</v>
      </c>
      <c r="AU225" s="425">
        <f t="shared" ref="AU225" si="313">AU223/AU221</f>
        <v>0.21050935103217069</v>
      </c>
    </row>
    <row r="226" spans="2:47" hidden="1" outlineLevel="1">
      <c r="B226" s="409" t="s">
        <v>191</v>
      </c>
      <c r="C226" s="492"/>
      <c r="D226" s="492"/>
      <c r="E226" s="493"/>
      <c r="F226" s="492"/>
      <c r="G226" s="492"/>
      <c r="H226" s="493"/>
      <c r="I226" s="492"/>
      <c r="J226" s="492"/>
      <c r="K226" s="493"/>
      <c r="L226" s="492"/>
      <c r="M226" s="492"/>
      <c r="N226" s="493"/>
      <c r="O226" s="492"/>
      <c r="P226" s="492"/>
      <c r="Q226" s="493"/>
      <c r="R226" s="492"/>
      <c r="S226" s="493"/>
      <c r="T226" s="506">
        <f>T223/T222</f>
        <v>0.46249111417535282</v>
      </c>
      <c r="U226" s="493"/>
      <c r="V226" s="493"/>
      <c r="W226" s="506">
        <f>W223/W222</f>
        <v>0.36662707782727699</v>
      </c>
      <c r="X226" s="493"/>
      <c r="Y226" s="493"/>
      <c r="Z226" s="506">
        <f>Z223/Z222</f>
        <v>0.22283478863707645</v>
      </c>
      <c r="AA226" s="425"/>
      <c r="AB226" s="425"/>
      <c r="AC226" s="425">
        <f>AC223/AC222</f>
        <v>0.1333708422501903</v>
      </c>
      <c r="AD226" s="425"/>
      <c r="AE226" s="425"/>
      <c r="AF226" s="425">
        <f>AF223/AF222</f>
        <v>0.23936004970487729</v>
      </c>
      <c r="AG226" s="425"/>
      <c r="AH226" s="425"/>
      <c r="AI226" s="425">
        <f>AI223/AI222</f>
        <v>0.35052781313169118</v>
      </c>
      <c r="AJ226" s="425"/>
      <c r="AK226" s="425"/>
      <c r="AL226" s="425">
        <f>AL223/AL222</f>
        <v>0.26701169254360746</v>
      </c>
      <c r="AM226" s="425"/>
      <c r="AN226" s="425"/>
      <c r="AO226" s="425">
        <f>AO223/AO222</f>
        <v>0.22556049928455674</v>
      </c>
      <c r="AP226" s="425"/>
      <c r="AQ226" s="425"/>
      <c r="AR226" s="425">
        <f>AR223/AR222</f>
        <v>0.26209512931386142</v>
      </c>
      <c r="AS226" s="425">
        <f>AS223/AS222</f>
        <v>0.22064017990288856</v>
      </c>
      <c r="AT226" s="425">
        <f>AT223/AT222</f>
        <v>0.18803644391054003</v>
      </c>
      <c r="AU226" s="425">
        <f t="shared" ref="AU226" si="314">AU223/AU222</f>
        <v>0.21050935103217069</v>
      </c>
    </row>
    <row r="227" spans="2:47" hidden="1" outlineLevel="1">
      <c r="B227" s="409" t="s">
        <v>192</v>
      </c>
      <c r="C227" s="492"/>
      <c r="D227" s="492"/>
      <c r="E227" s="493"/>
      <c r="F227" s="492"/>
      <c r="G227" s="492"/>
      <c r="H227" s="493"/>
      <c r="I227" s="492"/>
      <c r="J227" s="492"/>
      <c r="K227" s="493"/>
      <c r="L227" s="492"/>
      <c r="M227" s="492"/>
      <c r="N227" s="493"/>
      <c r="O227" s="492"/>
      <c r="P227" s="492"/>
      <c r="Q227" s="493"/>
      <c r="R227" s="492"/>
      <c r="S227" s="493"/>
      <c r="T227" s="506">
        <f>T241</f>
        <v>0</v>
      </c>
      <c r="U227" s="493"/>
      <c r="V227" s="493"/>
      <c r="W227" s="506">
        <f>W241</f>
        <v>0</v>
      </c>
      <c r="X227" s="493"/>
      <c r="Y227" s="493"/>
      <c r="Z227" s="506">
        <f>Z241</f>
        <v>0</v>
      </c>
      <c r="AA227" s="425"/>
      <c r="AB227" s="425"/>
      <c r="AC227" s="425">
        <f>AC241</f>
        <v>0</v>
      </c>
      <c r="AD227" s="425"/>
      <c r="AE227" s="425"/>
      <c r="AF227" s="425">
        <f>AF241</f>
        <v>0</v>
      </c>
      <c r="AG227" s="425"/>
      <c r="AH227" s="425"/>
      <c r="AI227" s="425">
        <f>AI241</f>
        <v>0</v>
      </c>
      <c r="AJ227" s="425"/>
      <c r="AK227" s="425"/>
      <c r="AL227" s="425">
        <f>AL241</f>
        <v>0</v>
      </c>
      <c r="AM227" s="425"/>
      <c r="AN227" s="425"/>
      <c r="AO227" s="425">
        <f>AO241</f>
        <v>0</v>
      </c>
      <c r="AP227" s="425"/>
      <c r="AQ227" s="425"/>
      <c r="AR227" s="425">
        <f>AR241</f>
        <v>0</v>
      </c>
      <c r="AS227" s="425">
        <f>AS241</f>
        <v>0</v>
      </c>
      <c r="AT227" s="425">
        <f>AT241</f>
        <v>0</v>
      </c>
      <c r="AU227" s="425">
        <f t="shared" ref="AU227" si="315">AU241</f>
        <v>0</v>
      </c>
    </row>
    <row r="228" spans="2:47" hidden="1" outlineLevel="1">
      <c r="B228" s="409" t="s">
        <v>193</v>
      </c>
      <c r="C228" s="500"/>
      <c r="D228" s="500"/>
      <c r="E228" s="500"/>
      <c r="F228" s="500"/>
      <c r="G228" s="500"/>
      <c r="H228" s="500"/>
      <c r="I228" s="500"/>
      <c r="J228" s="500"/>
      <c r="K228" s="500"/>
      <c r="L228" s="500"/>
      <c r="M228" s="500"/>
      <c r="N228" s="500"/>
      <c r="O228" s="500"/>
      <c r="P228" s="500"/>
      <c r="Q228" s="500"/>
      <c r="R228" s="500"/>
      <c r="S228" s="500"/>
      <c r="T228" s="507">
        <f>T225-T227</f>
        <v>0.46249111417535282</v>
      </c>
      <c r="U228" s="500"/>
      <c r="V228" s="500"/>
      <c r="W228" s="507">
        <f>W225-W227</f>
        <v>0.36662707782727699</v>
      </c>
      <c r="X228" s="500"/>
      <c r="Y228" s="500"/>
      <c r="Z228" s="507">
        <f>Z225-Z227</f>
        <v>0.22283478863707645</v>
      </c>
      <c r="AA228" s="474"/>
      <c r="AB228" s="474"/>
      <c r="AC228" s="474">
        <f>AC225-AC227</f>
        <v>0.1333708422501903</v>
      </c>
      <c r="AD228" s="474"/>
      <c r="AE228" s="474"/>
      <c r="AF228" s="474">
        <f>AF225-AF227</f>
        <v>0.23936004970487729</v>
      </c>
      <c r="AG228" s="474"/>
      <c r="AH228" s="474"/>
      <c r="AI228" s="474">
        <f>AI225-AI227</f>
        <v>0.35052781313169118</v>
      </c>
      <c r="AJ228" s="474"/>
      <c r="AK228" s="474"/>
      <c r="AL228" s="474">
        <f>AL225-AL227</f>
        <v>0.26701169254360746</v>
      </c>
      <c r="AM228" s="474"/>
      <c r="AN228" s="474"/>
      <c r="AO228" s="474">
        <f>AO225-AO227</f>
        <v>0.22556049928455674</v>
      </c>
      <c r="AP228" s="474"/>
      <c r="AQ228" s="474"/>
      <c r="AR228" s="474">
        <f>AR225-AR227</f>
        <v>0.26209512931386142</v>
      </c>
      <c r="AS228" s="474">
        <f>AS225-AS227</f>
        <v>0.22064017990288856</v>
      </c>
      <c r="AT228" s="474">
        <f>AT225-AT227</f>
        <v>0.18803644391054003</v>
      </c>
      <c r="AU228" s="474">
        <f t="shared" ref="AU228" si="316">AU225-AU227</f>
        <v>0.21050935103217069</v>
      </c>
    </row>
    <row r="229" spans="2:47" hidden="1" outlineLevel="1">
      <c r="B229" s="409"/>
      <c r="C229" s="500"/>
      <c r="D229" s="500"/>
      <c r="E229" s="500"/>
      <c r="F229" s="500"/>
      <c r="G229" s="500"/>
      <c r="H229" s="500"/>
      <c r="I229" s="500"/>
      <c r="J229" s="500"/>
      <c r="K229" s="500"/>
      <c r="L229" s="500"/>
      <c r="M229" s="500"/>
      <c r="N229" s="500"/>
      <c r="O229" s="500"/>
      <c r="P229" s="500"/>
      <c r="Q229" s="500"/>
      <c r="R229" s="500"/>
      <c r="S229" s="500"/>
      <c r="T229" s="500"/>
      <c r="U229" s="500"/>
      <c r="V229" s="500"/>
      <c r="W229" s="500"/>
      <c r="X229" s="500"/>
      <c r="Y229" s="500"/>
      <c r="Z229" s="500"/>
      <c r="AA229" s="474"/>
      <c r="AB229" s="474"/>
      <c r="AC229" s="474"/>
      <c r="AD229" s="474"/>
      <c r="AE229" s="474"/>
      <c r="AF229" s="474"/>
      <c r="AG229" s="474"/>
      <c r="AH229" s="474"/>
      <c r="AI229" s="474"/>
      <c r="AJ229" s="474"/>
      <c r="AK229" s="474"/>
      <c r="AL229" s="474"/>
      <c r="AM229" s="474"/>
      <c r="AN229" s="474"/>
      <c r="AO229" s="474"/>
      <c r="AP229" s="474"/>
      <c r="AQ229" s="474"/>
      <c r="AR229" s="474"/>
      <c r="AS229" s="474"/>
      <c r="AT229" s="474"/>
      <c r="AU229" s="474"/>
    </row>
    <row r="230" spans="2:47" hidden="1" outlineLevel="1">
      <c r="B230" s="416" t="s">
        <v>194</v>
      </c>
      <c r="C230" s="501"/>
      <c r="D230" s="501"/>
      <c r="E230" s="501"/>
      <c r="F230" s="501"/>
      <c r="G230" s="501"/>
      <c r="H230" s="501"/>
      <c r="I230" s="501"/>
      <c r="J230" s="501"/>
      <c r="K230" s="501"/>
      <c r="L230" s="501"/>
      <c r="M230" s="501"/>
      <c r="N230" s="501"/>
      <c r="O230" s="501"/>
      <c r="P230" s="501"/>
      <c r="Q230" s="501"/>
      <c r="R230" s="501"/>
      <c r="S230" s="501"/>
      <c r="T230" s="508">
        <f>T226-T227</f>
        <v>0.46249111417535282</v>
      </c>
      <c r="U230" s="501"/>
      <c r="V230" s="501"/>
      <c r="W230" s="508">
        <f>W226-W227</f>
        <v>0.36662707782727699</v>
      </c>
      <c r="X230" s="501"/>
      <c r="Y230" s="501"/>
      <c r="Z230" s="508">
        <f>Z226-Z227</f>
        <v>0.22283478863707645</v>
      </c>
      <c r="AA230" s="475"/>
      <c r="AB230" s="475"/>
      <c r="AC230" s="475">
        <f>AC226-AC227</f>
        <v>0.1333708422501903</v>
      </c>
      <c r="AD230" s="475"/>
      <c r="AE230" s="475"/>
      <c r="AF230" s="475">
        <f>AF226-AF227</f>
        <v>0.23936004970487729</v>
      </c>
      <c r="AG230" s="475"/>
      <c r="AH230" s="475"/>
      <c r="AI230" s="475">
        <f>AI226-AI227</f>
        <v>0.35052781313169118</v>
      </c>
      <c r="AJ230" s="475"/>
      <c r="AK230" s="475"/>
      <c r="AL230" s="475">
        <f>AL226-AL227</f>
        <v>0.26701169254360746</v>
      </c>
      <c r="AM230" s="475"/>
      <c r="AN230" s="475"/>
      <c r="AO230" s="475">
        <f>AO226-AO227</f>
        <v>0.22556049928455674</v>
      </c>
      <c r="AP230" s="475"/>
      <c r="AQ230" s="475"/>
      <c r="AR230" s="475">
        <f>AR226-AR227</f>
        <v>0.26209512931386142</v>
      </c>
      <c r="AS230" s="475">
        <f>AS226-AS227</f>
        <v>0.22064017990288856</v>
      </c>
      <c r="AT230" s="475">
        <f>AT226-AT227</f>
        <v>0.18803644391054003</v>
      </c>
      <c r="AU230" s="475">
        <f t="shared" ref="AU230" si="317">AU226-AU227</f>
        <v>0.21050935103217069</v>
      </c>
    </row>
    <row r="231" spans="2:47" hidden="1" outlineLevel="1">
      <c r="B231" s="380" t="s">
        <v>195</v>
      </c>
      <c r="C231" s="499"/>
      <c r="D231" s="499"/>
      <c r="E231" s="495"/>
      <c r="F231" s="499"/>
      <c r="G231" s="499"/>
      <c r="H231" s="495"/>
      <c r="I231" s="499"/>
      <c r="J231" s="499"/>
      <c r="K231" s="495"/>
      <c r="L231" s="499"/>
      <c r="M231" s="499"/>
      <c r="N231" s="495"/>
      <c r="O231" s="499"/>
      <c r="P231" s="499"/>
      <c r="Q231" s="495"/>
      <c r="R231" s="499"/>
      <c r="S231" s="495"/>
      <c r="T231" s="495"/>
      <c r="U231" s="495"/>
      <c r="V231" s="495"/>
      <c r="W231" s="495"/>
      <c r="X231" s="495"/>
      <c r="Y231" s="495"/>
      <c r="Z231" s="495"/>
      <c r="AA231" s="431"/>
      <c r="AB231" s="431"/>
      <c r="AC231" s="431"/>
      <c r="AD231" s="431"/>
      <c r="AE231" s="431"/>
      <c r="AF231" s="431"/>
      <c r="AG231" s="431"/>
      <c r="AH231" s="431"/>
      <c r="AI231" s="431"/>
      <c r="AJ231" s="431"/>
      <c r="AK231" s="431"/>
      <c r="AL231" s="431"/>
      <c r="AM231" s="431"/>
      <c r="AN231" s="431"/>
      <c r="AO231" s="431"/>
      <c r="AP231" s="431"/>
      <c r="AQ231" s="431"/>
      <c r="AR231" s="431"/>
      <c r="AS231" s="431"/>
      <c r="AT231" s="431"/>
      <c r="AU231" s="431"/>
    </row>
    <row r="232" spans="2:47" hidden="1" outlineLevel="1">
      <c r="B232" s="409" t="s">
        <v>196</v>
      </c>
      <c r="C232" s="502"/>
      <c r="D232" s="492"/>
      <c r="E232" s="493"/>
      <c r="F232" s="502"/>
      <c r="G232" s="492"/>
      <c r="H232" s="493"/>
      <c r="I232" s="502"/>
      <c r="J232" s="492"/>
      <c r="K232" s="493"/>
      <c r="L232" s="502"/>
      <c r="M232" s="492"/>
      <c r="N232" s="493"/>
      <c r="O232" s="502"/>
      <c r="P232" s="492"/>
      <c r="Q232" s="493"/>
      <c r="R232" s="502"/>
      <c r="S232" s="493"/>
      <c r="T232" s="506">
        <f>Q232</f>
        <v>0</v>
      </c>
      <c r="U232" s="493"/>
      <c r="V232" s="493"/>
      <c r="W232" s="506">
        <f>T232</f>
        <v>0</v>
      </c>
      <c r="X232" s="493"/>
      <c r="Y232" s="493"/>
      <c r="Z232" s="506">
        <f>W232</f>
        <v>0</v>
      </c>
      <c r="AA232" s="425"/>
      <c r="AB232" s="425"/>
      <c r="AC232" s="425">
        <f>Z232</f>
        <v>0</v>
      </c>
      <c r="AD232" s="425"/>
      <c r="AE232" s="425"/>
      <c r="AF232" s="425">
        <f>AC232</f>
        <v>0</v>
      </c>
      <c r="AG232" s="425"/>
      <c r="AH232" s="425"/>
      <c r="AI232" s="425">
        <f>AF232</f>
        <v>0</v>
      </c>
      <c r="AJ232" s="425"/>
      <c r="AK232" s="425"/>
      <c r="AL232" s="425">
        <f>AI232</f>
        <v>0</v>
      </c>
      <c r="AM232" s="425"/>
      <c r="AN232" s="425"/>
      <c r="AO232" s="425">
        <f>AL232</f>
        <v>0</v>
      </c>
      <c r="AP232" s="425"/>
      <c r="AQ232" s="425"/>
      <c r="AR232" s="425">
        <f>AO232</f>
        <v>0</v>
      </c>
      <c r="AS232" s="425">
        <f t="shared" ref="AS232:AT233" si="318">AR232</f>
        <v>0</v>
      </c>
      <c r="AT232" s="425">
        <f t="shared" si="318"/>
        <v>0</v>
      </c>
      <c r="AU232" s="425">
        <f t="shared" ref="AU232" si="319">AT232</f>
        <v>0</v>
      </c>
    </row>
    <row r="233" spans="2:47" hidden="1" outlineLevel="1">
      <c r="B233" s="409" t="s">
        <v>199</v>
      </c>
      <c r="C233" s="502"/>
      <c r="D233" s="492"/>
      <c r="E233" s="493"/>
      <c r="F233" s="502"/>
      <c r="G233" s="492"/>
      <c r="H233" s="493"/>
      <c r="I233" s="502"/>
      <c r="J233" s="492"/>
      <c r="K233" s="493"/>
      <c r="L233" s="502"/>
      <c r="M233" s="492"/>
      <c r="N233" s="493"/>
      <c r="O233" s="502"/>
      <c r="P233" s="492"/>
      <c r="Q233" s="493"/>
      <c r="R233" s="502"/>
      <c r="S233" s="493"/>
      <c r="T233" s="506">
        <f>Q233</f>
        <v>0</v>
      </c>
      <c r="U233" s="493"/>
      <c r="V233" s="493"/>
      <c r="W233" s="506">
        <f>T233</f>
        <v>0</v>
      </c>
      <c r="X233" s="493"/>
      <c r="Y233" s="493"/>
      <c r="Z233" s="506">
        <f>W233</f>
        <v>0</v>
      </c>
      <c r="AA233" s="425"/>
      <c r="AB233" s="425"/>
      <c r="AC233" s="425">
        <f>Z233</f>
        <v>0</v>
      </c>
      <c r="AD233" s="425"/>
      <c r="AE233" s="425"/>
      <c r="AF233" s="425">
        <f>AC233</f>
        <v>0</v>
      </c>
      <c r="AG233" s="425"/>
      <c r="AH233" s="425"/>
      <c r="AI233" s="425">
        <f>AF233</f>
        <v>0</v>
      </c>
      <c r="AJ233" s="425"/>
      <c r="AK233" s="425"/>
      <c r="AL233" s="425">
        <f>AI233</f>
        <v>0</v>
      </c>
      <c r="AM233" s="425"/>
      <c r="AN233" s="425"/>
      <c r="AO233" s="425">
        <f>AL233</f>
        <v>0</v>
      </c>
      <c r="AP233" s="425"/>
      <c r="AQ233" s="425"/>
      <c r="AR233" s="425">
        <f>AO233</f>
        <v>0</v>
      </c>
      <c r="AS233" s="425">
        <f t="shared" si="318"/>
        <v>0</v>
      </c>
      <c r="AT233" s="425">
        <f t="shared" si="318"/>
        <v>0</v>
      </c>
      <c r="AU233" s="425">
        <f t="shared" ref="AU233" si="320">AT233</f>
        <v>0</v>
      </c>
    </row>
    <row r="234" spans="2:47" hidden="1" outlineLevel="1">
      <c r="B234" s="409" t="s">
        <v>200</v>
      </c>
      <c r="C234" s="500"/>
      <c r="D234" s="500"/>
      <c r="E234" s="500"/>
      <c r="F234" s="500"/>
      <c r="G234" s="500"/>
      <c r="H234" s="500"/>
      <c r="I234" s="500"/>
      <c r="J234" s="500"/>
      <c r="K234" s="500"/>
      <c r="L234" s="500"/>
      <c r="M234" s="500"/>
      <c r="N234" s="500"/>
      <c r="O234" s="500"/>
      <c r="P234" s="500"/>
      <c r="Q234" s="500"/>
      <c r="R234" s="500"/>
      <c r="S234" s="500"/>
      <c r="T234" s="507">
        <f>T232+T233</f>
        <v>0</v>
      </c>
      <c r="U234" s="500"/>
      <c r="V234" s="500"/>
      <c r="W234" s="507">
        <f>W232+W233</f>
        <v>0</v>
      </c>
      <c r="X234" s="500"/>
      <c r="Y234" s="500"/>
      <c r="Z234" s="507">
        <f>Z232+Z233</f>
        <v>0</v>
      </c>
      <c r="AA234" s="474"/>
      <c r="AB234" s="474"/>
      <c r="AC234" s="474">
        <f>AC232+AC233</f>
        <v>0</v>
      </c>
      <c r="AD234" s="474"/>
      <c r="AE234" s="474"/>
      <c r="AF234" s="474">
        <f>AF232+AF233</f>
        <v>0</v>
      </c>
      <c r="AG234" s="474"/>
      <c r="AH234" s="474"/>
      <c r="AI234" s="474">
        <f>AI232+AI233</f>
        <v>0</v>
      </c>
      <c r="AJ234" s="474"/>
      <c r="AK234" s="474"/>
      <c r="AL234" s="474">
        <f>AL232+AL233</f>
        <v>0</v>
      </c>
      <c r="AM234" s="474"/>
      <c r="AN234" s="474"/>
      <c r="AO234" s="474">
        <f>AO232+AO233</f>
        <v>0</v>
      </c>
      <c r="AP234" s="474"/>
      <c r="AQ234" s="474"/>
      <c r="AR234" s="474">
        <f>AR232+AR233</f>
        <v>0</v>
      </c>
      <c r="AS234" s="474">
        <f>AS232+AS233</f>
        <v>0</v>
      </c>
      <c r="AT234" s="474">
        <f>AT232+AT233</f>
        <v>0</v>
      </c>
      <c r="AU234" s="474">
        <f t="shared" ref="AU234" si="321">AU232+AU233</f>
        <v>0</v>
      </c>
    </row>
    <row r="235" spans="2:47" hidden="1" outlineLevel="1">
      <c r="B235" s="409" t="s">
        <v>201</v>
      </c>
      <c r="C235" s="500"/>
      <c r="D235" s="500"/>
      <c r="E235" s="500"/>
      <c r="F235" s="500"/>
      <c r="G235" s="500"/>
      <c r="H235" s="500"/>
      <c r="I235" s="500"/>
      <c r="J235" s="500"/>
      <c r="K235" s="500"/>
      <c r="L235" s="500"/>
      <c r="M235" s="500"/>
      <c r="N235" s="500"/>
      <c r="O235" s="500"/>
      <c r="P235" s="500"/>
      <c r="Q235" s="500"/>
      <c r="R235" s="500"/>
      <c r="S235" s="500"/>
      <c r="T235" s="507">
        <f>T234*(1-0.3)</f>
        <v>0</v>
      </c>
      <c r="U235" s="500"/>
      <c r="V235" s="500"/>
      <c r="W235" s="507">
        <f>W234*(1-0.3)</f>
        <v>0</v>
      </c>
      <c r="X235" s="500"/>
      <c r="Y235" s="500"/>
      <c r="Z235" s="507">
        <f>Z234*(1-0.3)</f>
        <v>0</v>
      </c>
      <c r="AA235" s="474"/>
      <c r="AB235" s="474"/>
      <c r="AC235" s="474">
        <f>AC234*(1-0.3)</f>
        <v>0</v>
      </c>
      <c r="AD235" s="474"/>
      <c r="AE235" s="474"/>
      <c r="AF235" s="474">
        <f>AF234*(1-0.3)</f>
        <v>0</v>
      </c>
      <c r="AG235" s="474"/>
      <c r="AH235" s="474"/>
      <c r="AI235" s="474">
        <f>AI234*(1-0.3)</f>
        <v>0</v>
      </c>
      <c r="AJ235" s="474"/>
      <c r="AK235" s="474"/>
      <c r="AL235" s="474">
        <f>AL234*(1-0.3)</f>
        <v>0</v>
      </c>
      <c r="AM235" s="474"/>
      <c r="AN235" s="474"/>
      <c r="AO235" s="474">
        <f>AO234*(1-0.3)</f>
        <v>0</v>
      </c>
      <c r="AP235" s="474"/>
      <c r="AQ235" s="474"/>
      <c r="AR235" s="474">
        <f>AR234*(1-0.3)</f>
        <v>0</v>
      </c>
      <c r="AS235" s="474">
        <f>AS234*(1-0.3)</f>
        <v>0</v>
      </c>
      <c r="AT235" s="474">
        <f>AT234*(1-0.3)</f>
        <v>0</v>
      </c>
      <c r="AU235" s="474">
        <f t="shared" ref="AU235" si="322">AU234*(1-0.3)</f>
        <v>0</v>
      </c>
    </row>
    <row r="236" spans="2:47" hidden="1" outlineLevel="1">
      <c r="B236" s="409" t="s">
        <v>197</v>
      </c>
      <c r="C236" s="502"/>
      <c r="D236" s="492"/>
      <c r="E236" s="493"/>
      <c r="F236" s="502"/>
      <c r="G236" s="492"/>
      <c r="H236" s="493"/>
      <c r="I236" s="502"/>
      <c r="J236" s="492"/>
      <c r="K236" s="493"/>
      <c r="L236" s="502"/>
      <c r="M236" s="492"/>
      <c r="N236" s="493"/>
      <c r="O236" s="502"/>
      <c r="P236" s="492"/>
      <c r="Q236" s="493"/>
      <c r="R236" s="502"/>
      <c r="S236" s="493"/>
      <c r="T236" s="506">
        <f>Q236</f>
        <v>0</v>
      </c>
      <c r="U236" s="493"/>
      <c r="V236" s="493"/>
      <c r="W236" s="506">
        <f>T236</f>
        <v>0</v>
      </c>
      <c r="X236" s="493"/>
      <c r="Y236" s="493"/>
      <c r="Z236" s="506">
        <f>W236</f>
        <v>0</v>
      </c>
      <c r="AA236" s="425"/>
      <c r="AB236" s="425"/>
      <c r="AC236" s="425">
        <f>Z236</f>
        <v>0</v>
      </c>
      <c r="AD236" s="425"/>
      <c r="AE236" s="425"/>
      <c r="AF236" s="425">
        <f>AC236</f>
        <v>0</v>
      </c>
      <c r="AG236" s="425"/>
      <c r="AH236" s="425"/>
      <c r="AI236" s="425">
        <f>AF236</f>
        <v>0</v>
      </c>
      <c r="AJ236" s="425"/>
      <c r="AK236" s="425"/>
      <c r="AL236" s="425">
        <f>AI236</f>
        <v>0</v>
      </c>
      <c r="AM236" s="425"/>
      <c r="AN236" s="425"/>
      <c r="AO236" s="425">
        <f>AL236</f>
        <v>0</v>
      </c>
      <c r="AP236" s="425"/>
      <c r="AQ236" s="425"/>
      <c r="AR236" s="425">
        <f>AO236</f>
        <v>0</v>
      </c>
      <c r="AS236" s="425">
        <f t="shared" ref="AS236:AT237" si="323">AR236</f>
        <v>0</v>
      </c>
      <c r="AT236" s="425">
        <f t="shared" si="323"/>
        <v>0</v>
      </c>
      <c r="AU236" s="425">
        <f t="shared" ref="AU236" si="324">AT236</f>
        <v>0</v>
      </c>
    </row>
    <row r="237" spans="2:47" hidden="1" outlineLevel="1">
      <c r="B237" s="409" t="s">
        <v>104</v>
      </c>
      <c r="C237" s="490"/>
      <c r="D237" s="488"/>
      <c r="E237" s="488"/>
      <c r="F237" s="490"/>
      <c r="G237" s="488"/>
      <c r="H237" s="488"/>
      <c r="I237" s="490"/>
      <c r="J237" s="488"/>
      <c r="K237" s="488"/>
      <c r="L237" s="490"/>
      <c r="M237" s="488"/>
      <c r="N237" s="488"/>
      <c r="O237" s="490"/>
      <c r="P237" s="488"/>
      <c r="Q237" s="488"/>
      <c r="R237" s="490"/>
      <c r="S237" s="488"/>
      <c r="T237" s="505">
        <f>Q237</f>
        <v>0</v>
      </c>
      <c r="U237" s="488"/>
      <c r="V237" s="488"/>
      <c r="W237" s="505">
        <f>T237</f>
        <v>0</v>
      </c>
      <c r="X237" s="488"/>
      <c r="Y237" s="488"/>
      <c r="Z237" s="505">
        <f>W237</f>
        <v>0</v>
      </c>
      <c r="AA237" s="295"/>
      <c r="AB237" s="295"/>
      <c r="AC237" s="295">
        <f>Z237</f>
        <v>0</v>
      </c>
      <c r="AD237" s="295"/>
      <c r="AE237" s="295"/>
      <c r="AF237" s="295">
        <f>AC237</f>
        <v>0</v>
      </c>
      <c r="AG237" s="295"/>
      <c r="AH237" s="295"/>
      <c r="AI237" s="295">
        <f>AF237</f>
        <v>0</v>
      </c>
      <c r="AJ237" s="295"/>
      <c r="AK237" s="295"/>
      <c r="AL237" s="295">
        <f>AI237</f>
        <v>0</v>
      </c>
      <c r="AM237" s="295"/>
      <c r="AN237" s="295"/>
      <c r="AO237" s="295">
        <f>AL237</f>
        <v>0</v>
      </c>
      <c r="AP237" s="295"/>
      <c r="AQ237" s="295"/>
      <c r="AR237" s="295">
        <f>AO237</f>
        <v>0</v>
      </c>
      <c r="AS237" s="295">
        <f t="shared" si="323"/>
        <v>0</v>
      </c>
      <c r="AT237" s="295">
        <f t="shared" si="323"/>
        <v>0</v>
      </c>
      <c r="AU237" s="295">
        <f t="shared" ref="AU237" si="325">AT237</f>
        <v>0</v>
      </c>
    </row>
    <row r="238" spans="2:47" hidden="1" outlineLevel="1">
      <c r="B238" s="409" t="s">
        <v>204</v>
      </c>
      <c r="C238" s="500"/>
      <c r="D238" s="500"/>
      <c r="E238" s="500"/>
      <c r="F238" s="500"/>
      <c r="G238" s="500"/>
      <c r="H238" s="500"/>
      <c r="I238" s="500"/>
      <c r="J238" s="500"/>
      <c r="K238" s="500"/>
      <c r="L238" s="500"/>
      <c r="M238" s="500"/>
      <c r="N238" s="500"/>
      <c r="O238" s="500"/>
      <c r="P238" s="500"/>
      <c r="Q238" s="500"/>
      <c r="R238" s="500"/>
      <c r="S238" s="500"/>
      <c r="T238" s="507">
        <f>T232+T236*T237/(1-T$71)</f>
        <v>0</v>
      </c>
      <c r="U238" s="500"/>
      <c r="V238" s="500"/>
      <c r="W238" s="507">
        <f>W232+W236*W237/(1-W$71)</f>
        <v>0</v>
      </c>
      <c r="X238" s="500"/>
      <c r="Y238" s="500"/>
      <c r="Z238" s="507">
        <f>Z232+Z236*Z237/(1-Z$71)</f>
        <v>0</v>
      </c>
      <c r="AA238" s="474"/>
      <c r="AB238" s="474"/>
      <c r="AC238" s="474">
        <f>AC232+AC236*AC237/(1-AC$71)</f>
        <v>0</v>
      </c>
      <c r="AD238" s="474"/>
      <c r="AE238" s="474"/>
      <c r="AF238" s="474">
        <f>AF232+AF236*AF237/(1-AF$71)</f>
        <v>0</v>
      </c>
      <c r="AG238" s="474"/>
      <c r="AH238" s="474"/>
      <c r="AI238" s="474">
        <f>AI232+AI236*AI237/(1-AI$71)</f>
        <v>0</v>
      </c>
      <c r="AJ238" s="474"/>
      <c r="AK238" s="474"/>
      <c r="AL238" s="474">
        <f>AL232+AL236*AL237/(1-AL$71)</f>
        <v>0</v>
      </c>
      <c r="AM238" s="474"/>
      <c r="AN238" s="474"/>
      <c r="AO238" s="474">
        <f>AO232+AO236*AO237/(1-AO$71)</f>
        <v>0</v>
      </c>
      <c r="AP238" s="474"/>
      <c r="AQ238" s="474"/>
      <c r="AR238" s="474">
        <f>AR232+AR236*AR237/(1-AR$71)</f>
        <v>0</v>
      </c>
      <c r="AS238" s="474">
        <f>AS232+AS236*AS237/(1-AS$71)</f>
        <v>0</v>
      </c>
      <c r="AT238" s="474">
        <f>AT232+AT236*AT237/(1-AT$71)</f>
        <v>0</v>
      </c>
      <c r="AU238" s="474">
        <f t="shared" ref="AU238" si="326">AU232+AU236*AU237/(1-AU$71)</f>
        <v>0</v>
      </c>
    </row>
    <row r="239" spans="2:47" hidden="1" outlineLevel="1">
      <c r="B239" s="409" t="s">
        <v>203</v>
      </c>
      <c r="C239" s="500"/>
      <c r="D239" s="500"/>
      <c r="E239" s="500"/>
      <c r="F239" s="500"/>
      <c r="G239" s="500"/>
      <c r="H239" s="500"/>
      <c r="I239" s="500"/>
      <c r="J239" s="500"/>
      <c r="K239" s="500"/>
      <c r="L239" s="500"/>
      <c r="M239" s="500"/>
      <c r="N239" s="500"/>
      <c r="O239" s="500"/>
      <c r="P239" s="500"/>
      <c r="Q239" s="500"/>
      <c r="R239" s="500"/>
      <c r="S239" s="500"/>
      <c r="T239" s="507">
        <f>T232+T236*T237</f>
        <v>0</v>
      </c>
      <c r="U239" s="500"/>
      <c r="V239" s="500"/>
      <c r="W239" s="507">
        <f>W232+W236*W237</f>
        <v>0</v>
      </c>
      <c r="X239" s="500"/>
      <c r="Y239" s="500"/>
      <c r="Z239" s="507">
        <f>Z232+Z236*Z237</f>
        <v>0</v>
      </c>
      <c r="AA239" s="474"/>
      <c r="AB239" s="474"/>
      <c r="AC239" s="474">
        <f>AC232+AC236*AC237</f>
        <v>0</v>
      </c>
      <c r="AD239" s="474"/>
      <c r="AE239" s="474"/>
      <c r="AF239" s="474">
        <f>AF232+AF236*AF237</f>
        <v>0</v>
      </c>
      <c r="AG239" s="474"/>
      <c r="AH239" s="474"/>
      <c r="AI239" s="474">
        <f>AI232+AI236*AI237</f>
        <v>0</v>
      </c>
      <c r="AJ239" s="474"/>
      <c r="AK239" s="474"/>
      <c r="AL239" s="474">
        <f>AL232+AL236*AL237</f>
        <v>0</v>
      </c>
      <c r="AM239" s="474"/>
      <c r="AN239" s="474"/>
      <c r="AO239" s="474">
        <f>AO232+AO236*AO237</f>
        <v>0</v>
      </c>
      <c r="AP239" s="474"/>
      <c r="AQ239" s="474"/>
      <c r="AR239" s="474">
        <f>AR232+AR236*AR237</f>
        <v>0</v>
      </c>
      <c r="AS239" s="474">
        <f>AS232+AS236*AS237</f>
        <v>0</v>
      </c>
      <c r="AT239" s="474">
        <f>AT232+AT236*AT237</f>
        <v>0</v>
      </c>
      <c r="AU239" s="474">
        <f t="shared" ref="AU239" si="327">AU232+AU236*AU237</f>
        <v>0</v>
      </c>
    </row>
    <row r="240" spans="2:47" hidden="1" outlineLevel="1">
      <c r="B240" s="409" t="s">
        <v>198</v>
      </c>
      <c r="C240" s="503"/>
      <c r="D240" s="504"/>
      <c r="E240" s="504"/>
      <c r="F240" s="503"/>
      <c r="G240" s="504"/>
      <c r="H240" s="504"/>
      <c r="I240" s="503"/>
      <c r="J240" s="504"/>
      <c r="K240" s="504"/>
      <c r="L240" s="503"/>
      <c r="M240" s="504"/>
      <c r="N240" s="504"/>
      <c r="O240" s="503"/>
      <c r="P240" s="504"/>
      <c r="Q240" s="504"/>
      <c r="R240" s="503"/>
      <c r="S240" s="504"/>
      <c r="T240" s="509">
        <f>Q240</f>
        <v>0</v>
      </c>
      <c r="U240" s="504"/>
      <c r="V240" s="504"/>
      <c r="W240" s="509">
        <f>T240</f>
        <v>0</v>
      </c>
      <c r="X240" s="504"/>
      <c r="Y240" s="504"/>
      <c r="Z240" s="509">
        <f>W240</f>
        <v>0</v>
      </c>
      <c r="AA240" s="476"/>
      <c r="AB240" s="476"/>
      <c r="AC240" s="476">
        <f>Z240</f>
        <v>0</v>
      </c>
      <c r="AD240" s="476"/>
      <c r="AE240" s="476"/>
      <c r="AF240" s="476">
        <f>AC240</f>
        <v>0</v>
      </c>
      <c r="AG240" s="476"/>
      <c r="AH240" s="476"/>
      <c r="AI240" s="476">
        <f>AF240</f>
        <v>0</v>
      </c>
      <c r="AJ240" s="476"/>
      <c r="AK240" s="476"/>
      <c r="AL240" s="476">
        <f>AI240</f>
        <v>0</v>
      </c>
      <c r="AM240" s="476"/>
      <c r="AN240" s="476"/>
      <c r="AO240" s="476">
        <f>AL240</f>
        <v>0</v>
      </c>
      <c r="AP240" s="476"/>
      <c r="AQ240" s="476"/>
      <c r="AR240" s="476">
        <f>AO240</f>
        <v>0</v>
      </c>
      <c r="AS240" s="476">
        <f>AR240</f>
        <v>0</v>
      </c>
      <c r="AT240" s="476">
        <f>AS240</f>
        <v>0</v>
      </c>
      <c r="AU240" s="476">
        <f t="shared" ref="AU240" si="328">AT240</f>
        <v>0</v>
      </c>
    </row>
    <row r="241" spans="1:47" hidden="1" outlineLevel="1">
      <c r="B241" s="409" t="s">
        <v>192</v>
      </c>
      <c r="C241" s="500"/>
      <c r="D241" s="500"/>
      <c r="E241" s="500"/>
      <c r="F241" s="500"/>
      <c r="G241" s="500"/>
      <c r="H241" s="500"/>
      <c r="I241" s="500"/>
      <c r="J241" s="500"/>
      <c r="K241" s="500"/>
      <c r="L241" s="500"/>
      <c r="M241" s="500"/>
      <c r="N241" s="500"/>
      <c r="O241" s="500"/>
      <c r="P241" s="500"/>
      <c r="Q241" s="500"/>
      <c r="R241" s="500"/>
      <c r="S241" s="500"/>
      <c r="T241" s="507">
        <f>IF(T240&lt;0,T238,T234*T240+T238*(1-T240))</f>
        <v>0</v>
      </c>
      <c r="U241" s="500"/>
      <c r="V241" s="500"/>
      <c r="W241" s="507">
        <f>IF(W240&lt;0,W238,W234*W240+W238*(1-W240))</f>
        <v>0</v>
      </c>
      <c r="X241" s="500"/>
      <c r="Y241" s="500"/>
      <c r="Z241" s="507">
        <f>IF(Z240&lt;0,Z238,Z234*Z240+Z238*(1-Z240))</f>
        <v>0</v>
      </c>
      <c r="AA241" s="474"/>
      <c r="AB241" s="474"/>
      <c r="AC241" s="474">
        <f>IF(AC240&lt;0,AC238,AC234*AC240+AC238*(1-AC240))</f>
        <v>0</v>
      </c>
      <c r="AD241" s="474"/>
      <c r="AE241" s="474"/>
      <c r="AF241" s="474">
        <f>IF(AF240&lt;0,AF238,AF234*AF240+AF238*(1-AF240))</f>
        <v>0</v>
      </c>
      <c r="AG241" s="474"/>
      <c r="AH241" s="474"/>
      <c r="AI241" s="474">
        <f>IF(AI240&lt;0,AI238,AI234*AI240+AI238*(1-AI240))</f>
        <v>0</v>
      </c>
      <c r="AJ241" s="474"/>
      <c r="AK241" s="474"/>
      <c r="AL241" s="474">
        <f>IF(AL240&lt;0,AL238,AL234*AL240+AL238*(1-AL240))</f>
        <v>0</v>
      </c>
      <c r="AM241" s="474"/>
      <c r="AN241" s="474"/>
      <c r="AO241" s="474">
        <f>IF(AO240&lt;0,AO238,AO234*AO240+AO238*(1-AO240))</f>
        <v>0</v>
      </c>
      <c r="AP241" s="474"/>
      <c r="AQ241" s="474"/>
      <c r="AR241" s="474">
        <f>IF(AR240&lt;0,AR238,AR234*AR240+AR238*(1-AR240))</f>
        <v>0</v>
      </c>
      <c r="AS241" s="474">
        <f>IF(AS240&lt;0,AS238,AS234*AS240+AS238*(1-AS240))</f>
        <v>0</v>
      </c>
      <c r="AT241" s="474">
        <f>IF(AT240&lt;0,AT238,AT234*AT240+AT238*(1-AT240))</f>
        <v>0</v>
      </c>
      <c r="AU241" s="474">
        <f t="shared" ref="AU241" si="329">IF(AU240&lt;0,AU238,AU234*AU240+AU238*(1-AU240))</f>
        <v>0</v>
      </c>
    </row>
    <row r="242" spans="1:47" hidden="1" outlineLevel="1">
      <c r="B242" s="409" t="s">
        <v>202</v>
      </c>
      <c r="C242" s="504"/>
      <c r="D242" s="500"/>
      <c r="E242" s="500"/>
      <c r="F242" s="504"/>
      <c r="G242" s="500"/>
      <c r="H242" s="500"/>
      <c r="I242" s="504"/>
      <c r="J242" s="500"/>
      <c r="K242" s="500"/>
      <c r="L242" s="504"/>
      <c r="M242" s="500"/>
      <c r="N242" s="500"/>
      <c r="O242" s="504"/>
      <c r="P242" s="500"/>
      <c r="Q242" s="500"/>
      <c r="R242" s="504"/>
      <c r="S242" s="500"/>
      <c r="T242" s="507">
        <f t="shared" ref="T242:Z242" si="330">(T235*T$240/(1+T$240)+T$239/(1+T$240))</f>
        <v>0</v>
      </c>
      <c r="U242" s="500"/>
      <c r="V242" s="500"/>
      <c r="W242" s="507">
        <f t="shared" si="330"/>
        <v>0</v>
      </c>
      <c r="X242" s="500"/>
      <c r="Y242" s="500"/>
      <c r="Z242" s="507">
        <f t="shared" si="330"/>
        <v>0</v>
      </c>
      <c r="AA242" s="474"/>
      <c r="AB242" s="474"/>
      <c r="AC242" s="474">
        <f>(AC235*AC$240/(1+AC$240)+AC$239/(1+AC$240))</f>
        <v>0</v>
      </c>
      <c r="AD242" s="474"/>
      <c r="AE242" s="474"/>
      <c r="AF242" s="474">
        <f>(AF235*AF$240/(1+AF$240)+AF$239/(1+AF$240))</f>
        <v>0</v>
      </c>
      <c r="AG242" s="474"/>
      <c r="AH242" s="474"/>
      <c r="AI242" s="474">
        <f>(AI235*AI$240/(1+AI$240)+AI$239/(1+AI$240))</f>
        <v>0</v>
      </c>
      <c r="AJ242" s="474"/>
      <c r="AK242" s="474"/>
      <c r="AL242" s="474">
        <f>(AL235*AL$240/(1+AL$240)+AL$239/(1+AL$240))</f>
        <v>0</v>
      </c>
      <c r="AM242" s="474"/>
      <c r="AN242" s="474"/>
      <c r="AO242" s="474">
        <f>(AO235*AO$240/(1+AO$240)+AO$239/(1+AO$240))</f>
        <v>0</v>
      </c>
      <c r="AP242" s="474"/>
      <c r="AQ242" s="474"/>
      <c r="AR242" s="474">
        <f>(AR235*AR$240/(1+AR$240)+AR$239/(1+AR$240))</f>
        <v>0</v>
      </c>
      <c r="AS242" s="474">
        <f>(AS235*AS$240/(1+AS$240)+AS$239/(1+AS$240))</f>
        <v>0</v>
      </c>
      <c r="AT242" s="474">
        <f>(AT235*AT$240/(1+AT$240)+AT$239/(1+AT$240))</f>
        <v>0</v>
      </c>
      <c r="AU242" s="474">
        <f t="shared" ref="AU242" si="331">(AU235*AU$240/(1+AU$240)+AU$239/(1+AU$240))</f>
        <v>0</v>
      </c>
    </row>
    <row r="243" spans="1:47" hidden="1" outlineLevel="1">
      <c r="B243" s="409"/>
      <c r="C243" s="495"/>
      <c r="D243" s="495"/>
      <c r="E243" s="495"/>
      <c r="F243" s="495"/>
      <c r="G243" s="495"/>
      <c r="H243" s="495"/>
      <c r="I243" s="495"/>
      <c r="J243" s="495"/>
      <c r="K243" s="495"/>
      <c r="L243" s="495"/>
      <c r="M243" s="495"/>
      <c r="N243" s="495"/>
      <c r="O243" s="495"/>
      <c r="P243" s="495"/>
      <c r="Q243" s="495"/>
      <c r="R243" s="495"/>
      <c r="S243" s="495"/>
      <c r="T243" s="495"/>
      <c r="U243" s="495"/>
      <c r="V243" s="495"/>
      <c r="W243" s="495"/>
      <c r="X243" s="495"/>
      <c r="Y243" s="495"/>
      <c r="Z243" s="495"/>
      <c r="AA243" s="431"/>
      <c r="AB243" s="431"/>
      <c r="AC243" s="431"/>
      <c r="AD243" s="431"/>
      <c r="AE243" s="431"/>
      <c r="AF243" s="431"/>
      <c r="AG243" s="431"/>
      <c r="AH243" s="431"/>
      <c r="AI243" s="431"/>
      <c r="AJ243" s="431"/>
      <c r="AK243" s="431"/>
      <c r="AL243" s="431"/>
      <c r="AM243" s="431"/>
      <c r="AN243" s="431"/>
      <c r="AO243" s="431"/>
      <c r="AP243" s="431"/>
      <c r="AQ243" s="431"/>
      <c r="AR243" s="431"/>
      <c r="AS243" s="431"/>
      <c r="AT243" s="431"/>
      <c r="AU243" s="431"/>
    </row>
    <row r="244" spans="1:47" collapsed="1">
      <c r="B244" s="301" t="s">
        <v>112</v>
      </c>
      <c r="C244" s="497"/>
      <c r="D244" s="497"/>
      <c r="E244" s="497"/>
      <c r="F244" s="497"/>
      <c r="G244" s="497"/>
      <c r="H244" s="497"/>
      <c r="I244" s="497"/>
      <c r="J244" s="497"/>
      <c r="K244" s="497"/>
      <c r="L244" s="497"/>
      <c r="M244" s="497"/>
      <c r="N244" s="497"/>
      <c r="O244" s="497"/>
      <c r="P244" s="497"/>
      <c r="Q244" s="497"/>
      <c r="R244" s="497"/>
      <c r="S244" s="497"/>
      <c r="T244" s="497"/>
      <c r="U244" s="497"/>
      <c r="V244" s="497"/>
      <c r="W244" s="497"/>
      <c r="X244" s="497"/>
      <c r="Y244" s="497"/>
      <c r="Z244" s="497"/>
      <c r="AA244" s="303"/>
      <c r="AB244" s="303"/>
      <c r="AC244" s="303"/>
      <c r="AD244" s="303"/>
      <c r="AE244" s="303"/>
      <c r="AF244" s="303"/>
      <c r="AG244" s="303"/>
      <c r="AH244" s="303"/>
      <c r="AI244" s="303"/>
      <c r="AJ244" s="303"/>
      <c r="AK244" s="303"/>
      <c r="AL244" s="303"/>
      <c r="AM244" s="303"/>
      <c r="AN244" s="303"/>
      <c r="AO244" s="303"/>
      <c r="AP244" s="303"/>
      <c r="AQ244" s="303"/>
      <c r="AR244" s="303"/>
      <c r="AS244" s="303"/>
      <c r="AT244" s="303"/>
      <c r="AU244" s="303"/>
    </row>
    <row r="245" spans="1:47">
      <c r="B245" s="380" t="s">
        <v>113</v>
      </c>
      <c r="C245" s="539"/>
      <c r="D245" s="539"/>
      <c r="E245" s="539"/>
      <c r="F245" s="539"/>
      <c r="G245" s="539"/>
      <c r="H245" s="539"/>
      <c r="I245" s="539"/>
      <c r="J245" s="539"/>
      <c r="K245" s="539"/>
      <c r="L245" s="539"/>
      <c r="M245" s="539"/>
      <c r="N245" s="539"/>
      <c r="O245" s="539"/>
      <c r="P245" s="539"/>
      <c r="Q245" s="539"/>
      <c r="R245" s="539"/>
      <c r="S245" s="539"/>
      <c r="T245" s="539"/>
      <c r="U245" s="588"/>
      <c r="V245" s="539"/>
      <c r="W245" s="588"/>
      <c r="X245" s="588"/>
      <c r="Y245" s="539"/>
      <c r="Z245" s="539"/>
      <c r="AA245" s="198"/>
      <c r="AB245" s="198"/>
      <c r="AC245" s="198"/>
      <c r="AD245" s="198"/>
      <c r="AE245" s="198"/>
      <c r="AF245" s="198"/>
      <c r="AG245" s="198"/>
      <c r="AH245" s="198"/>
      <c r="AI245" s="198"/>
      <c r="AJ245" s="198"/>
      <c r="AK245" s="198"/>
      <c r="AL245" s="198"/>
      <c r="AM245" s="198"/>
      <c r="AN245" s="198"/>
      <c r="AO245" s="198"/>
      <c r="AP245" s="198"/>
      <c r="AQ245" s="198"/>
      <c r="AR245" s="198"/>
      <c r="AS245" s="198"/>
      <c r="AT245" s="198"/>
      <c r="AU245" s="198"/>
    </row>
    <row r="246" spans="1:47">
      <c r="B246" s="409" t="s">
        <v>114</v>
      </c>
      <c r="C246" s="511"/>
      <c r="D246" s="511"/>
      <c r="E246" s="514"/>
      <c r="F246" s="514"/>
      <c r="G246" s="514"/>
      <c r="H246" s="514"/>
      <c r="I246" s="514"/>
      <c r="J246" s="514"/>
      <c r="K246" s="511"/>
      <c r="L246" s="514"/>
      <c r="M246" s="514"/>
      <c r="N246" s="523">
        <f>K249</f>
        <v>240.702</v>
      </c>
      <c r="O246" s="523">
        <f>N249</f>
        <v>252.48</v>
      </c>
      <c r="P246" s="514"/>
      <c r="Q246" s="523">
        <f>N249</f>
        <v>252.48</v>
      </c>
      <c r="R246" s="523">
        <f>Q249</f>
        <v>290.62900000000002</v>
      </c>
      <c r="S246" s="514"/>
      <c r="T246" s="523">
        <f>Q249</f>
        <v>290.62900000000002</v>
      </c>
      <c r="U246" s="523">
        <f>T249</f>
        <v>290.827</v>
      </c>
      <c r="V246" s="523">
        <f>U249</f>
        <v>291.16399999999999</v>
      </c>
      <c r="W246" s="523">
        <f>T249</f>
        <v>290.827</v>
      </c>
      <c r="X246" s="523">
        <f>W249</f>
        <v>299.93200000000002</v>
      </c>
      <c r="Y246" s="523">
        <f>X249</f>
        <v>301</v>
      </c>
      <c r="Z246" s="523">
        <f>W249</f>
        <v>299.93200000000002</v>
      </c>
      <c r="AA246" s="295">
        <f>Z249</f>
        <v>318.161</v>
      </c>
      <c r="AB246" s="295"/>
      <c r="AC246" s="295">
        <f>Z249</f>
        <v>318.161</v>
      </c>
      <c r="AD246" s="295">
        <f>AC249</f>
        <v>323.27999999999997</v>
      </c>
      <c r="AE246" s="295"/>
      <c r="AF246" s="295">
        <f>AC249</f>
        <v>323.27999999999997</v>
      </c>
      <c r="AG246" s="295">
        <f>AF249</f>
        <v>324.91399999999999</v>
      </c>
      <c r="AH246" s="295"/>
      <c r="AI246" s="295">
        <f>AF249</f>
        <v>324.91399999999999</v>
      </c>
      <c r="AJ246" s="295">
        <f>AI249</f>
        <v>326.346</v>
      </c>
      <c r="AK246" s="295"/>
      <c r="AL246" s="295">
        <f>AI249</f>
        <v>326.346</v>
      </c>
      <c r="AM246" s="295">
        <f>AL249</f>
        <v>331.9</v>
      </c>
      <c r="AN246" s="295"/>
      <c r="AO246" s="295">
        <f>AL249</f>
        <v>331.9</v>
      </c>
      <c r="AP246" s="295">
        <f>AO249</f>
        <v>333.4</v>
      </c>
      <c r="AQ246" s="295"/>
      <c r="AR246" s="295">
        <f>AO249</f>
        <v>333.4</v>
      </c>
      <c r="AS246" s="295">
        <f>AR249</f>
        <v>334.6</v>
      </c>
      <c r="AT246" s="295">
        <f>AS249</f>
        <v>334.6</v>
      </c>
      <c r="AU246" s="295">
        <f t="shared" ref="AU246" si="332">AT249</f>
        <v>334.6</v>
      </c>
    </row>
    <row r="247" spans="1:47">
      <c r="B247" s="409" t="s">
        <v>115</v>
      </c>
      <c r="C247" s="511"/>
      <c r="D247" s="511"/>
      <c r="E247" s="514">
        <v>0</v>
      </c>
      <c r="F247" s="514">
        <v>0</v>
      </c>
      <c r="G247" s="514">
        <v>0</v>
      </c>
      <c r="H247" s="514">
        <v>0</v>
      </c>
      <c r="I247" s="514">
        <v>0</v>
      </c>
      <c r="J247" s="514">
        <v>0</v>
      </c>
      <c r="K247" s="514">
        <v>0</v>
      </c>
      <c r="L247" s="514">
        <v>0</v>
      </c>
      <c r="M247" s="514">
        <v>0</v>
      </c>
      <c r="N247" s="511"/>
      <c r="O247" s="511"/>
      <c r="P247" s="511"/>
      <c r="Q247" s="511"/>
      <c r="R247" s="511"/>
      <c r="S247" s="511"/>
      <c r="T247" s="511"/>
      <c r="U247" s="511"/>
      <c r="V247" s="526"/>
      <c r="W247" s="511"/>
      <c r="X247" s="511"/>
      <c r="Y247" s="511"/>
      <c r="Z247" s="511"/>
      <c r="AA247" s="295"/>
      <c r="AB247" s="295"/>
      <c r="AC247" s="295"/>
      <c r="AD247" s="295"/>
      <c r="AE247" s="295"/>
      <c r="AF247" s="295"/>
      <c r="AG247" s="295"/>
      <c r="AH247" s="295"/>
      <c r="AI247" s="295"/>
      <c r="AJ247" s="295"/>
      <c r="AK247" s="295"/>
      <c r="AL247" s="295"/>
      <c r="AM247" s="295"/>
      <c r="AN247" s="295"/>
      <c r="AO247" s="295"/>
      <c r="AP247" s="295"/>
      <c r="AQ247" s="295"/>
      <c r="AR247" s="295"/>
      <c r="AS247" s="295"/>
      <c r="AT247" s="295"/>
      <c r="AU247" s="295"/>
    </row>
    <row r="248" spans="1:47">
      <c r="B248" s="409" t="s">
        <v>31</v>
      </c>
      <c r="C248" s="526"/>
      <c r="D248" s="511"/>
      <c r="E248" s="514">
        <v>0</v>
      </c>
      <c r="F248" s="514">
        <v>0</v>
      </c>
      <c r="G248" s="514">
        <v>0</v>
      </c>
      <c r="H248" s="514">
        <v>0</v>
      </c>
      <c r="I248" s="514">
        <v>0</v>
      </c>
      <c r="J248" s="514">
        <v>0</v>
      </c>
      <c r="K248" s="514">
        <v>0</v>
      </c>
      <c r="L248" s="514">
        <v>0</v>
      </c>
      <c r="M248" s="514">
        <v>0</v>
      </c>
      <c r="N248" s="523">
        <f>N249-N246</f>
        <v>11.777999999999992</v>
      </c>
      <c r="O248" s="523">
        <f>O249-O246</f>
        <v>0.28205900000000383</v>
      </c>
      <c r="P248" s="514">
        <v>0</v>
      </c>
      <c r="Q248" s="523">
        <f>Q249-Q246</f>
        <v>38.149000000000029</v>
      </c>
      <c r="R248" s="523">
        <f>R249-R246</f>
        <v>2.3852249999999913</v>
      </c>
      <c r="S248" s="514">
        <v>0</v>
      </c>
      <c r="T248" s="523">
        <f>T249-T246</f>
        <v>0.19799999999997908</v>
      </c>
      <c r="U248" s="523">
        <f>U249-U246</f>
        <v>0.33699999999998909</v>
      </c>
      <c r="V248" s="511"/>
      <c r="W248" s="523">
        <f>W249-W246</f>
        <v>9.1050000000000182</v>
      </c>
      <c r="X248" s="523">
        <f>X249-X246</f>
        <v>1.0679999999999836</v>
      </c>
      <c r="Y248" s="514"/>
      <c r="Z248" s="523">
        <f>Z249-Z246</f>
        <v>18.228999999999985</v>
      </c>
      <c r="AA248" s="295">
        <f>AA249-AA246</f>
        <v>3.8999999999987267E-2</v>
      </c>
      <c r="AB248" s="295"/>
      <c r="AC248" s="295">
        <f>AC249-AC246</f>
        <v>5.1189999999999714</v>
      </c>
      <c r="AD248" s="295">
        <f>AD249-AD246</f>
        <v>0.52000000000003865</v>
      </c>
      <c r="AE248" s="295"/>
      <c r="AF248" s="295">
        <f>AF249-AF246</f>
        <v>1.6340000000000146</v>
      </c>
      <c r="AG248" s="295">
        <f>AG249-AG246</f>
        <v>1.3860000000000241</v>
      </c>
      <c r="AH248" s="295"/>
      <c r="AI248" s="295">
        <f>AI249-AI246</f>
        <v>1.4320000000000164</v>
      </c>
      <c r="AJ248" s="295">
        <f>AJ249-AJ246</f>
        <v>0.65399999999999636</v>
      </c>
      <c r="AK248" s="295"/>
      <c r="AL248" s="295">
        <f>AL249-AL246</f>
        <v>5.5539999999999736</v>
      </c>
      <c r="AM248" s="295">
        <f>AM249-AM246</f>
        <v>1.5</v>
      </c>
      <c r="AN248" s="295"/>
      <c r="AO248" s="295">
        <f>AO249-AO246</f>
        <v>1.5</v>
      </c>
      <c r="AP248" s="295">
        <f>AP249-AP246</f>
        <v>1.1000000000000227</v>
      </c>
      <c r="AQ248" s="295"/>
      <c r="AR248" s="295">
        <f>AR249-AR246</f>
        <v>1.2000000000000455</v>
      </c>
      <c r="AS248" s="295"/>
      <c r="AT248" s="295"/>
      <c r="AU248" s="295"/>
    </row>
    <row r="249" spans="1:47">
      <c r="A249" s="290" t="s">
        <v>554</v>
      </c>
      <c r="B249" s="409" t="s">
        <v>116</v>
      </c>
      <c r="C249" s="526"/>
      <c r="D249" s="511"/>
      <c r="E249" s="526"/>
      <c r="F249" s="526"/>
      <c r="G249" s="526"/>
      <c r="H249" s="526"/>
      <c r="I249" s="526"/>
      <c r="J249" s="526"/>
      <c r="K249" s="514">
        <v>240.702</v>
      </c>
      <c r="L249" s="526"/>
      <c r="M249" s="526"/>
      <c r="N249" s="514">
        <v>252.48</v>
      </c>
      <c r="O249" s="514">
        <v>252.76205899999999</v>
      </c>
      <c r="P249" s="526"/>
      <c r="Q249" s="514">
        <v>290.62900000000002</v>
      </c>
      <c r="R249" s="514">
        <v>293.01422500000001</v>
      </c>
      <c r="S249" s="526"/>
      <c r="T249" s="514">
        <v>290.827</v>
      </c>
      <c r="U249" s="514">
        <v>291.16399999999999</v>
      </c>
      <c r="V249" s="511"/>
      <c r="W249" s="514">
        <v>299.93200000000002</v>
      </c>
      <c r="X249" s="514">
        <v>301</v>
      </c>
      <c r="Y249" s="511"/>
      <c r="Z249" s="514">
        <v>318.161</v>
      </c>
      <c r="AA249" s="312">
        <v>318.2</v>
      </c>
      <c r="AB249" s="312"/>
      <c r="AC249" s="312">
        <v>323.27999999999997</v>
      </c>
      <c r="AD249" s="312">
        <v>323.8</v>
      </c>
      <c r="AE249" s="312"/>
      <c r="AF249" s="312">
        <v>324.91399999999999</v>
      </c>
      <c r="AG249" s="312">
        <v>326.3</v>
      </c>
      <c r="AH249" s="312"/>
      <c r="AI249" s="312">
        <v>326.346</v>
      </c>
      <c r="AJ249" s="312">
        <v>327</v>
      </c>
      <c r="AK249" s="312"/>
      <c r="AL249" s="312">
        <v>331.9</v>
      </c>
      <c r="AM249" s="312">
        <v>333.4</v>
      </c>
      <c r="AN249" s="312"/>
      <c r="AO249" s="312">
        <v>333.4</v>
      </c>
      <c r="AP249" s="312">
        <v>334.5</v>
      </c>
      <c r="AQ249" s="312"/>
      <c r="AR249" s="312">
        <v>334.6</v>
      </c>
      <c r="AS249" s="295">
        <f>SUM(AS246:AS248)</f>
        <v>334.6</v>
      </c>
      <c r="AT249" s="295">
        <f>SUM(AT246:AT248)</f>
        <v>334.6</v>
      </c>
      <c r="AU249" s="295">
        <f t="shared" ref="AU249" si="333">SUM(AU246:AU248)</f>
        <v>334.6</v>
      </c>
    </row>
    <row r="250" spans="1:47">
      <c r="B250" s="409"/>
      <c r="C250" s="511"/>
      <c r="D250" s="511"/>
      <c r="E250" s="511"/>
      <c r="F250" s="511"/>
      <c r="G250" s="511"/>
      <c r="H250" s="511"/>
      <c r="I250" s="511"/>
      <c r="J250" s="511"/>
      <c r="K250" s="511"/>
      <c r="L250" s="511"/>
      <c r="M250" s="511"/>
      <c r="N250" s="511"/>
      <c r="O250" s="511"/>
      <c r="P250" s="511"/>
      <c r="Q250" s="511"/>
      <c r="R250" s="511"/>
      <c r="S250" s="511"/>
      <c r="T250" s="511"/>
      <c r="U250" s="511"/>
      <c r="V250" s="511"/>
      <c r="W250" s="511"/>
      <c r="X250" s="511"/>
      <c r="Y250" s="511"/>
      <c r="Z250" s="511"/>
      <c r="AA250" s="295"/>
      <c r="AB250" s="295"/>
      <c r="AC250" s="295"/>
      <c r="AD250" s="295"/>
      <c r="AE250" s="295"/>
      <c r="AF250" s="295"/>
      <c r="AG250" s="295"/>
      <c r="AH250" s="295"/>
      <c r="AI250" s="295"/>
      <c r="AJ250" s="295"/>
      <c r="AK250" s="295"/>
      <c r="AL250" s="295"/>
      <c r="AM250" s="295"/>
      <c r="AN250" s="295"/>
      <c r="AO250" s="295"/>
      <c r="AP250" s="295"/>
      <c r="AQ250" s="295"/>
      <c r="AR250" s="295"/>
      <c r="AS250" s="295"/>
      <c r="AT250" s="295"/>
      <c r="AU250" s="295"/>
    </row>
    <row r="251" spans="1:47">
      <c r="B251" s="409" t="s">
        <v>46</v>
      </c>
      <c r="C251" s="511"/>
      <c r="D251" s="511"/>
      <c r="E251" s="523">
        <f t="shared" ref="E251:S251" si="334">E249</f>
        <v>0</v>
      </c>
      <c r="F251" s="523">
        <f t="shared" si="334"/>
        <v>0</v>
      </c>
      <c r="G251" s="523">
        <f t="shared" si="334"/>
        <v>0</v>
      </c>
      <c r="H251" s="523">
        <f t="shared" si="334"/>
        <v>0</v>
      </c>
      <c r="I251" s="523">
        <f t="shared" si="334"/>
        <v>0</v>
      </c>
      <c r="J251" s="523">
        <f t="shared" si="334"/>
        <v>0</v>
      </c>
      <c r="K251" s="523">
        <f t="shared" si="334"/>
        <v>240.702</v>
      </c>
      <c r="L251" s="523">
        <f t="shared" si="334"/>
        <v>0</v>
      </c>
      <c r="M251" s="523">
        <f t="shared" si="334"/>
        <v>0</v>
      </c>
      <c r="N251" s="523">
        <f t="shared" si="334"/>
        <v>252.48</v>
      </c>
      <c r="O251" s="523">
        <f>O249</f>
        <v>252.76205899999999</v>
      </c>
      <c r="P251" s="523">
        <f t="shared" si="334"/>
        <v>0</v>
      </c>
      <c r="Q251" s="523">
        <f t="shared" si="334"/>
        <v>290.62900000000002</v>
      </c>
      <c r="R251" s="523">
        <f>R249</f>
        <v>293.01422500000001</v>
      </c>
      <c r="S251" s="523">
        <f t="shared" si="334"/>
        <v>0</v>
      </c>
      <c r="T251" s="523">
        <f>T249</f>
        <v>290.827</v>
      </c>
      <c r="U251" s="523">
        <f>U249</f>
        <v>291.16399999999999</v>
      </c>
      <c r="V251" s="511"/>
      <c r="W251" s="523">
        <f>W249</f>
        <v>299.93200000000002</v>
      </c>
      <c r="X251" s="523">
        <f>X249</f>
        <v>301</v>
      </c>
      <c r="Y251" s="511"/>
      <c r="Z251" s="523">
        <f>Z249</f>
        <v>318.161</v>
      </c>
      <c r="AA251" s="295">
        <f>AA249</f>
        <v>318.2</v>
      </c>
      <c r="AB251" s="295"/>
      <c r="AC251" s="295">
        <f>AC249</f>
        <v>323.27999999999997</v>
      </c>
      <c r="AD251" s="295">
        <f>AD249</f>
        <v>323.8</v>
      </c>
      <c r="AE251" s="295"/>
      <c r="AF251" s="295">
        <f>AF249</f>
        <v>324.91399999999999</v>
      </c>
      <c r="AG251" s="295">
        <f>AG249</f>
        <v>326.3</v>
      </c>
      <c r="AH251" s="295"/>
      <c r="AI251" s="295">
        <f>AI249</f>
        <v>326.346</v>
      </c>
      <c r="AJ251" s="295">
        <f>AJ249</f>
        <v>327</v>
      </c>
      <c r="AK251" s="295"/>
      <c r="AL251" s="295">
        <f>AL249</f>
        <v>331.9</v>
      </c>
      <c r="AM251" s="295">
        <f>AM249</f>
        <v>333.4</v>
      </c>
      <c r="AN251" s="295"/>
      <c r="AO251" s="295">
        <f>AO249</f>
        <v>333.4</v>
      </c>
      <c r="AP251" s="295">
        <f>AP249</f>
        <v>334.5</v>
      </c>
      <c r="AQ251" s="295"/>
      <c r="AR251" s="295">
        <f>AR249</f>
        <v>334.6</v>
      </c>
      <c r="AS251" s="295">
        <f>AS249</f>
        <v>334.6</v>
      </c>
      <c r="AT251" s="295">
        <f>AT249</f>
        <v>334.6</v>
      </c>
      <c r="AU251" s="295">
        <f t="shared" ref="AU251" si="335">AU249</f>
        <v>334.6</v>
      </c>
    </row>
    <row r="252" spans="1:47">
      <c r="B252" s="409" t="s">
        <v>117</v>
      </c>
      <c r="C252" s="526"/>
      <c r="D252" s="511"/>
      <c r="E252" s="523" t="e">
        <f t="shared" ref="E252:L252" si="336">AVERAGE(E246,E249)</f>
        <v>#DIV/0!</v>
      </c>
      <c r="F252" s="523" t="e">
        <f t="shared" si="336"/>
        <v>#DIV/0!</v>
      </c>
      <c r="G252" s="523" t="e">
        <f>+H252</f>
        <v>#DIV/0!</v>
      </c>
      <c r="H252" s="523" t="e">
        <f t="shared" si="336"/>
        <v>#DIV/0!</v>
      </c>
      <c r="I252" s="523" t="e">
        <f t="shared" si="336"/>
        <v>#DIV/0!</v>
      </c>
      <c r="J252" s="523">
        <f>+K252</f>
        <v>240.702</v>
      </c>
      <c r="K252" s="523">
        <f t="shared" si="336"/>
        <v>240.702</v>
      </c>
      <c r="L252" s="523" t="e">
        <f t="shared" si="336"/>
        <v>#DIV/0!</v>
      </c>
      <c r="M252" s="523">
        <f>+N252</f>
        <v>243.55057199999999</v>
      </c>
      <c r="N252" s="514">
        <v>243.55057199999999</v>
      </c>
      <c r="O252" s="514">
        <v>252.76205899999999</v>
      </c>
      <c r="P252" s="523">
        <f>+Q252</f>
        <v>261.87534199999999</v>
      </c>
      <c r="Q252" s="514">
        <v>261.87534199999999</v>
      </c>
      <c r="R252" s="514">
        <v>293.01422500000001</v>
      </c>
      <c r="S252" s="523">
        <f>+T252</f>
        <v>292.95364699999999</v>
      </c>
      <c r="T252" s="514">
        <v>292.95364699999999</v>
      </c>
      <c r="U252" s="514">
        <v>293.01422500000001</v>
      </c>
      <c r="V252" s="523">
        <f>+W252</f>
        <v>293.51853899999998</v>
      </c>
      <c r="W252" s="514">
        <v>293.51853899999998</v>
      </c>
      <c r="X252" s="514">
        <v>301.8</v>
      </c>
      <c r="Y252" s="523">
        <f>+Z252</f>
        <v>306.39999999999998</v>
      </c>
      <c r="Z252" s="514">
        <v>306.39999999999998</v>
      </c>
      <c r="AA252" s="312">
        <v>319.2</v>
      </c>
      <c r="AB252" s="312">
        <f>+AC252</f>
        <v>319.7</v>
      </c>
      <c r="AC252" s="312">
        <v>319.7</v>
      </c>
      <c r="AD252" s="312">
        <v>324.8</v>
      </c>
      <c r="AE252" s="312">
        <f>+AF252</f>
        <v>324.89999999999998</v>
      </c>
      <c r="AF252" s="312">
        <v>324.89999999999998</v>
      </c>
      <c r="AG252" s="312">
        <v>325.7</v>
      </c>
      <c r="AH252" s="312">
        <f>+AI252</f>
        <v>326</v>
      </c>
      <c r="AI252" s="312">
        <v>326</v>
      </c>
      <c r="AJ252" s="312">
        <v>326.89999999999998</v>
      </c>
      <c r="AK252" s="312">
        <f>+AL252</f>
        <v>327.5</v>
      </c>
      <c r="AL252" s="312">
        <v>327.5</v>
      </c>
      <c r="AM252" s="312">
        <v>330.8</v>
      </c>
      <c r="AN252" s="312">
        <f>+AO252</f>
        <v>331</v>
      </c>
      <c r="AO252" s="312">
        <v>331</v>
      </c>
      <c r="AP252" s="312">
        <v>332.1</v>
      </c>
      <c r="AQ252" s="312">
        <f>+AR252</f>
        <v>332.2</v>
      </c>
      <c r="AR252" s="312">
        <v>332.2</v>
      </c>
      <c r="AS252" s="295">
        <f>AVERAGE(AS246,AS249)</f>
        <v>334.6</v>
      </c>
      <c r="AT252" s="295">
        <f>AVERAGE(AT246,AT249)</f>
        <v>334.6</v>
      </c>
      <c r="AU252" s="295">
        <f t="shared" ref="AU252" si="337">AVERAGE(AU246,AU249)</f>
        <v>334.6</v>
      </c>
    </row>
    <row r="253" spans="1:47">
      <c r="B253" s="409" t="s">
        <v>211</v>
      </c>
      <c r="C253" s="511"/>
      <c r="D253" s="511"/>
      <c r="E253" s="514">
        <v>0</v>
      </c>
      <c r="F253" s="514">
        <v>0</v>
      </c>
      <c r="G253" s="514">
        <v>0</v>
      </c>
      <c r="H253" s="514">
        <v>0</v>
      </c>
      <c r="I253" s="514">
        <v>0</v>
      </c>
      <c r="J253" s="514">
        <v>0</v>
      </c>
      <c r="K253" s="514">
        <v>0</v>
      </c>
      <c r="L253" s="514">
        <v>0</v>
      </c>
      <c r="M253" s="514">
        <v>0</v>
      </c>
      <c r="N253" s="514">
        <v>0</v>
      </c>
      <c r="O253" s="523">
        <f>N253</f>
        <v>0</v>
      </c>
      <c r="P253" s="514">
        <v>0</v>
      </c>
      <c r="Q253" s="514">
        <v>0</v>
      </c>
      <c r="R253" s="523">
        <f>Q253</f>
        <v>0</v>
      </c>
      <c r="S253" s="514">
        <v>0</v>
      </c>
      <c r="T253" s="514">
        <v>0</v>
      </c>
      <c r="U253" s="523">
        <f>T253</f>
        <v>0</v>
      </c>
      <c r="V253" s="511"/>
      <c r="W253" s="523">
        <f>T253</f>
        <v>0</v>
      </c>
      <c r="X253" s="523">
        <f>W253</f>
        <v>0</v>
      </c>
      <c r="Y253" s="511"/>
      <c r="Z253" s="523">
        <f>W253</f>
        <v>0</v>
      </c>
      <c r="AA253" s="295">
        <f>Z253</f>
        <v>0</v>
      </c>
      <c r="AB253" s="295"/>
      <c r="AC253" s="295">
        <f>AC254-AC252</f>
        <v>0.10000000000002274</v>
      </c>
      <c r="AD253" s="295">
        <f>AC253</f>
        <v>0.10000000000002274</v>
      </c>
      <c r="AE253" s="295"/>
      <c r="AF253" s="295">
        <f>AF254-AF252</f>
        <v>0.10000000000002274</v>
      </c>
      <c r="AG253" s="295">
        <f>AF253</f>
        <v>0.10000000000002274</v>
      </c>
      <c r="AH253" s="295"/>
      <c r="AI253" s="295">
        <f>AI254-AI252</f>
        <v>0</v>
      </c>
      <c r="AJ253" s="295">
        <f>AI253</f>
        <v>0</v>
      </c>
      <c r="AK253" s="295"/>
      <c r="AL253" s="295">
        <f>AL254-AL252</f>
        <v>1</v>
      </c>
      <c r="AM253" s="295">
        <f>AL253</f>
        <v>1</v>
      </c>
      <c r="AN253" s="295"/>
      <c r="AO253" s="295">
        <f>AO254-AO252</f>
        <v>2.1999999999999886</v>
      </c>
      <c r="AP253" s="295">
        <f>AO253</f>
        <v>2.1999999999999886</v>
      </c>
      <c r="AQ253" s="295"/>
      <c r="AR253" s="295">
        <f>AR254-AR252</f>
        <v>2.1999999999999886</v>
      </c>
      <c r="AS253" s="295">
        <f>AR253</f>
        <v>2.1999999999999886</v>
      </c>
      <c r="AT253" s="295">
        <f>AS253</f>
        <v>2.1999999999999886</v>
      </c>
      <c r="AU253" s="295">
        <f t="shared" ref="AU253" si="338">AT253</f>
        <v>2.1999999999999886</v>
      </c>
    </row>
    <row r="254" spans="1:47">
      <c r="A254" s="290" t="s">
        <v>555</v>
      </c>
      <c r="B254" s="409" t="s">
        <v>182</v>
      </c>
      <c r="C254" s="526"/>
      <c r="D254" s="511"/>
      <c r="E254" s="523" t="e">
        <f t="shared" ref="E254:M254" si="339">SUM(E252:E253)</f>
        <v>#DIV/0!</v>
      </c>
      <c r="F254" s="523" t="e">
        <f t="shared" si="339"/>
        <v>#DIV/0!</v>
      </c>
      <c r="G254" s="523" t="e">
        <f t="shared" si="339"/>
        <v>#DIV/0!</v>
      </c>
      <c r="H254" s="523" t="e">
        <f t="shared" si="339"/>
        <v>#DIV/0!</v>
      </c>
      <c r="I254" s="523" t="e">
        <f t="shared" si="339"/>
        <v>#DIV/0!</v>
      </c>
      <c r="J254" s="523">
        <f t="shared" si="339"/>
        <v>240.702</v>
      </c>
      <c r="K254" s="523">
        <f t="shared" si="339"/>
        <v>240.702</v>
      </c>
      <c r="L254" s="523" t="e">
        <f t="shared" si="339"/>
        <v>#DIV/0!</v>
      </c>
      <c r="M254" s="523">
        <f t="shared" si="339"/>
        <v>243.55057199999999</v>
      </c>
      <c r="N254" s="514">
        <v>243.94811799999999</v>
      </c>
      <c r="O254" s="514">
        <v>256.60267399999998</v>
      </c>
      <c r="P254" s="523">
        <f>SUM(P252:P253)</f>
        <v>261.87534199999999</v>
      </c>
      <c r="Q254" s="514">
        <v>261.87534199999999</v>
      </c>
      <c r="R254" s="514">
        <v>293.15734400000002</v>
      </c>
      <c r="S254" s="523">
        <f>SUM(S252:S253)</f>
        <v>292.95364699999999</v>
      </c>
      <c r="T254" s="514">
        <v>293.29045400000001</v>
      </c>
      <c r="U254" s="514">
        <v>293.15734400000002</v>
      </c>
      <c r="V254" s="511"/>
      <c r="W254" s="514">
        <v>293.64101299999999</v>
      </c>
      <c r="X254" s="514">
        <v>301.89999999999998</v>
      </c>
      <c r="Y254" s="511"/>
      <c r="Z254" s="514">
        <v>306.39999999999998</v>
      </c>
      <c r="AA254" s="312">
        <v>319.3</v>
      </c>
      <c r="AB254" s="295"/>
      <c r="AC254" s="312">
        <v>319.8</v>
      </c>
      <c r="AD254" s="312">
        <v>324.8</v>
      </c>
      <c r="AE254" s="295"/>
      <c r="AF254" s="312">
        <v>325</v>
      </c>
      <c r="AG254" s="312">
        <v>325.7</v>
      </c>
      <c r="AH254" s="295"/>
      <c r="AI254" s="312">
        <v>326</v>
      </c>
      <c r="AJ254" s="312">
        <v>327</v>
      </c>
      <c r="AK254" s="312"/>
      <c r="AL254" s="312">
        <v>328.5</v>
      </c>
      <c r="AM254" s="312">
        <v>332.9</v>
      </c>
      <c r="AN254" s="312"/>
      <c r="AO254" s="312">
        <v>333.2</v>
      </c>
      <c r="AP254" s="312">
        <v>334.3</v>
      </c>
      <c r="AQ254" s="312"/>
      <c r="AR254" s="312">
        <v>334.4</v>
      </c>
      <c r="AS254" s="295">
        <f>SUM(AS252:AS253)</f>
        <v>336.8</v>
      </c>
      <c r="AT254" s="295">
        <f>SUM(AT252:AT253)</f>
        <v>336.8</v>
      </c>
      <c r="AU254" s="295">
        <f t="shared" ref="AU254" si="340">SUM(AU252:AU253)</f>
        <v>336.8</v>
      </c>
    </row>
    <row r="255" spans="1:47">
      <c r="B255" s="409" t="s">
        <v>24</v>
      </c>
      <c r="C255" s="511"/>
      <c r="D255" s="511"/>
      <c r="E255" s="523" t="e">
        <f t="shared" ref="E255:S255" si="341">E254</f>
        <v>#DIV/0!</v>
      </c>
      <c r="F255" s="523" t="e">
        <f t="shared" si="341"/>
        <v>#DIV/0!</v>
      </c>
      <c r="G255" s="523" t="e">
        <f t="shared" si="341"/>
        <v>#DIV/0!</v>
      </c>
      <c r="H255" s="523" t="e">
        <f t="shared" si="341"/>
        <v>#DIV/0!</v>
      </c>
      <c r="I255" s="523" t="e">
        <f t="shared" si="341"/>
        <v>#DIV/0!</v>
      </c>
      <c r="J255" s="523">
        <f t="shared" si="341"/>
        <v>240.702</v>
      </c>
      <c r="K255" s="523">
        <f t="shared" si="341"/>
        <v>240.702</v>
      </c>
      <c r="L255" s="523" t="e">
        <f t="shared" si="341"/>
        <v>#DIV/0!</v>
      </c>
      <c r="M255" s="523">
        <f t="shared" si="341"/>
        <v>243.55057199999999</v>
      </c>
      <c r="N255" s="523">
        <f t="shared" si="341"/>
        <v>243.94811799999999</v>
      </c>
      <c r="O255" s="523">
        <f>O254</f>
        <v>256.60267399999998</v>
      </c>
      <c r="P255" s="523">
        <f t="shared" si="341"/>
        <v>261.87534199999999</v>
      </c>
      <c r="Q255" s="523">
        <f t="shared" si="341"/>
        <v>261.87534199999999</v>
      </c>
      <c r="R255" s="523">
        <f>R254</f>
        <v>293.15734400000002</v>
      </c>
      <c r="S255" s="523">
        <f t="shared" si="341"/>
        <v>292.95364699999999</v>
      </c>
      <c r="T255" s="523">
        <f>T254</f>
        <v>293.29045400000001</v>
      </c>
      <c r="U255" s="523">
        <f>U254</f>
        <v>293.15734400000002</v>
      </c>
      <c r="V255" s="511"/>
      <c r="W255" s="523">
        <f>W254</f>
        <v>293.64101299999999</v>
      </c>
      <c r="X255" s="523">
        <f>X254</f>
        <v>301.89999999999998</v>
      </c>
      <c r="Y255" s="511"/>
      <c r="Z255" s="523">
        <f>Z254</f>
        <v>306.39999999999998</v>
      </c>
      <c r="AA255" s="295">
        <f>AA254</f>
        <v>319.3</v>
      </c>
      <c r="AB255" s="295"/>
      <c r="AC255" s="295">
        <f>AC254</f>
        <v>319.8</v>
      </c>
      <c r="AD255" s="295">
        <f>AD254</f>
        <v>324.8</v>
      </c>
      <c r="AE255" s="295"/>
      <c r="AF255" s="295">
        <f>AF254</f>
        <v>325</v>
      </c>
      <c r="AG255" s="295">
        <f>AG254</f>
        <v>325.7</v>
      </c>
      <c r="AH255" s="295"/>
      <c r="AI255" s="295">
        <f>AI254</f>
        <v>326</v>
      </c>
      <c r="AJ255" s="295">
        <f>AJ254</f>
        <v>327</v>
      </c>
      <c r="AK255" s="295"/>
      <c r="AL255" s="295">
        <f>AL254</f>
        <v>328.5</v>
      </c>
      <c r="AM255" s="295">
        <f>AM254</f>
        <v>332.9</v>
      </c>
      <c r="AN255" s="295"/>
      <c r="AO255" s="295">
        <f>AO254</f>
        <v>333.2</v>
      </c>
      <c r="AP255" s="295">
        <f>AP254</f>
        <v>334.3</v>
      </c>
      <c r="AQ255" s="295"/>
      <c r="AR255" s="295">
        <f>AR254</f>
        <v>334.4</v>
      </c>
      <c r="AS255" s="295">
        <f>AS254</f>
        <v>336.8</v>
      </c>
      <c r="AT255" s="295">
        <f>AT254</f>
        <v>336.8</v>
      </c>
      <c r="AU255" s="295">
        <f t="shared" ref="AU255" si="342">AU254</f>
        <v>336.8</v>
      </c>
    </row>
    <row r="256" spans="1:47">
      <c r="B256" s="409"/>
      <c r="C256" s="539"/>
      <c r="D256" s="539"/>
      <c r="E256" s="539"/>
      <c r="F256" s="539"/>
      <c r="G256" s="539"/>
      <c r="H256" s="539"/>
      <c r="I256" s="539"/>
      <c r="J256" s="539"/>
      <c r="K256" s="539"/>
      <c r="L256" s="539"/>
      <c r="M256" s="539"/>
      <c r="N256" s="539"/>
      <c r="O256" s="539"/>
      <c r="P256" s="539"/>
      <c r="Q256" s="539"/>
      <c r="R256" s="539"/>
      <c r="S256" s="539"/>
      <c r="T256" s="539"/>
      <c r="U256" s="539"/>
      <c r="V256" s="539"/>
      <c r="W256" s="539"/>
      <c r="X256" s="539"/>
      <c r="Y256" s="539"/>
      <c r="Z256" s="539"/>
      <c r="AA256" s="198"/>
      <c r="AB256" s="198"/>
      <c r="AC256" s="198"/>
      <c r="AD256" s="198"/>
      <c r="AE256" s="198"/>
      <c r="AF256" s="198"/>
      <c r="AG256" s="198"/>
      <c r="AH256" s="198"/>
      <c r="AI256" s="198"/>
      <c r="AJ256" s="198"/>
      <c r="AK256" s="198"/>
      <c r="AL256" s="198"/>
      <c r="AM256" s="198"/>
      <c r="AN256" s="198"/>
      <c r="AO256" s="198"/>
      <c r="AP256" s="198"/>
      <c r="AQ256" s="198"/>
      <c r="AR256" s="198"/>
      <c r="AS256" s="198"/>
      <c r="AT256" s="198"/>
      <c r="AU256" s="198"/>
    </row>
    <row r="257" spans="2:47">
      <c r="B257" s="301" t="s">
        <v>118</v>
      </c>
      <c r="C257" s="497"/>
      <c r="D257" s="497"/>
      <c r="E257" s="497"/>
      <c r="F257" s="497"/>
      <c r="G257" s="497"/>
      <c r="H257" s="497"/>
      <c r="I257" s="497"/>
      <c r="J257" s="497"/>
      <c r="K257" s="497"/>
      <c r="L257" s="497"/>
      <c r="M257" s="497"/>
      <c r="N257" s="497"/>
      <c r="O257" s="497"/>
      <c r="P257" s="497"/>
      <c r="Q257" s="497"/>
      <c r="R257" s="497"/>
      <c r="S257" s="497"/>
      <c r="T257" s="497"/>
      <c r="U257" s="497"/>
      <c r="V257" s="497"/>
      <c r="W257" s="497"/>
      <c r="X257" s="497"/>
      <c r="Y257" s="497"/>
      <c r="Z257" s="497"/>
      <c r="AA257" s="303"/>
      <c r="AB257" s="303"/>
      <c r="AC257" s="303"/>
      <c r="AD257" s="303"/>
      <c r="AE257" s="303"/>
      <c r="AF257" s="303"/>
      <c r="AG257" s="303"/>
      <c r="AH257" s="303"/>
      <c r="AI257" s="303"/>
      <c r="AJ257" s="303"/>
      <c r="AK257" s="303"/>
      <c r="AL257" s="303"/>
      <c r="AM257" s="303"/>
      <c r="AN257" s="303"/>
      <c r="AO257" s="303"/>
      <c r="AP257" s="303"/>
      <c r="AQ257" s="303"/>
      <c r="AR257" s="303"/>
      <c r="AS257" s="303"/>
      <c r="AT257" s="303"/>
      <c r="AU257" s="303"/>
    </row>
    <row r="258" spans="2:47">
      <c r="B258" s="380" t="s">
        <v>146</v>
      </c>
      <c r="C258" s="511"/>
      <c r="D258" s="511"/>
      <c r="E258" s="511"/>
      <c r="F258" s="511"/>
      <c r="G258" s="511"/>
      <c r="H258" s="511"/>
      <c r="I258" s="511"/>
      <c r="J258" s="511"/>
      <c r="K258" s="511"/>
      <c r="L258" s="511"/>
      <c r="M258" s="511"/>
      <c r="N258" s="511"/>
      <c r="O258" s="511"/>
      <c r="P258" s="511"/>
      <c r="Q258" s="511"/>
      <c r="R258" s="511"/>
      <c r="S258" s="511"/>
      <c r="T258" s="511"/>
      <c r="U258" s="511"/>
      <c r="V258" s="511"/>
      <c r="W258" s="511"/>
      <c r="X258" s="511"/>
      <c r="Y258" s="511"/>
      <c r="Z258" s="511"/>
      <c r="AA258" s="295"/>
      <c r="AB258" s="295"/>
      <c r="AC258" s="295"/>
      <c r="AD258" s="295"/>
      <c r="AE258" s="295"/>
      <c r="AF258" s="295"/>
      <c r="AG258" s="295"/>
      <c r="AH258" s="295"/>
      <c r="AI258" s="295"/>
      <c r="AJ258" s="295"/>
      <c r="AK258" s="295"/>
      <c r="AL258" s="295"/>
      <c r="AM258" s="295"/>
      <c r="AN258" s="295"/>
      <c r="AO258" s="295"/>
      <c r="AP258" s="295"/>
      <c r="AQ258" s="295"/>
      <c r="AR258" s="295"/>
      <c r="AS258" s="295"/>
      <c r="AT258" s="295"/>
      <c r="AU258" s="295"/>
    </row>
    <row r="259" spans="2:47">
      <c r="B259" s="409" t="s">
        <v>147</v>
      </c>
      <c r="C259" s="511"/>
      <c r="D259" s="511"/>
      <c r="E259" s="511"/>
      <c r="F259" s="511"/>
      <c r="G259" s="511"/>
      <c r="H259" s="511"/>
      <c r="I259" s="511"/>
      <c r="J259" s="511"/>
      <c r="K259" s="511"/>
      <c r="L259" s="511"/>
      <c r="M259" s="511"/>
      <c r="N259" s="523">
        <f>N40</f>
        <v>11.870000000000006</v>
      </c>
      <c r="O259" s="511"/>
      <c r="P259" s="511"/>
      <c r="Q259" s="523">
        <f>Q40</f>
        <v>15.7</v>
      </c>
      <c r="R259" s="523">
        <f>R40</f>
        <v>15.099999999999998</v>
      </c>
      <c r="S259" s="523">
        <f>T259-R259</f>
        <v>18.500000000000004</v>
      </c>
      <c r="T259" s="523">
        <f>T40</f>
        <v>33.6</v>
      </c>
      <c r="U259" s="523">
        <f>U40</f>
        <v>16.800000000000004</v>
      </c>
      <c r="V259" s="523">
        <f>W259-U259</f>
        <v>28.1</v>
      </c>
      <c r="W259" s="523">
        <f>W40</f>
        <v>44.900000000000006</v>
      </c>
      <c r="X259" s="523">
        <f>X40</f>
        <v>27.5</v>
      </c>
      <c r="Y259" s="523">
        <f>Z259-X259</f>
        <v>35.399999999999984</v>
      </c>
      <c r="Z259" s="523">
        <f>Z40</f>
        <v>62.899999999999984</v>
      </c>
      <c r="AA259" s="295">
        <f>AA40</f>
        <v>18.699999999999992</v>
      </c>
      <c r="AB259" s="311">
        <f>AC259-AA259</f>
        <v>16.900000000000031</v>
      </c>
      <c r="AC259" s="295">
        <f>AC40</f>
        <v>35.600000000000023</v>
      </c>
      <c r="AD259" s="295">
        <f>AD40</f>
        <v>31.300000000000008</v>
      </c>
      <c r="AE259" s="311">
        <f>AF259-AD259</f>
        <v>47.899999999999991</v>
      </c>
      <c r="AF259" s="295">
        <f>AF40</f>
        <v>79.2</v>
      </c>
      <c r="AG259" s="295">
        <f>AG40</f>
        <v>57.000000000000007</v>
      </c>
      <c r="AH259" s="311">
        <f>AI259-AG259</f>
        <v>81.899999999999977</v>
      </c>
      <c r="AI259" s="295">
        <f t="shared" ref="AI259:AT259" si="343">AI40</f>
        <v>138.89999999999998</v>
      </c>
      <c r="AJ259" s="295">
        <f>AJ40</f>
        <v>82.299999999999983</v>
      </c>
      <c r="AK259" s="311">
        <f>AL259-AJ259</f>
        <v>85.30000000000004</v>
      </c>
      <c r="AL259" s="295">
        <f t="shared" si="343"/>
        <v>167.60000000000002</v>
      </c>
      <c r="AM259" s="295">
        <f>AM40</f>
        <v>83.699999999999989</v>
      </c>
      <c r="AN259" s="311">
        <f>AO259-AM259</f>
        <v>102.10000000000002</v>
      </c>
      <c r="AO259" s="295">
        <f t="shared" ref="AO259" si="344">AO40</f>
        <v>185.8</v>
      </c>
      <c r="AP259" s="295">
        <f>AP40</f>
        <v>112</v>
      </c>
      <c r="AQ259" s="311">
        <f>AR259-AP259</f>
        <v>129.89999999999992</v>
      </c>
      <c r="AR259" s="295">
        <f t="shared" ref="AR259" si="345">AR40</f>
        <v>241.89999999999992</v>
      </c>
      <c r="AS259" s="295">
        <f t="shared" si="343"/>
        <v>289.96523855181772</v>
      </c>
      <c r="AT259" s="295">
        <f t="shared" si="343"/>
        <v>376.7895981462774</v>
      </c>
      <c r="AU259" s="295">
        <f t="shared" ref="AU259" si="346">AU40</f>
        <v>472.42895732305271</v>
      </c>
    </row>
    <row r="260" spans="2:47">
      <c r="B260" s="409" t="s">
        <v>148</v>
      </c>
      <c r="C260" s="511"/>
      <c r="D260" s="511"/>
      <c r="E260" s="511"/>
      <c r="F260" s="511"/>
      <c r="G260" s="511"/>
      <c r="H260" s="511"/>
      <c r="I260" s="511"/>
      <c r="J260" s="511"/>
      <c r="K260" s="511"/>
      <c r="L260" s="511"/>
      <c r="M260" s="511"/>
      <c r="N260" s="511"/>
      <c r="O260" s="511"/>
      <c r="P260" s="511"/>
      <c r="Q260" s="511"/>
      <c r="R260" s="511"/>
      <c r="S260" s="511"/>
      <c r="T260" s="511"/>
      <c r="U260" s="511"/>
      <c r="V260" s="511"/>
      <c r="W260" s="511"/>
      <c r="X260" s="511"/>
      <c r="Y260" s="511"/>
      <c r="Z260" s="511"/>
      <c r="AA260" s="295"/>
      <c r="AB260" s="311"/>
      <c r="AC260" s="295"/>
      <c r="AD260" s="295"/>
      <c r="AE260" s="311"/>
      <c r="AF260" s="295"/>
      <c r="AG260" s="295"/>
      <c r="AH260" s="311"/>
      <c r="AI260" s="295"/>
      <c r="AJ260" s="295"/>
      <c r="AK260" s="311"/>
      <c r="AL260" s="295"/>
      <c r="AM260" s="295"/>
      <c r="AN260" s="311"/>
      <c r="AO260" s="295"/>
      <c r="AP260" s="295"/>
      <c r="AQ260" s="311"/>
      <c r="AR260" s="295"/>
      <c r="AS260" s="295"/>
      <c r="AT260" s="295"/>
      <c r="AU260" s="295"/>
    </row>
    <row r="261" spans="2:47">
      <c r="B261" s="409" t="s">
        <v>149</v>
      </c>
      <c r="C261" s="526"/>
      <c r="D261" s="526"/>
      <c r="E261" s="511"/>
      <c r="F261" s="511"/>
      <c r="G261" s="511"/>
      <c r="H261" s="511"/>
      <c r="I261" s="511"/>
      <c r="J261" s="511"/>
      <c r="K261" s="511"/>
      <c r="L261" s="511"/>
      <c r="M261" s="511"/>
      <c r="N261" s="511"/>
      <c r="O261" s="526"/>
      <c r="P261" s="526"/>
      <c r="Q261" s="511"/>
      <c r="R261" s="511"/>
      <c r="S261" s="526"/>
      <c r="T261" s="511"/>
      <c r="U261" s="511"/>
      <c r="V261" s="526"/>
      <c r="W261" s="511"/>
      <c r="X261" s="511"/>
      <c r="Y261" s="526"/>
      <c r="Z261" s="511"/>
      <c r="AA261" s="295"/>
      <c r="AB261" s="412"/>
      <c r="AC261" s="295"/>
      <c r="AD261" s="295"/>
      <c r="AE261" s="412"/>
      <c r="AF261" s="295"/>
      <c r="AG261" s="295"/>
      <c r="AH261" s="412"/>
      <c r="AI261" s="295"/>
      <c r="AJ261" s="295"/>
      <c r="AK261" s="412"/>
      <c r="AL261" s="295"/>
      <c r="AM261" s="295"/>
      <c r="AN261" s="412"/>
      <c r="AO261" s="295"/>
      <c r="AP261" s="295"/>
      <c r="AQ261" s="412"/>
      <c r="AR261" s="295"/>
      <c r="AS261" s="295"/>
      <c r="AT261" s="295"/>
      <c r="AU261" s="295"/>
    </row>
    <row r="262" spans="2:47">
      <c r="B262" s="409" t="s">
        <v>150</v>
      </c>
      <c r="C262" s="511"/>
      <c r="D262" s="511"/>
      <c r="E262" s="511"/>
      <c r="F262" s="511"/>
      <c r="G262" s="511"/>
      <c r="H262" s="511"/>
      <c r="I262" s="511"/>
      <c r="J262" s="511"/>
      <c r="K262" s="511"/>
      <c r="L262" s="511"/>
      <c r="M262" s="511"/>
      <c r="N262" s="523">
        <f>SUM(N259:N261)</f>
        <v>11.870000000000006</v>
      </c>
      <c r="O262" s="511"/>
      <c r="P262" s="511"/>
      <c r="Q262" s="523">
        <f t="shared" ref="Q262:Z262" si="347">SUM(Q259:Q261)</f>
        <v>15.7</v>
      </c>
      <c r="R262" s="523">
        <f>SUM(R259:R261)</f>
        <v>15.099999999999998</v>
      </c>
      <c r="S262" s="523">
        <f>T262-R262</f>
        <v>18.500000000000004</v>
      </c>
      <c r="T262" s="523">
        <f t="shared" si="347"/>
        <v>33.6</v>
      </c>
      <c r="U262" s="523">
        <f>SUM(U259:U261)</f>
        <v>16.800000000000004</v>
      </c>
      <c r="V262" s="523">
        <f>W262-U262</f>
        <v>28.1</v>
      </c>
      <c r="W262" s="523">
        <f t="shared" si="347"/>
        <v>44.900000000000006</v>
      </c>
      <c r="X262" s="523">
        <f t="shared" si="347"/>
        <v>27.5</v>
      </c>
      <c r="Y262" s="523">
        <f>Z262-X262</f>
        <v>35.399999999999984</v>
      </c>
      <c r="Z262" s="523">
        <f t="shared" si="347"/>
        <v>62.899999999999984</v>
      </c>
      <c r="AA262" s="295">
        <f>SUM(AA259:AA261)</f>
        <v>18.699999999999992</v>
      </c>
      <c r="AB262" s="311">
        <f>AC262-AA262</f>
        <v>16.900000000000031</v>
      </c>
      <c r="AC262" s="295">
        <f t="shared" ref="AC262:AT262" si="348">SUM(AC259:AC261)</f>
        <v>35.600000000000023</v>
      </c>
      <c r="AD262" s="295">
        <f>SUM(AD259:AD261)</f>
        <v>31.300000000000008</v>
      </c>
      <c r="AE262" s="311">
        <f>AF262-AD262</f>
        <v>47.899999999999991</v>
      </c>
      <c r="AF262" s="295">
        <f t="shared" si="348"/>
        <v>79.2</v>
      </c>
      <c r="AG262" s="295">
        <f>SUM(AG259:AG261)</f>
        <v>57.000000000000007</v>
      </c>
      <c r="AH262" s="311">
        <f>AI262-AG262</f>
        <v>81.899999999999977</v>
      </c>
      <c r="AI262" s="295">
        <f t="shared" si="348"/>
        <v>138.89999999999998</v>
      </c>
      <c r="AJ262" s="295">
        <f>SUM(AJ259:AJ261)</f>
        <v>82.299999999999983</v>
      </c>
      <c r="AK262" s="311">
        <f>AL262-AJ262</f>
        <v>85.30000000000004</v>
      </c>
      <c r="AL262" s="295">
        <f t="shared" si="348"/>
        <v>167.60000000000002</v>
      </c>
      <c r="AM262" s="295">
        <f>SUM(AM259:AM261)</f>
        <v>83.699999999999989</v>
      </c>
      <c r="AN262" s="311">
        <f>AO262-AM262</f>
        <v>102.10000000000002</v>
      </c>
      <c r="AO262" s="295">
        <f t="shared" ref="AO262" si="349">SUM(AO259:AO261)</f>
        <v>185.8</v>
      </c>
      <c r="AP262" s="295">
        <f>SUM(AP259:AP261)</f>
        <v>112</v>
      </c>
      <c r="AQ262" s="311">
        <f>AR262-AP262</f>
        <v>129.89999999999992</v>
      </c>
      <c r="AR262" s="295">
        <f t="shared" ref="AR262" si="350">SUM(AR259:AR261)</f>
        <v>241.89999999999992</v>
      </c>
      <c r="AS262" s="295">
        <f t="shared" si="348"/>
        <v>289.96523855181772</v>
      </c>
      <c r="AT262" s="295">
        <f t="shared" si="348"/>
        <v>376.7895981462774</v>
      </c>
      <c r="AU262" s="295">
        <f t="shared" ref="AU262" si="351">SUM(AU259:AU261)</f>
        <v>472.42895732305271</v>
      </c>
    </row>
    <row r="263" spans="2:47">
      <c r="B263" s="409" t="s">
        <v>209</v>
      </c>
      <c r="C263" s="511"/>
      <c r="D263" s="511"/>
      <c r="E263" s="511"/>
      <c r="F263" s="511"/>
      <c r="G263" s="511"/>
      <c r="H263" s="511"/>
      <c r="I263" s="511"/>
      <c r="J263" s="511"/>
      <c r="K263" s="511"/>
      <c r="L263" s="511"/>
      <c r="M263" s="511"/>
      <c r="N263" s="523">
        <f>N41</f>
        <v>-1.47</v>
      </c>
      <c r="O263" s="511"/>
      <c r="P263" s="511"/>
      <c r="Q263" s="523">
        <f>Q41</f>
        <v>-1.5</v>
      </c>
      <c r="R263" s="523">
        <f>R41</f>
        <v>-0.7</v>
      </c>
      <c r="S263" s="523">
        <f>T263-R263</f>
        <v>-1</v>
      </c>
      <c r="T263" s="523">
        <f>T41</f>
        <v>-1.7</v>
      </c>
      <c r="U263" s="523">
        <f>U41</f>
        <v>-1.3</v>
      </c>
      <c r="V263" s="523">
        <f>W263-U263</f>
        <v>-2.7</v>
      </c>
      <c r="W263" s="523">
        <f>W41</f>
        <v>-4</v>
      </c>
      <c r="X263" s="523">
        <f>X41</f>
        <v>-4.5</v>
      </c>
      <c r="Y263" s="523">
        <f>Z263-X263</f>
        <v>-4.2999999999999989</v>
      </c>
      <c r="Z263" s="523">
        <f>Z41</f>
        <v>-8.7999999999999989</v>
      </c>
      <c r="AA263" s="295">
        <f>AA41</f>
        <v>22.4</v>
      </c>
      <c r="AB263" s="311">
        <f>AC263-AA263</f>
        <v>47.300000000000004</v>
      </c>
      <c r="AC263" s="295">
        <f>AC41</f>
        <v>69.7</v>
      </c>
      <c r="AD263" s="295">
        <f>AD41</f>
        <v>0.6</v>
      </c>
      <c r="AE263" s="311">
        <f>AF263-AD263</f>
        <v>1.1000000000000001</v>
      </c>
      <c r="AF263" s="295">
        <f>AF41</f>
        <v>1.7</v>
      </c>
      <c r="AG263" s="295">
        <f>AG41</f>
        <v>0.1</v>
      </c>
      <c r="AH263" s="311">
        <f>AI263-AG263</f>
        <v>2.9</v>
      </c>
      <c r="AI263" s="295">
        <f t="shared" ref="AI263:AT263" si="352">AI41</f>
        <v>3</v>
      </c>
      <c r="AJ263" s="295">
        <f>AJ41</f>
        <v>-8.5</v>
      </c>
      <c r="AK263" s="311">
        <f>AL263-AJ263</f>
        <v>-15.399999999999999</v>
      </c>
      <c r="AL263" s="295">
        <f t="shared" si="352"/>
        <v>-23.9</v>
      </c>
      <c r="AM263" s="295">
        <f>AM41</f>
        <v>-6.7</v>
      </c>
      <c r="AN263" s="311">
        <f>AO263-AM263</f>
        <v>-6.9000000000000012</v>
      </c>
      <c r="AO263" s="295">
        <f t="shared" ref="AO263" si="353">AO41</f>
        <v>-13.600000000000001</v>
      </c>
      <c r="AP263" s="295">
        <f>AP41</f>
        <v>-5.6000000000000005</v>
      </c>
      <c r="AQ263" s="311">
        <f>AR263-AP263</f>
        <v>-35.4</v>
      </c>
      <c r="AR263" s="295">
        <f t="shared" ref="AR263" si="354">AR41</f>
        <v>-41</v>
      </c>
      <c r="AS263" s="295">
        <f t="shared" si="352"/>
        <v>0</v>
      </c>
      <c r="AT263" s="295">
        <f t="shared" si="352"/>
        <v>0</v>
      </c>
      <c r="AU263" s="295">
        <f t="shared" ref="AU263" si="355">AU41</f>
        <v>0</v>
      </c>
    </row>
    <row r="264" spans="2:47">
      <c r="B264" s="409" t="s">
        <v>145</v>
      </c>
      <c r="C264" s="511"/>
      <c r="D264" s="511"/>
      <c r="E264" s="511"/>
      <c r="F264" s="511"/>
      <c r="G264" s="511"/>
      <c r="H264" s="511"/>
      <c r="I264" s="511"/>
      <c r="J264" s="511"/>
      <c r="K264" s="511"/>
      <c r="L264" s="511"/>
      <c r="M264" s="511"/>
      <c r="N264" s="523">
        <f>SUM(N262:N263)</f>
        <v>10.400000000000006</v>
      </c>
      <c r="O264" s="511"/>
      <c r="P264" s="511"/>
      <c r="Q264" s="523">
        <f t="shared" ref="Q264:Z264" si="356">SUM(Q262:Q263)</f>
        <v>14.2</v>
      </c>
      <c r="R264" s="523">
        <f>SUM(R262:R263)</f>
        <v>14.399999999999999</v>
      </c>
      <c r="S264" s="523">
        <f>T264-R264</f>
        <v>17.500000000000004</v>
      </c>
      <c r="T264" s="523">
        <f t="shared" si="356"/>
        <v>31.900000000000002</v>
      </c>
      <c r="U264" s="523">
        <f>SUM(U262:U263)</f>
        <v>15.500000000000004</v>
      </c>
      <c r="V264" s="523">
        <f>W264-U264</f>
        <v>25.400000000000002</v>
      </c>
      <c r="W264" s="523">
        <f t="shared" si="356"/>
        <v>40.900000000000006</v>
      </c>
      <c r="X264" s="523">
        <f t="shared" si="356"/>
        <v>23</v>
      </c>
      <c r="Y264" s="523">
        <f>Z264-X264</f>
        <v>31.099999999999987</v>
      </c>
      <c r="Z264" s="523">
        <f t="shared" si="356"/>
        <v>54.099999999999987</v>
      </c>
      <c r="AA264" s="295">
        <f>SUM(AA262:AA263)</f>
        <v>41.099999999999994</v>
      </c>
      <c r="AB264" s="311">
        <f>AC264-AA264</f>
        <v>64.200000000000031</v>
      </c>
      <c r="AC264" s="295">
        <f t="shared" ref="AC264:AT264" si="357">SUM(AC262:AC263)</f>
        <v>105.30000000000003</v>
      </c>
      <c r="AD264" s="295">
        <f>SUM(AD262:AD263)</f>
        <v>31.900000000000009</v>
      </c>
      <c r="AE264" s="311">
        <f>AF264-AD264</f>
        <v>49</v>
      </c>
      <c r="AF264" s="295">
        <f t="shared" si="357"/>
        <v>80.900000000000006</v>
      </c>
      <c r="AG264" s="295">
        <f>SUM(AG262:AG263)</f>
        <v>57.100000000000009</v>
      </c>
      <c r="AH264" s="311">
        <f>AI264-AG264</f>
        <v>84.799999999999969</v>
      </c>
      <c r="AI264" s="295">
        <f t="shared" si="357"/>
        <v>141.89999999999998</v>
      </c>
      <c r="AJ264" s="295">
        <f>SUM(AJ262:AJ263)</f>
        <v>73.799999999999983</v>
      </c>
      <c r="AK264" s="311">
        <f>AL264-AJ264</f>
        <v>69.900000000000034</v>
      </c>
      <c r="AL264" s="295">
        <f t="shared" si="357"/>
        <v>143.70000000000002</v>
      </c>
      <c r="AM264" s="295">
        <f>SUM(AM262:AM263)</f>
        <v>76.999999999999986</v>
      </c>
      <c r="AN264" s="311">
        <f>AO264-AM264</f>
        <v>95.200000000000031</v>
      </c>
      <c r="AO264" s="295">
        <f t="shared" ref="AO264" si="358">SUM(AO262:AO263)</f>
        <v>172.20000000000002</v>
      </c>
      <c r="AP264" s="295">
        <f>SUM(AP262:AP263)</f>
        <v>106.4</v>
      </c>
      <c r="AQ264" s="311">
        <f>AR264-AP264</f>
        <v>94.499999999999915</v>
      </c>
      <c r="AR264" s="295">
        <f t="shared" ref="AR264" si="359">SUM(AR262:AR263)</f>
        <v>200.89999999999992</v>
      </c>
      <c r="AS264" s="295">
        <f t="shared" si="357"/>
        <v>289.96523855181772</v>
      </c>
      <c r="AT264" s="295">
        <f t="shared" si="357"/>
        <v>376.7895981462774</v>
      </c>
      <c r="AU264" s="295">
        <f t="shared" ref="AU264" si="360">SUM(AU262:AU263)</f>
        <v>472.42895732305271</v>
      </c>
    </row>
    <row r="265" spans="2:47">
      <c r="B265" s="409"/>
      <c r="C265" s="539"/>
      <c r="D265" s="539"/>
      <c r="E265" s="539"/>
      <c r="F265" s="539"/>
      <c r="G265" s="539"/>
      <c r="H265" s="539"/>
      <c r="I265" s="539"/>
      <c r="J265" s="539"/>
      <c r="K265" s="539"/>
      <c r="L265" s="539"/>
      <c r="M265" s="539"/>
      <c r="N265" s="539"/>
      <c r="O265" s="539"/>
      <c r="P265" s="539"/>
      <c r="Q265" s="539"/>
      <c r="R265" s="539"/>
      <c r="S265" s="539"/>
      <c r="T265" s="539"/>
      <c r="U265" s="539"/>
      <c r="V265" s="539"/>
      <c r="W265" s="539"/>
      <c r="X265" s="539"/>
      <c r="Y265" s="539"/>
      <c r="Z265" s="539"/>
      <c r="AA265" s="198"/>
      <c r="AC265" s="198"/>
      <c r="AD265" s="198"/>
      <c r="AF265" s="198"/>
      <c r="AG265" s="198"/>
      <c r="AI265" s="198"/>
      <c r="AJ265" s="198"/>
      <c r="AL265" s="198"/>
      <c r="AM265" s="198"/>
      <c r="AO265" s="198"/>
      <c r="AP265" s="198"/>
      <c r="AR265" s="198"/>
      <c r="AS265" s="198"/>
      <c r="AT265" s="198"/>
      <c r="AU265" s="198"/>
    </row>
    <row r="266" spans="2:47">
      <c r="B266" s="380" t="s">
        <v>119</v>
      </c>
      <c r="C266" s="589"/>
      <c r="D266" s="589"/>
      <c r="E266" s="590"/>
      <c r="F266" s="590"/>
      <c r="G266" s="590"/>
      <c r="H266" s="590"/>
      <c r="I266" s="590"/>
      <c r="J266" s="590"/>
      <c r="K266" s="590"/>
      <c r="L266" s="590"/>
      <c r="M266" s="590"/>
      <c r="N266" s="590"/>
      <c r="O266" s="589"/>
      <c r="P266" s="589"/>
      <c r="Q266" s="590"/>
      <c r="R266" s="590"/>
      <c r="S266" s="589"/>
      <c r="T266" s="590"/>
      <c r="U266" s="590"/>
      <c r="V266" s="589"/>
      <c r="W266" s="590"/>
      <c r="X266" s="590"/>
      <c r="Y266" s="589"/>
      <c r="Z266" s="590"/>
      <c r="AA266" s="478"/>
      <c r="AB266" s="477"/>
      <c r="AC266" s="478"/>
      <c r="AD266" s="478"/>
      <c r="AE266" s="477"/>
      <c r="AF266" s="478"/>
      <c r="AG266" s="478"/>
      <c r="AH266" s="477"/>
      <c r="AI266" s="478"/>
      <c r="AJ266" s="478"/>
      <c r="AK266" s="477"/>
      <c r="AL266" s="478"/>
      <c r="AM266" s="478"/>
      <c r="AN266" s="477"/>
      <c r="AO266" s="478"/>
      <c r="AP266" s="478"/>
      <c r="AQ266" s="477"/>
      <c r="AR266" s="478"/>
      <c r="AS266" s="478"/>
      <c r="AT266" s="478"/>
      <c r="AU266" s="478"/>
    </row>
    <row r="267" spans="2:47">
      <c r="B267" s="479" t="s">
        <v>212</v>
      </c>
      <c r="C267" s="511"/>
      <c r="D267" s="511"/>
      <c r="E267" s="511"/>
      <c r="F267" s="511"/>
      <c r="G267" s="511"/>
      <c r="H267" s="511"/>
      <c r="I267" s="511"/>
      <c r="J267" s="511"/>
      <c r="K267" s="511"/>
      <c r="L267" s="511"/>
      <c r="M267" s="511"/>
      <c r="N267" s="523">
        <f>N262*100/N254</f>
        <v>4.8657887165991607</v>
      </c>
      <c r="O267" s="511"/>
      <c r="P267" s="511"/>
      <c r="Q267" s="523">
        <f t="shared" ref="Q267:Z267" si="361">Q262*100/Q252</f>
        <v>5.9952189007546961</v>
      </c>
      <c r="R267" s="523">
        <f t="shared" si="361"/>
        <v>5.1533334260478298</v>
      </c>
      <c r="S267" s="523">
        <f t="shared" si="361"/>
        <v>6.3149922144509114</v>
      </c>
      <c r="T267" s="523">
        <f t="shared" si="361"/>
        <v>11.469391265164894</v>
      </c>
      <c r="U267" s="523">
        <f t="shared" si="361"/>
        <v>5.733510036927389</v>
      </c>
      <c r="V267" s="523">
        <f t="shared" si="361"/>
        <v>9.5735009092560261</v>
      </c>
      <c r="W267" s="523">
        <f t="shared" si="361"/>
        <v>15.297159815857496</v>
      </c>
      <c r="X267" s="523">
        <f t="shared" si="361"/>
        <v>9.1119946984758116</v>
      </c>
      <c r="Y267" s="523">
        <f t="shared" si="361"/>
        <v>11.553524804177542</v>
      </c>
      <c r="Z267" s="523">
        <f t="shared" si="361"/>
        <v>20.528720626631848</v>
      </c>
      <c r="AA267" s="295">
        <f t="shared" ref="AA267:AN267" si="362">AA262*100/AA252</f>
        <v>5.8583959899749356</v>
      </c>
      <c r="AB267" s="311">
        <f t="shared" si="362"/>
        <v>5.2862058179543414</v>
      </c>
      <c r="AC267" s="295">
        <f t="shared" si="362"/>
        <v>11.135439474507358</v>
      </c>
      <c r="AD267" s="295">
        <f t="shared" si="362"/>
        <v>9.6366995073891655</v>
      </c>
      <c r="AE267" s="311">
        <f t="shared" si="362"/>
        <v>14.742997845490919</v>
      </c>
      <c r="AF267" s="295">
        <f t="shared" si="362"/>
        <v>24.37673130193906</v>
      </c>
      <c r="AG267" s="295">
        <f t="shared" si="362"/>
        <v>17.500767577525334</v>
      </c>
      <c r="AH267" s="311">
        <f t="shared" si="362"/>
        <v>25.122699386503061</v>
      </c>
      <c r="AI267" s="295">
        <f t="shared" si="362"/>
        <v>42.607361963190179</v>
      </c>
      <c r="AJ267" s="295">
        <f t="shared" si="362"/>
        <v>25.175894769042518</v>
      </c>
      <c r="AK267" s="311">
        <f t="shared" si="362"/>
        <v>26.045801526717568</v>
      </c>
      <c r="AL267" s="295">
        <f t="shared" si="362"/>
        <v>51.175572519083978</v>
      </c>
      <c r="AM267" s="295">
        <f t="shared" si="362"/>
        <v>25.302297460701325</v>
      </c>
      <c r="AN267" s="311">
        <f t="shared" si="362"/>
        <v>30.845921450151064</v>
      </c>
      <c r="AO267" s="295">
        <f>AO262*100/AO252</f>
        <v>56.132930513595163</v>
      </c>
      <c r="AP267" s="295">
        <f t="shared" ref="AP267:AQ267" si="363">AP262*100/AP252</f>
        <v>33.724781692261367</v>
      </c>
      <c r="AQ267" s="311">
        <f t="shared" si="363"/>
        <v>39.102950030102328</v>
      </c>
      <c r="AR267" s="295">
        <f>AR262*100/AR252</f>
        <v>72.817579771222142</v>
      </c>
      <c r="AS267" s="295">
        <f t="shared" ref="AS267:AT267" si="364">AS262*100/AS252</f>
        <v>86.660262567787711</v>
      </c>
      <c r="AT267" s="295">
        <f t="shared" si="364"/>
        <v>112.60896537545648</v>
      </c>
      <c r="AU267" s="295">
        <f t="shared" ref="AU267" si="365">AU262*100/AU254</f>
        <v>140.26988044033632</v>
      </c>
    </row>
    <row r="268" spans="2:47" ht="12" customHeight="1">
      <c r="B268" s="409" t="s">
        <v>91</v>
      </c>
      <c r="C268" s="511"/>
      <c r="D268" s="511"/>
      <c r="E268" s="511"/>
      <c r="F268" s="511"/>
      <c r="G268" s="511"/>
      <c r="H268" s="511"/>
      <c r="I268" s="511"/>
      <c r="J268" s="511"/>
      <c r="K268" s="511"/>
      <c r="L268" s="511"/>
      <c r="M268" s="511"/>
      <c r="N268" s="523">
        <f>(N262-N260-N261)*100/N254</f>
        <v>4.8657887165991607</v>
      </c>
      <c r="O268" s="511"/>
      <c r="P268" s="511"/>
      <c r="Q268" s="523">
        <f t="shared" ref="Q268:Z268" si="366">(Q262-Q260-Q261)*100/Q254</f>
        <v>5.9952189007546961</v>
      </c>
      <c r="R268" s="523">
        <f>(R262-R260-R261)*100/R254</f>
        <v>5.1508175759703967</v>
      </c>
      <c r="S268" s="523">
        <f>T268-R268</f>
        <v>6.3054025436247674</v>
      </c>
      <c r="T268" s="523">
        <f t="shared" si="366"/>
        <v>11.456220119595164</v>
      </c>
      <c r="U268" s="523">
        <f>(U262-U260-U261)*100/U254</f>
        <v>5.7307109454505101</v>
      </c>
      <c r="V268" s="523">
        <f>W268-U268</f>
        <v>9.5600686160544122</v>
      </c>
      <c r="W268" s="523">
        <f t="shared" si="366"/>
        <v>15.290779561504921</v>
      </c>
      <c r="X268" s="523">
        <f t="shared" si="366"/>
        <v>9.1089764822789014</v>
      </c>
      <c r="Y268" s="523">
        <f>Z268-X268</f>
        <v>11.419744144352947</v>
      </c>
      <c r="Z268" s="523">
        <f t="shared" si="366"/>
        <v>20.528720626631848</v>
      </c>
      <c r="AA268" s="295">
        <f>(AA262-AA260-AA261)*100/AA254</f>
        <v>5.8565612276855594</v>
      </c>
      <c r="AB268" s="311">
        <f>AC268-AA268</f>
        <v>5.2753962457353358</v>
      </c>
      <c r="AC268" s="295">
        <f t="shared" ref="AC268:AT268" si="367">(AC262-AC260-AC261)*100/AC254</f>
        <v>11.131957473420895</v>
      </c>
      <c r="AD268" s="295">
        <f>(AD262-AD260-AD261)*100/AD254</f>
        <v>9.6366995073891655</v>
      </c>
      <c r="AE268" s="311">
        <f>AF268-AD268</f>
        <v>14.732531261841602</v>
      </c>
      <c r="AF268" s="295">
        <f t="shared" si="367"/>
        <v>24.369230769230768</v>
      </c>
      <c r="AG268" s="295">
        <f>(AG262-AG260-AG261)*100/AG254</f>
        <v>17.500767577525334</v>
      </c>
      <c r="AH268" s="311">
        <f>AI268-AG268</f>
        <v>25.106594385664845</v>
      </c>
      <c r="AI268" s="295">
        <f t="shared" si="367"/>
        <v>42.607361963190179</v>
      </c>
      <c r="AJ268" s="295">
        <f>(AJ262-AJ260-AJ261)*100/AJ254</f>
        <v>25.168195718654427</v>
      </c>
      <c r="AK268" s="311">
        <f>AL268-AJ268</f>
        <v>25.851591191543452</v>
      </c>
      <c r="AL268" s="295">
        <f t="shared" si="367"/>
        <v>51.01978691019788</v>
      </c>
      <c r="AM268" s="295">
        <f>(AM262-AM260-AM261)*100/AM254</f>
        <v>25.142685491138476</v>
      </c>
      <c r="AN268" s="311">
        <f>AO268-AM268</f>
        <v>30.619619430830316</v>
      </c>
      <c r="AO268" s="295">
        <f t="shared" ref="AO268" si="368">(AO262-AO260-AO261)*100/AO254</f>
        <v>55.762304921968791</v>
      </c>
      <c r="AP268" s="295">
        <f>(AP262-AP260-AP261)*100/AP254</f>
        <v>33.502841758899194</v>
      </c>
      <c r="AQ268" s="311">
        <f>AR268-AP268</f>
        <v>38.835674987512277</v>
      </c>
      <c r="AR268" s="295">
        <f t="shared" ref="AR268" si="369">(AR262-AR260-AR261)*100/AR254</f>
        <v>72.338516746411472</v>
      </c>
      <c r="AS268" s="295">
        <f t="shared" si="367"/>
        <v>86.094191969067012</v>
      </c>
      <c r="AT268" s="295">
        <f t="shared" si="367"/>
        <v>111.87339612419163</v>
      </c>
      <c r="AU268" s="295">
        <f t="shared" ref="AU268" si="370">(AU262-AU260-AU261)*100/AU254</f>
        <v>140.26988044033632</v>
      </c>
    </row>
    <row r="269" spans="2:47">
      <c r="B269" s="409" t="s">
        <v>121</v>
      </c>
      <c r="C269" s="511"/>
      <c r="D269" s="511"/>
      <c r="E269" s="511"/>
      <c r="F269" s="511"/>
      <c r="G269" s="511"/>
      <c r="H269" s="511"/>
      <c r="I269" s="511"/>
      <c r="J269" s="511"/>
      <c r="K269" s="511"/>
      <c r="L269" s="511"/>
      <c r="M269" s="511"/>
      <c r="N269" s="523">
        <f>N264*100/N254</f>
        <v>4.2632015714095424</v>
      </c>
      <c r="O269" s="511"/>
      <c r="P269" s="511"/>
      <c r="Q269" s="523">
        <f t="shared" ref="Q269:Z269" si="371">Q264*100/Q254</f>
        <v>5.4224272860329101</v>
      </c>
      <c r="R269" s="523">
        <f>R264*100/R254</f>
        <v>4.9120379532432921</v>
      </c>
      <c r="S269" s="523">
        <f>T269-R269</f>
        <v>5.9645519817294979</v>
      </c>
      <c r="T269" s="523">
        <f t="shared" si="371"/>
        <v>10.87658993497279</v>
      </c>
      <c r="U269" s="523">
        <f>U264*100/U254</f>
        <v>5.2872630746716016</v>
      </c>
      <c r="V269" s="523">
        <f>W269-U269</f>
        <v>8.641308953514395</v>
      </c>
      <c r="W269" s="523">
        <f t="shared" si="371"/>
        <v>13.928572028185997</v>
      </c>
      <c r="X269" s="523">
        <f t="shared" si="371"/>
        <v>7.6184166942696265</v>
      </c>
      <c r="Y269" s="523">
        <f>Z269-X269</f>
        <v>10.038241269176847</v>
      </c>
      <c r="Z269" s="523">
        <f t="shared" si="371"/>
        <v>17.656657963446474</v>
      </c>
      <c r="AA269" s="295">
        <f>AA264*100/AA254</f>
        <v>12.871907297212649</v>
      </c>
      <c r="AB269" s="311">
        <f>AC269-AA269</f>
        <v>20.054921971080034</v>
      </c>
      <c r="AC269" s="295">
        <f t="shared" ref="AC269:AT269" si="372">AC264*100/AC254</f>
        <v>32.926829268292686</v>
      </c>
      <c r="AD269" s="295">
        <f>AD264*100/AD254</f>
        <v>9.8214285714285747</v>
      </c>
      <c r="AE269" s="311">
        <f>AF269-AD269</f>
        <v>15.070879120879122</v>
      </c>
      <c r="AF269" s="295">
        <f t="shared" si="372"/>
        <v>24.892307692307696</v>
      </c>
      <c r="AG269" s="295">
        <f>AG264*100/AG254</f>
        <v>17.531470678538536</v>
      </c>
      <c r="AH269" s="311">
        <f>AI269-AG269</f>
        <v>25.996136683424648</v>
      </c>
      <c r="AI269" s="295">
        <f t="shared" si="372"/>
        <v>43.527607361963184</v>
      </c>
      <c r="AJ269" s="295">
        <f>AJ264*100/AJ254</f>
        <v>22.568807339449535</v>
      </c>
      <c r="AK269" s="311">
        <f>AL269-AJ269</f>
        <v>21.175484897993393</v>
      </c>
      <c r="AL269" s="295">
        <f t="shared" si="372"/>
        <v>43.744292237442927</v>
      </c>
      <c r="AM269" s="295">
        <f>AM264*100/AM254</f>
        <v>23.130069089816757</v>
      </c>
      <c r="AN269" s="311">
        <f>AO269-AM269</f>
        <v>28.550603179090807</v>
      </c>
      <c r="AO269" s="295">
        <f t="shared" ref="AO269" si="373">AO264*100/AO254</f>
        <v>51.680672268907564</v>
      </c>
      <c r="AP269" s="295">
        <f>AP264*100/AP254</f>
        <v>31.827699670954232</v>
      </c>
      <c r="AQ269" s="311">
        <f>AR269-AP269</f>
        <v>28.250051525217998</v>
      </c>
      <c r="AR269" s="295">
        <f t="shared" ref="AR269" si="374">AR264*100/AR254</f>
        <v>60.07775119617223</v>
      </c>
      <c r="AS269" s="295">
        <f t="shared" si="372"/>
        <v>86.094191969067012</v>
      </c>
      <c r="AT269" s="295">
        <f t="shared" si="372"/>
        <v>111.87339612419163</v>
      </c>
      <c r="AU269" s="295">
        <f t="shared" ref="AU269" si="375">AU264*100/AU254</f>
        <v>140.26988044033632</v>
      </c>
    </row>
    <row r="270" spans="2:47">
      <c r="B270" s="409"/>
      <c r="C270" s="511"/>
      <c r="D270" s="511"/>
      <c r="E270" s="511"/>
      <c r="F270" s="511"/>
      <c r="G270" s="511"/>
      <c r="H270" s="511"/>
      <c r="I270" s="511"/>
      <c r="J270" s="511"/>
      <c r="K270" s="511"/>
      <c r="L270" s="511"/>
      <c r="M270" s="511"/>
      <c r="N270" s="511"/>
      <c r="O270" s="511"/>
      <c r="P270" s="511"/>
      <c r="Q270" s="514"/>
      <c r="R270" s="514"/>
      <c r="S270" s="511"/>
      <c r="T270" s="514"/>
      <c r="U270" s="514"/>
      <c r="V270" s="511"/>
      <c r="W270" s="514"/>
      <c r="X270" s="514"/>
      <c r="Y270" s="511"/>
      <c r="Z270" s="511"/>
      <c r="AA270" s="295"/>
      <c r="AB270" s="311"/>
      <c r="AC270" s="295"/>
      <c r="AD270" s="295"/>
      <c r="AE270" s="311"/>
      <c r="AF270" s="295"/>
      <c r="AG270" s="295"/>
      <c r="AH270" s="311"/>
      <c r="AI270" s="295"/>
      <c r="AJ270" s="295"/>
      <c r="AK270" s="311"/>
      <c r="AL270" s="295"/>
      <c r="AM270" s="295"/>
      <c r="AN270" s="311"/>
      <c r="AO270" s="295"/>
      <c r="AP270" s="295"/>
      <c r="AQ270" s="311"/>
      <c r="AR270" s="295"/>
      <c r="AS270" s="295"/>
      <c r="AT270" s="295"/>
      <c r="AU270" s="295"/>
    </row>
    <row r="271" spans="2:47">
      <c r="B271" s="380" t="s">
        <v>120</v>
      </c>
      <c r="C271" s="511"/>
      <c r="D271" s="511"/>
      <c r="E271" s="511"/>
      <c r="F271" s="511"/>
      <c r="G271" s="511"/>
      <c r="H271" s="511"/>
      <c r="I271" s="511"/>
      <c r="J271" s="511"/>
      <c r="K271" s="511"/>
      <c r="L271" s="511"/>
      <c r="M271" s="511"/>
      <c r="N271" s="511"/>
      <c r="O271" s="511"/>
      <c r="P271" s="511"/>
      <c r="Q271" s="512"/>
      <c r="R271" s="512"/>
      <c r="S271" s="511"/>
      <c r="T271" s="511"/>
      <c r="U271" s="512"/>
      <c r="V271" s="511"/>
      <c r="W271" s="512"/>
      <c r="X271" s="512"/>
      <c r="Y271" s="511"/>
      <c r="Z271" s="511"/>
      <c r="AA271" s="295"/>
      <c r="AB271" s="311"/>
      <c r="AC271" s="295"/>
      <c r="AD271" s="295"/>
      <c r="AE271" s="311"/>
      <c r="AF271" s="295"/>
      <c r="AG271" s="295"/>
      <c r="AH271" s="311"/>
      <c r="AI271" s="295"/>
      <c r="AJ271" s="295"/>
      <c r="AK271" s="311"/>
      <c r="AL271" s="295"/>
      <c r="AM271" s="295"/>
      <c r="AN271" s="311"/>
      <c r="AO271" s="295"/>
      <c r="AP271" s="295"/>
      <c r="AQ271" s="311"/>
      <c r="AR271" s="295"/>
      <c r="AS271" s="295"/>
      <c r="AT271" s="295"/>
      <c r="AU271" s="295"/>
    </row>
    <row r="272" spans="2:47">
      <c r="B272" s="479" t="s">
        <v>212</v>
      </c>
      <c r="C272" s="511"/>
      <c r="D272" s="511"/>
      <c r="E272" s="511"/>
      <c r="F272" s="511"/>
      <c r="G272" s="511"/>
      <c r="H272" s="511"/>
      <c r="I272" s="511"/>
      <c r="J272" s="511"/>
      <c r="K272" s="511"/>
      <c r="L272" s="511"/>
      <c r="M272" s="511"/>
      <c r="N272" s="523">
        <f>N262*100/N252</f>
        <v>4.8737311115820363</v>
      </c>
      <c r="O272" s="511"/>
      <c r="P272" s="511"/>
      <c r="Q272" s="523">
        <f t="shared" ref="Q272:Z272" si="376">Q262*100/Q252</f>
        <v>5.9952189007546961</v>
      </c>
      <c r="R272" s="523">
        <f>R262*100/R252</f>
        <v>5.1533334260478298</v>
      </c>
      <c r="S272" s="523">
        <f>T272-R272</f>
        <v>6.3160578391170645</v>
      </c>
      <c r="T272" s="523">
        <f t="shared" si="376"/>
        <v>11.469391265164894</v>
      </c>
      <c r="U272" s="523">
        <f>U262*100/U252</f>
        <v>5.733510036927389</v>
      </c>
      <c r="V272" s="523">
        <f>W272-U272</f>
        <v>9.563649778930106</v>
      </c>
      <c r="W272" s="523">
        <f t="shared" si="376"/>
        <v>15.297159815857496</v>
      </c>
      <c r="X272" s="523">
        <f t="shared" si="376"/>
        <v>9.1119946984758116</v>
      </c>
      <c r="Y272" s="523">
        <f>Z272-X272</f>
        <v>11.416725928156037</v>
      </c>
      <c r="Z272" s="523">
        <f t="shared" si="376"/>
        <v>20.528720626631848</v>
      </c>
      <c r="AA272" s="295">
        <f>AA262*100/AA252</f>
        <v>5.8583959899749356</v>
      </c>
      <c r="AB272" s="311">
        <f>AC272-AA272</f>
        <v>5.2770434845324221</v>
      </c>
      <c r="AC272" s="295">
        <f t="shared" ref="AC272:AT272" si="377">AC262*100/AC252</f>
        <v>11.135439474507358</v>
      </c>
      <c r="AD272" s="295">
        <f>AD262*100/AD252</f>
        <v>9.6366995073891655</v>
      </c>
      <c r="AE272" s="311">
        <f>AF272-AD272</f>
        <v>14.740031794549894</v>
      </c>
      <c r="AF272" s="295">
        <f t="shared" si="377"/>
        <v>24.37673130193906</v>
      </c>
      <c r="AG272" s="295">
        <f>AG262*100/AG252</f>
        <v>17.500767577525334</v>
      </c>
      <c r="AH272" s="311">
        <f>AI272-AG272</f>
        <v>25.106594385664845</v>
      </c>
      <c r="AI272" s="295">
        <f t="shared" si="377"/>
        <v>42.607361963190179</v>
      </c>
      <c r="AJ272" s="295">
        <f>AJ262*100/AJ252</f>
        <v>25.175894769042518</v>
      </c>
      <c r="AK272" s="311">
        <f>AL272-AJ272</f>
        <v>25.99967775004146</v>
      </c>
      <c r="AL272" s="295">
        <f t="shared" si="377"/>
        <v>51.175572519083978</v>
      </c>
      <c r="AM272" s="295">
        <f>AM262*100/AM252</f>
        <v>25.302297460701325</v>
      </c>
      <c r="AN272" s="311">
        <f>AO272-AM272</f>
        <v>30.830633052893837</v>
      </c>
      <c r="AO272" s="295">
        <f t="shared" ref="AO272" si="378">AO262*100/AO252</f>
        <v>56.132930513595163</v>
      </c>
      <c r="AP272" s="295">
        <f>AP262*100/AP252</f>
        <v>33.724781692261367</v>
      </c>
      <c r="AQ272" s="311">
        <f>AR272-AP272</f>
        <v>39.092798078960776</v>
      </c>
      <c r="AR272" s="295">
        <f t="shared" ref="AR272" si="379">AR262*100/AR252</f>
        <v>72.817579771222142</v>
      </c>
      <c r="AS272" s="295">
        <f t="shared" si="377"/>
        <v>86.660262567787711</v>
      </c>
      <c r="AT272" s="295">
        <f t="shared" si="377"/>
        <v>112.60896537545648</v>
      </c>
      <c r="AU272" s="295">
        <f t="shared" ref="AU272" si="380">AU262*100/AU252</f>
        <v>141.19215700031461</v>
      </c>
    </row>
    <row r="273" spans="2:47" hidden="1">
      <c r="B273" s="409" t="s">
        <v>91</v>
      </c>
      <c r="C273" s="511"/>
      <c r="D273" s="511"/>
      <c r="E273" s="511"/>
      <c r="F273" s="511"/>
      <c r="G273" s="511"/>
      <c r="H273" s="511"/>
      <c r="I273" s="511"/>
      <c r="J273" s="511"/>
      <c r="K273" s="511"/>
      <c r="L273" s="511"/>
      <c r="M273" s="511"/>
      <c r="N273" s="523">
        <f>N259*100/N252</f>
        <v>4.8737311115820363</v>
      </c>
      <c r="O273" s="511"/>
      <c r="P273" s="511"/>
      <c r="Q273" s="523">
        <f t="shared" ref="Q273:Z273" si="381">Q259*100/Q252</f>
        <v>5.9952189007546961</v>
      </c>
      <c r="R273" s="523">
        <f>R259*100/R252</f>
        <v>5.1533334260478298</v>
      </c>
      <c r="S273" s="523">
        <f>T273-R273</f>
        <v>6.3160578391170645</v>
      </c>
      <c r="T273" s="523">
        <f t="shared" si="381"/>
        <v>11.469391265164894</v>
      </c>
      <c r="U273" s="523">
        <f>U259*100/U252</f>
        <v>5.733510036927389</v>
      </c>
      <c r="V273" s="523">
        <f>W273-U273</f>
        <v>9.563649778930106</v>
      </c>
      <c r="W273" s="523">
        <f t="shared" si="381"/>
        <v>15.297159815857496</v>
      </c>
      <c r="X273" s="523">
        <f t="shared" si="381"/>
        <v>9.1119946984758116</v>
      </c>
      <c r="Y273" s="523">
        <f>Z273-X273</f>
        <v>11.416725928156037</v>
      </c>
      <c r="Z273" s="523">
        <f t="shared" si="381"/>
        <v>20.528720626631848</v>
      </c>
      <c r="AA273" s="295">
        <f>AA259*100/AA252</f>
        <v>5.8583959899749356</v>
      </c>
      <c r="AB273" s="311">
        <f>AC273-AA273</f>
        <v>5.2770434845324221</v>
      </c>
      <c r="AC273" s="295">
        <f t="shared" ref="AC273:AT273" si="382">AC259*100/AC252</f>
        <v>11.135439474507358</v>
      </c>
      <c r="AD273" s="295">
        <f>AD259*100/AD252</f>
        <v>9.6366995073891655</v>
      </c>
      <c r="AE273" s="311">
        <f>AF273-AD273</f>
        <v>14.740031794549894</v>
      </c>
      <c r="AF273" s="295">
        <f t="shared" si="382"/>
        <v>24.37673130193906</v>
      </c>
      <c r="AG273" s="295">
        <f>AG259*100/AG252</f>
        <v>17.500767577525334</v>
      </c>
      <c r="AH273" s="311">
        <f>AI273-AG273</f>
        <v>25.106594385664845</v>
      </c>
      <c r="AI273" s="295">
        <f t="shared" si="382"/>
        <v>42.607361963190179</v>
      </c>
      <c r="AJ273" s="295">
        <f>AJ259*100/AJ252</f>
        <v>25.175894769042518</v>
      </c>
      <c r="AK273" s="311">
        <f>AL273-AJ273</f>
        <v>25.99967775004146</v>
      </c>
      <c r="AL273" s="295">
        <f t="shared" si="382"/>
        <v>51.175572519083978</v>
      </c>
      <c r="AM273" s="295">
        <f>AM259*100/AM252</f>
        <v>25.302297460701325</v>
      </c>
      <c r="AN273" s="311">
        <f>AO273-AM273</f>
        <v>30.830633052893837</v>
      </c>
      <c r="AO273" s="295">
        <f t="shared" ref="AO273" si="383">AO259*100/AO252</f>
        <v>56.132930513595163</v>
      </c>
      <c r="AP273" s="295">
        <f>AP259*100/AP252</f>
        <v>33.724781692261367</v>
      </c>
      <c r="AQ273" s="311">
        <f>AR273-AP273</f>
        <v>39.092798078960776</v>
      </c>
      <c r="AR273" s="295">
        <f t="shared" ref="AR273" si="384">AR259*100/AR252</f>
        <v>72.817579771222142</v>
      </c>
      <c r="AS273" s="295">
        <f t="shared" si="382"/>
        <v>86.660262567787711</v>
      </c>
      <c r="AT273" s="295">
        <f t="shared" si="382"/>
        <v>112.60896537545648</v>
      </c>
      <c r="AU273" s="295">
        <f t="shared" ref="AU273" si="385">AU259*100/AU252</f>
        <v>141.19215700031461</v>
      </c>
    </row>
    <row r="274" spans="2:47">
      <c r="B274" s="409" t="s">
        <v>121</v>
      </c>
      <c r="C274" s="511"/>
      <c r="D274" s="511"/>
      <c r="E274" s="511"/>
      <c r="F274" s="511"/>
      <c r="G274" s="511"/>
      <c r="H274" s="511"/>
      <c r="I274" s="511"/>
      <c r="J274" s="511"/>
      <c r="K274" s="511"/>
      <c r="L274" s="511"/>
      <c r="M274" s="511"/>
      <c r="N274" s="523">
        <f>(N259+N263)*100/N252</f>
        <v>4.27016036735073</v>
      </c>
      <c r="O274" s="511"/>
      <c r="P274" s="511"/>
      <c r="Q274" s="523">
        <f t="shared" ref="Q274:Z274" si="386">(Q259+Q263)*100/Q252</f>
        <v>5.4224272860329101</v>
      </c>
      <c r="R274" s="523">
        <f>(R259+R263)*100/R252</f>
        <v>4.9144371745091888</v>
      </c>
      <c r="S274" s="523">
        <f>T274-R274</f>
        <v>5.974657508787244</v>
      </c>
      <c r="T274" s="523">
        <f t="shared" si="386"/>
        <v>10.889094683296433</v>
      </c>
      <c r="U274" s="523">
        <f>(U259+U263)*100/U252</f>
        <v>5.2898455697841991</v>
      </c>
      <c r="V274" s="523">
        <f>W274-U274</f>
        <v>8.6445383159300881</v>
      </c>
      <c r="W274" s="523">
        <f t="shared" si="386"/>
        <v>13.934383885714288</v>
      </c>
      <c r="X274" s="523">
        <f t="shared" si="386"/>
        <v>7.6209410205434063</v>
      </c>
      <c r="Y274" s="523">
        <f>Z274-X274</f>
        <v>10.035716942903068</v>
      </c>
      <c r="Z274" s="523">
        <f t="shared" si="386"/>
        <v>17.656657963446474</v>
      </c>
      <c r="AA274" s="295">
        <f>(AA259+AA263)*100/AA252</f>
        <v>12.875939849624057</v>
      </c>
      <c r="AB274" s="311">
        <f>AC274-AA274</f>
        <v>20.061188708399097</v>
      </c>
      <c r="AC274" s="295">
        <f t="shared" ref="AC274:AT274" si="387">(AC259+AC263)*100/AC252</f>
        <v>32.937128558023154</v>
      </c>
      <c r="AD274" s="295">
        <f>(AD259+AD263)*100/AD252</f>
        <v>9.8214285714285747</v>
      </c>
      <c r="AE274" s="311">
        <f>AF274-AD274</f>
        <v>15.078540649870289</v>
      </c>
      <c r="AF274" s="295">
        <f t="shared" si="387"/>
        <v>24.899969221298864</v>
      </c>
      <c r="AG274" s="295">
        <f>(AG259+AG263)*100/AG252</f>
        <v>17.531470678538536</v>
      </c>
      <c r="AH274" s="311">
        <f>AI274-AG274</f>
        <v>25.996136683424648</v>
      </c>
      <c r="AI274" s="295">
        <f t="shared" si="387"/>
        <v>43.527607361963184</v>
      </c>
      <c r="AJ274" s="295">
        <f>(AJ259+AJ263)*100/AJ252</f>
        <v>22.575711226674819</v>
      </c>
      <c r="AK274" s="311">
        <f>AL274-AJ274</f>
        <v>21.302151368745037</v>
      </c>
      <c r="AL274" s="295">
        <f t="shared" si="387"/>
        <v>43.877862595419856</v>
      </c>
      <c r="AM274" s="295">
        <f>(AM259+AM263)*100/AM252</f>
        <v>23.276904474002411</v>
      </c>
      <c r="AN274" s="311">
        <f>AO274-AM274</f>
        <v>28.74726471028762</v>
      </c>
      <c r="AO274" s="295">
        <f t="shared" ref="AO274" si="388">(AO259+AO263)*100/AO252</f>
        <v>52.024169184290031</v>
      </c>
      <c r="AP274" s="295">
        <f>(AP259+AP263)*100/AP252</f>
        <v>32.038542607648296</v>
      </c>
      <c r="AQ274" s="311">
        <f>AR274-AP274</f>
        <v>28.437074490485337</v>
      </c>
      <c r="AR274" s="295">
        <f t="shared" ref="AR274" si="389">(AR259+AR263)*100/AR252</f>
        <v>60.475617098133633</v>
      </c>
      <c r="AS274" s="295">
        <f t="shared" si="387"/>
        <v>86.660262567787711</v>
      </c>
      <c r="AT274" s="295">
        <f t="shared" si="387"/>
        <v>112.60896537545648</v>
      </c>
      <c r="AU274" s="295">
        <f t="shared" ref="AU274" si="390">(AU259+AU263)*100/AU252</f>
        <v>141.19215700031461</v>
      </c>
    </row>
    <row r="275" spans="2:47">
      <c r="B275" s="409"/>
      <c r="C275" s="511"/>
      <c r="D275" s="511"/>
      <c r="E275" s="511"/>
      <c r="F275" s="511"/>
      <c r="G275" s="511"/>
      <c r="H275" s="511"/>
      <c r="I275" s="511"/>
      <c r="J275" s="511"/>
      <c r="K275" s="511"/>
      <c r="L275" s="511"/>
      <c r="M275" s="511"/>
      <c r="N275" s="511"/>
      <c r="O275" s="511"/>
      <c r="P275" s="511"/>
      <c r="Q275" s="511"/>
      <c r="R275" s="511"/>
      <c r="S275" s="511"/>
      <c r="T275" s="511"/>
      <c r="U275" s="511"/>
      <c r="V275" s="511"/>
      <c r="W275" s="511"/>
      <c r="X275" s="511"/>
      <c r="Y275" s="511"/>
      <c r="Z275" s="511"/>
      <c r="AA275" s="295"/>
      <c r="AB275" s="295"/>
      <c r="AC275" s="295"/>
      <c r="AD275" s="295"/>
      <c r="AE275" s="295"/>
      <c r="AF275" s="295"/>
      <c r="AG275" s="295"/>
      <c r="AH275" s="295"/>
      <c r="AI275" s="295"/>
      <c r="AJ275" s="295"/>
      <c r="AK275" s="295"/>
      <c r="AL275" s="295"/>
      <c r="AM275" s="295"/>
      <c r="AN275" s="295"/>
      <c r="AO275" s="295"/>
      <c r="AP275" s="295"/>
      <c r="AQ275" s="295"/>
      <c r="AR275" s="295"/>
      <c r="AS275" s="295"/>
      <c r="AT275" s="295"/>
      <c r="AU275" s="295"/>
    </row>
    <row r="276" spans="2:47">
      <c r="B276" s="380" t="s">
        <v>210</v>
      </c>
      <c r="C276" s="511"/>
      <c r="D276" s="511"/>
      <c r="E276" s="511"/>
      <c r="F276" s="511"/>
      <c r="G276" s="511"/>
      <c r="H276" s="511"/>
      <c r="I276" s="511"/>
      <c r="J276" s="511"/>
      <c r="K276" s="511"/>
      <c r="L276" s="511"/>
      <c r="M276" s="511"/>
      <c r="N276" s="511"/>
      <c r="O276" s="511"/>
      <c r="P276" s="511"/>
      <c r="Q276" s="511"/>
      <c r="R276" s="511"/>
      <c r="S276" s="511"/>
      <c r="T276" s="511"/>
      <c r="U276" s="511"/>
      <c r="V276" s="511"/>
      <c r="W276" s="511"/>
      <c r="X276" s="511"/>
      <c r="Y276" s="511"/>
      <c r="Z276" s="511"/>
      <c r="AA276" s="295"/>
      <c r="AB276" s="295"/>
      <c r="AC276" s="295"/>
      <c r="AD276" s="295"/>
      <c r="AE276" s="295"/>
      <c r="AF276" s="295"/>
      <c r="AG276" s="295"/>
      <c r="AH276" s="295"/>
      <c r="AI276" s="295"/>
      <c r="AJ276" s="295"/>
      <c r="AK276" s="295"/>
      <c r="AL276" s="295"/>
      <c r="AM276" s="295"/>
      <c r="AN276" s="295"/>
      <c r="AO276" s="295"/>
      <c r="AP276" s="295"/>
      <c r="AQ276" s="295"/>
      <c r="AR276" s="295"/>
      <c r="AS276" s="295"/>
      <c r="AT276" s="295"/>
      <c r="AU276" s="295"/>
    </row>
    <row r="277" spans="2:47">
      <c r="B277" s="479" t="s">
        <v>213</v>
      </c>
      <c r="C277" s="591"/>
      <c r="D277" s="591"/>
      <c r="E277" s="591"/>
      <c r="F277" s="591"/>
      <c r="G277" s="591"/>
      <c r="H277" s="591"/>
      <c r="I277" s="591"/>
      <c r="J277" s="591"/>
      <c r="K277" s="591"/>
      <c r="L277" s="591"/>
      <c r="M277" s="591"/>
      <c r="N277" s="591"/>
      <c r="O277" s="591"/>
      <c r="P277" s="591"/>
      <c r="Q277" s="592">
        <f>Q267/N267-1</f>
        <v>0.23211656936574232</v>
      </c>
      <c r="R277" s="591"/>
      <c r="S277" s="591"/>
      <c r="T277" s="592">
        <f>T267/Q267-1</f>
        <v>0.91308965611265558</v>
      </c>
      <c r="U277" s="591"/>
      <c r="V277" s="591"/>
      <c r="W277" s="592">
        <f>W267/T267-1</f>
        <v>0.33373772523729217</v>
      </c>
      <c r="X277" s="591"/>
      <c r="Y277" s="591"/>
      <c r="Z277" s="592">
        <f>Z267/W267-1</f>
        <v>0.34199556478132354</v>
      </c>
      <c r="AA277" s="474">
        <f>AA267/X267-1</f>
        <v>-0.35706766917293253</v>
      </c>
      <c r="AB277" s="474"/>
      <c r="AC277" s="474">
        <f>AC267/Z267-1</f>
        <v>-0.45756778140078613</v>
      </c>
      <c r="AD277" s="474">
        <f>AD267/AA267-1</f>
        <v>0.64493822607412965</v>
      </c>
      <c r="AE277" s="474"/>
      <c r="AF277" s="474">
        <f>AF267/AC267-1</f>
        <v>1.1891126396713236</v>
      </c>
      <c r="AG277" s="474">
        <f>AG267/AD267-1</f>
        <v>0.81605409238984872</v>
      </c>
      <c r="AH277" s="474"/>
      <c r="AI277" s="474">
        <f>AI267/AF267-1</f>
        <v>0.74787018962632423</v>
      </c>
      <c r="AJ277" s="474">
        <f>AJ267/AG267-1</f>
        <v>0.43855946075037644</v>
      </c>
      <c r="AK277" s="474"/>
      <c r="AL277" s="474">
        <f>AL267/AI267-1</f>
        <v>0.20109695041190623</v>
      </c>
      <c r="AM277" s="474">
        <f>AM267/AJ267-1</f>
        <v>5.0207824912835708E-3</v>
      </c>
      <c r="AN277" s="474"/>
      <c r="AO277" s="474">
        <f>AO267/AL267-1</f>
        <v>9.6869614749547361E-2</v>
      </c>
      <c r="AP277" s="474">
        <f>AP267/AM267-1</f>
        <v>0.33287428719236112</v>
      </c>
      <c r="AQ277" s="474"/>
      <c r="AR277" s="474">
        <f>AR267/AO267-1</f>
        <v>0.29723460195234286</v>
      </c>
      <c r="AS277" s="474">
        <f>AS267/AR267-1</f>
        <v>0.19010083609008199</v>
      </c>
      <c r="AT277" s="474">
        <f>AT267/AS267-1</f>
        <v>0.29943023525195378</v>
      </c>
      <c r="AU277" s="474">
        <f t="shared" ref="AU277" si="391">AU267/AT267-1</f>
        <v>0.24563688133226247</v>
      </c>
    </row>
    <row r="278" spans="2:47">
      <c r="B278" s="409" t="s">
        <v>214</v>
      </c>
      <c r="C278" s="591"/>
      <c r="D278" s="591"/>
      <c r="E278" s="591"/>
      <c r="F278" s="591"/>
      <c r="G278" s="591"/>
      <c r="H278" s="591"/>
      <c r="I278" s="591"/>
      <c r="J278" s="591"/>
      <c r="K278" s="591"/>
      <c r="L278" s="591"/>
      <c r="M278" s="591"/>
      <c r="N278" s="591"/>
      <c r="O278" s="591"/>
      <c r="P278" s="591"/>
      <c r="Q278" s="592">
        <f>Q269/N269-1</f>
        <v>0.27191435713420731</v>
      </c>
      <c r="R278" s="591"/>
      <c r="S278" s="591"/>
      <c r="T278" s="592">
        <f>T269/Q269-1</f>
        <v>1.0058526119822231</v>
      </c>
      <c r="U278" s="591"/>
      <c r="V278" s="591"/>
      <c r="W278" s="592">
        <f>W269/T269-1</f>
        <v>0.28060100743522631</v>
      </c>
      <c r="X278" s="591"/>
      <c r="Y278" s="591"/>
      <c r="Z278" s="592">
        <f>Z269/W269-1</f>
        <v>0.2676574402398384</v>
      </c>
      <c r="AA278" s="474">
        <f>AA269/X269-1</f>
        <v>0.68957774479499934</v>
      </c>
      <c r="AB278" s="474"/>
      <c r="AC278" s="474">
        <f>AC269/Z269-1</f>
        <v>0.86483927685857287</v>
      </c>
      <c r="AD278" s="474">
        <f>AD269/AA269-1</f>
        <v>-0.23698731317344413</v>
      </c>
      <c r="AE278" s="474"/>
      <c r="AF278" s="474">
        <f>AF269/AC269-1</f>
        <v>-0.24401139601139599</v>
      </c>
      <c r="AG278" s="474">
        <f>AG269/AD269-1</f>
        <v>0.78502246908755935</v>
      </c>
      <c r="AH278" s="474"/>
      <c r="AI278" s="474">
        <f>AI269/AF269-1</f>
        <v>0.74863688413325491</v>
      </c>
      <c r="AJ278" s="474">
        <f>AJ269/AG269-1</f>
        <v>0.28733109465126305</v>
      </c>
      <c r="AK278" s="474"/>
      <c r="AL278" s="474">
        <f>AL269/AI269-1</f>
        <v>4.9781021428045857E-3</v>
      </c>
      <c r="AM278" s="474">
        <f>AM269/AJ269-1</f>
        <v>2.486891495529564E-2</v>
      </c>
      <c r="AN278" s="474"/>
      <c r="AO278" s="474">
        <f>AO269/AL269-1</f>
        <v>0.18142664163786582</v>
      </c>
      <c r="AP278" s="474">
        <f>AP269/AM269-1</f>
        <v>0.37603132733255396</v>
      </c>
      <c r="AQ278" s="474"/>
      <c r="AR278" s="474">
        <f>AR269/AO269-1</f>
        <v>0.16248006379585278</v>
      </c>
      <c r="AS278" s="474">
        <f>AS269/AR269-1</f>
        <v>0.43304618190423194</v>
      </c>
      <c r="AT278" s="474">
        <f>AT269/AS269-1</f>
        <v>0.299430235251954</v>
      </c>
      <c r="AU278" s="474">
        <f t="shared" ref="AU278" si="392">AU269/AT269-1</f>
        <v>0.25382696244084268</v>
      </c>
    </row>
    <row r="279" spans="2:47">
      <c r="B279" s="409"/>
      <c r="C279" s="593"/>
      <c r="D279" s="593"/>
      <c r="E279" s="593"/>
      <c r="F279" s="593"/>
      <c r="G279" s="593"/>
      <c r="H279" s="593"/>
      <c r="I279" s="593"/>
      <c r="J279" s="593"/>
      <c r="K279" s="593"/>
      <c r="L279" s="593"/>
      <c r="M279" s="593"/>
      <c r="N279" s="593"/>
      <c r="O279" s="593"/>
      <c r="P279" s="593"/>
      <c r="Q279" s="593"/>
      <c r="R279" s="593"/>
      <c r="S279" s="593"/>
      <c r="T279" s="593"/>
      <c r="U279" s="593"/>
      <c r="V279" s="593"/>
      <c r="W279" s="593"/>
      <c r="X279" s="593"/>
      <c r="Y279" s="593"/>
      <c r="Z279" s="593"/>
      <c r="AA279" s="476"/>
      <c r="AB279" s="476"/>
      <c r="AC279" s="476"/>
      <c r="AD279" s="476"/>
      <c r="AE279" s="476"/>
      <c r="AF279" s="476"/>
      <c r="AG279" s="476"/>
      <c r="AH279" s="476"/>
      <c r="AI279" s="476"/>
      <c r="AJ279" s="476"/>
      <c r="AK279" s="476"/>
      <c r="AL279" s="476"/>
      <c r="AM279" s="476"/>
      <c r="AN279" s="476"/>
      <c r="AO279" s="476"/>
      <c r="AP279" s="476"/>
      <c r="AQ279" s="476"/>
      <c r="AR279" s="476"/>
      <c r="AS279" s="476"/>
      <c r="AT279" s="476"/>
      <c r="AU279" s="476"/>
    </row>
    <row r="280" spans="2:47">
      <c r="B280" s="301" t="s">
        <v>10</v>
      </c>
      <c r="C280" s="497"/>
      <c r="D280" s="497"/>
      <c r="E280" s="497"/>
      <c r="F280" s="497"/>
      <c r="G280" s="497"/>
      <c r="H280" s="497"/>
      <c r="I280" s="497"/>
      <c r="J280" s="497"/>
      <c r="K280" s="497"/>
      <c r="L280" s="497"/>
      <c r="M280" s="497"/>
      <c r="N280" s="497"/>
      <c r="O280" s="497"/>
      <c r="P280" s="497"/>
      <c r="Q280" s="497"/>
      <c r="R280" s="497"/>
      <c r="S280" s="497"/>
      <c r="T280" s="497"/>
      <c r="U280" s="497"/>
      <c r="V280" s="497"/>
      <c r="W280" s="497"/>
      <c r="X280" s="497"/>
      <c r="Y280" s="497"/>
      <c r="Z280" s="497"/>
      <c r="AA280" s="303"/>
      <c r="AB280" s="303"/>
      <c r="AC280" s="303"/>
      <c r="AD280" s="303"/>
      <c r="AE280" s="303"/>
      <c r="AF280" s="303"/>
      <c r="AG280" s="303"/>
      <c r="AH280" s="303"/>
      <c r="AI280" s="303"/>
      <c r="AJ280" s="303"/>
      <c r="AK280" s="303"/>
      <c r="AL280" s="303"/>
      <c r="AM280" s="303"/>
      <c r="AN280" s="303"/>
      <c r="AO280" s="303"/>
      <c r="AP280" s="303"/>
      <c r="AQ280" s="303"/>
      <c r="AR280" s="303"/>
      <c r="AS280" s="303"/>
      <c r="AT280" s="303"/>
      <c r="AU280" s="303"/>
    </row>
    <row r="281" spans="2:47">
      <c r="B281" s="380" t="s">
        <v>5</v>
      </c>
      <c r="C281" s="589"/>
      <c r="D281" s="589"/>
      <c r="E281" s="590"/>
      <c r="F281" s="589"/>
      <c r="G281" s="589"/>
      <c r="H281" s="590"/>
      <c r="I281" s="589"/>
      <c r="J281" s="589"/>
      <c r="K281" s="590"/>
      <c r="L281" s="589"/>
      <c r="M281" s="589"/>
      <c r="N281" s="590"/>
      <c r="O281" s="589"/>
      <c r="P281" s="589"/>
      <c r="Q281" s="590"/>
      <c r="R281" s="589"/>
      <c r="S281" s="590"/>
      <c r="T281" s="590"/>
      <c r="U281" s="590"/>
      <c r="V281" s="590"/>
      <c r="W281" s="590"/>
      <c r="X281" s="590"/>
      <c r="Y281" s="590"/>
      <c r="Z281" s="590"/>
      <c r="AA281" s="478"/>
      <c r="AB281" s="478"/>
      <c r="AC281" s="478"/>
      <c r="AD281" s="478"/>
      <c r="AE281" s="478"/>
      <c r="AF281" s="478"/>
      <c r="AG281" s="478"/>
      <c r="AH281" s="478"/>
      <c r="AI281" s="478"/>
      <c r="AJ281" s="478"/>
      <c r="AK281" s="478"/>
      <c r="AL281" s="478"/>
      <c r="AM281" s="478"/>
      <c r="AN281" s="478"/>
      <c r="AO281" s="478"/>
      <c r="AP281" s="478"/>
      <c r="AQ281" s="478"/>
      <c r="AR281" s="478"/>
      <c r="AS281" s="478"/>
      <c r="AT281" s="478"/>
      <c r="AU281" s="478"/>
    </row>
    <row r="282" spans="2:47">
      <c r="B282" s="409" t="s">
        <v>8</v>
      </c>
      <c r="C282" s="511"/>
      <c r="D282" s="511"/>
      <c r="E282" s="511"/>
      <c r="F282" s="511"/>
      <c r="G282" s="511"/>
      <c r="H282" s="511"/>
      <c r="I282" s="511"/>
      <c r="J282" s="511"/>
      <c r="K282" s="511"/>
      <c r="L282" s="511"/>
      <c r="M282" s="511"/>
      <c r="N282" s="523">
        <f>N262</f>
        <v>11.870000000000006</v>
      </c>
      <c r="O282" s="511"/>
      <c r="P282" s="511"/>
      <c r="Q282" s="523">
        <f>Q262</f>
        <v>15.7</v>
      </c>
      <c r="R282" s="511"/>
      <c r="S282" s="511"/>
      <c r="T282" s="523">
        <f>T262</f>
        <v>33.6</v>
      </c>
      <c r="U282" s="511"/>
      <c r="V282" s="511"/>
      <c r="W282" s="523">
        <f>W262</f>
        <v>44.900000000000006</v>
      </c>
      <c r="X282" s="511"/>
      <c r="Y282" s="511"/>
      <c r="Z282" s="523">
        <f>Z262</f>
        <v>62.899999999999984</v>
      </c>
      <c r="AA282" s="295">
        <f>AA262</f>
        <v>18.699999999999992</v>
      </c>
      <c r="AB282" s="295"/>
      <c r="AC282" s="295">
        <f>AC262</f>
        <v>35.600000000000023</v>
      </c>
      <c r="AD282" s="295">
        <f>AD262</f>
        <v>31.300000000000008</v>
      </c>
      <c r="AE282" s="295"/>
      <c r="AF282" s="295">
        <f>AF262</f>
        <v>79.2</v>
      </c>
      <c r="AG282" s="295">
        <f>AG262</f>
        <v>57.000000000000007</v>
      </c>
      <c r="AH282" s="295"/>
      <c r="AI282" s="295">
        <f>AI262</f>
        <v>138.89999999999998</v>
      </c>
      <c r="AJ282" s="295">
        <f>AJ262</f>
        <v>82.299999999999983</v>
      </c>
      <c r="AK282" s="295"/>
      <c r="AL282" s="295">
        <f>AL262</f>
        <v>167.60000000000002</v>
      </c>
      <c r="AM282" s="295">
        <f>AM262</f>
        <v>83.699999999999989</v>
      </c>
      <c r="AN282" s="295"/>
      <c r="AO282" s="295">
        <f>AO262</f>
        <v>185.8</v>
      </c>
      <c r="AP282" s="295">
        <f>AP262</f>
        <v>112</v>
      </c>
      <c r="AQ282" s="295"/>
      <c r="AR282" s="295">
        <f>AR262</f>
        <v>241.89999999999992</v>
      </c>
      <c r="AS282" s="295">
        <f>AS262</f>
        <v>289.96523855181772</v>
      </c>
      <c r="AT282" s="295">
        <f>AT262</f>
        <v>376.7895981462774</v>
      </c>
      <c r="AU282" s="295">
        <f t="shared" ref="AU282" si="393">AU262</f>
        <v>472.42895732305271</v>
      </c>
    </row>
    <row r="283" spans="2:47">
      <c r="B283" s="409" t="s">
        <v>3</v>
      </c>
      <c r="C283" s="511"/>
      <c r="D283" s="511"/>
      <c r="E283" s="511"/>
      <c r="F283" s="511"/>
      <c r="G283" s="511"/>
      <c r="H283" s="511"/>
      <c r="I283" s="511"/>
      <c r="J283" s="511"/>
      <c r="K283" s="511"/>
      <c r="L283" s="511"/>
      <c r="M283" s="511"/>
      <c r="N283" s="523">
        <f>N27</f>
        <v>2.7</v>
      </c>
      <c r="O283" s="511"/>
      <c r="P283" s="511"/>
      <c r="Q283" s="523">
        <f>Q27</f>
        <v>4.3</v>
      </c>
      <c r="R283" s="511"/>
      <c r="S283" s="511"/>
      <c r="T283" s="523">
        <f>T27</f>
        <v>4.5</v>
      </c>
      <c r="U283" s="511"/>
      <c r="V283" s="511"/>
      <c r="W283" s="523">
        <f>W27</f>
        <v>7.3</v>
      </c>
      <c r="X283" s="511"/>
      <c r="Y283" s="511"/>
      <c r="Z283" s="523">
        <f>Z27</f>
        <v>8.4</v>
      </c>
      <c r="AA283" s="295">
        <f>AA27</f>
        <v>0</v>
      </c>
      <c r="AB283" s="295"/>
      <c r="AC283" s="295">
        <f>AC27</f>
        <v>0</v>
      </c>
      <c r="AD283" s="295">
        <f>AD27</f>
        <v>0</v>
      </c>
      <c r="AE283" s="295"/>
      <c r="AF283" s="295">
        <f>AF27</f>
        <v>0</v>
      </c>
      <c r="AG283" s="295">
        <f>AG27</f>
        <v>0</v>
      </c>
      <c r="AH283" s="295"/>
      <c r="AI283" s="295">
        <f t="shared" ref="AI283:AT283" si="394">AI27</f>
        <v>0</v>
      </c>
      <c r="AJ283" s="295">
        <f>AJ27</f>
        <v>0</v>
      </c>
      <c r="AK283" s="295"/>
      <c r="AL283" s="295">
        <f t="shared" si="394"/>
        <v>0</v>
      </c>
      <c r="AM283" s="295">
        <f>AM27</f>
        <v>0</v>
      </c>
      <c r="AN283" s="295"/>
      <c r="AO283" s="295">
        <f t="shared" ref="AO283" si="395">AO27</f>
        <v>0</v>
      </c>
      <c r="AP283" s="295">
        <f>AP27</f>
        <v>0</v>
      </c>
      <c r="AQ283" s="295"/>
      <c r="AR283" s="295">
        <f t="shared" ref="AR283" si="396">AR27</f>
        <v>0</v>
      </c>
      <c r="AS283" s="295">
        <f t="shared" si="394"/>
        <v>0</v>
      </c>
      <c r="AT283" s="295">
        <f t="shared" si="394"/>
        <v>0</v>
      </c>
      <c r="AU283" s="295">
        <f t="shared" ref="AU283" si="397">AU27</f>
        <v>0</v>
      </c>
    </row>
    <row r="284" spans="2:47">
      <c r="B284" s="409" t="s">
        <v>4</v>
      </c>
      <c r="C284" s="511"/>
      <c r="D284" s="511"/>
      <c r="E284" s="511"/>
      <c r="F284" s="511"/>
      <c r="G284" s="511"/>
      <c r="H284" s="511"/>
      <c r="I284" s="511"/>
      <c r="J284" s="511"/>
      <c r="K284" s="511"/>
      <c r="L284" s="511"/>
      <c r="M284" s="511"/>
      <c r="N284" s="523">
        <f>N282+N283</f>
        <v>14.570000000000007</v>
      </c>
      <c r="O284" s="511"/>
      <c r="P284" s="511"/>
      <c r="Q284" s="523">
        <f>Q282+Q283</f>
        <v>20</v>
      </c>
      <c r="R284" s="511"/>
      <c r="S284" s="511"/>
      <c r="T284" s="523">
        <f>T282+T283</f>
        <v>38.1</v>
      </c>
      <c r="U284" s="511"/>
      <c r="V284" s="511"/>
      <c r="W284" s="523">
        <f>W282+W283</f>
        <v>52.2</v>
      </c>
      <c r="X284" s="511"/>
      <c r="Y284" s="511"/>
      <c r="Z284" s="523">
        <f>Z282+Z283</f>
        <v>71.299999999999983</v>
      </c>
      <c r="AA284" s="295">
        <f>AA282+AA283</f>
        <v>18.699999999999992</v>
      </c>
      <c r="AB284" s="295"/>
      <c r="AC284" s="295">
        <f>AC282+AC283</f>
        <v>35.600000000000023</v>
      </c>
      <c r="AD284" s="295">
        <f>AD282+AD283</f>
        <v>31.300000000000008</v>
      </c>
      <c r="AE284" s="295"/>
      <c r="AF284" s="295">
        <f>AF282+AF283</f>
        <v>79.2</v>
      </c>
      <c r="AG284" s="295">
        <f>AG282+AG283</f>
        <v>57.000000000000007</v>
      </c>
      <c r="AH284" s="295"/>
      <c r="AI284" s="295">
        <f>AI282+AI283</f>
        <v>138.89999999999998</v>
      </c>
      <c r="AJ284" s="295">
        <f>AJ282+AJ283</f>
        <v>82.299999999999983</v>
      </c>
      <c r="AK284" s="295"/>
      <c r="AL284" s="295">
        <f>AL282+AL283</f>
        <v>167.60000000000002</v>
      </c>
      <c r="AM284" s="295">
        <f>AM282+AM283</f>
        <v>83.699999999999989</v>
      </c>
      <c r="AN284" s="295"/>
      <c r="AO284" s="295">
        <f>AO282+AO283</f>
        <v>185.8</v>
      </c>
      <c r="AP284" s="295">
        <f>AP282+AP283</f>
        <v>112</v>
      </c>
      <c r="AQ284" s="295"/>
      <c r="AR284" s="295">
        <f>AR282+AR283</f>
        <v>241.89999999999992</v>
      </c>
      <c r="AS284" s="295">
        <f>AS282+AS283</f>
        <v>289.96523855181772</v>
      </c>
      <c r="AT284" s="295">
        <f>AT282+AT283</f>
        <v>376.7895981462774</v>
      </c>
      <c r="AU284" s="295">
        <f t="shared" ref="AU284" si="398">AU282+AU283</f>
        <v>472.42895732305271</v>
      </c>
    </row>
    <row r="285" spans="2:47">
      <c r="B285" s="409" t="s">
        <v>207</v>
      </c>
      <c r="C285" s="511"/>
      <c r="D285" s="511"/>
      <c r="E285" s="511"/>
      <c r="F285" s="511"/>
      <c r="G285" s="511"/>
      <c r="H285" s="511"/>
      <c r="I285" s="511"/>
      <c r="J285" s="511"/>
      <c r="K285" s="511"/>
      <c r="L285" s="511"/>
      <c r="M285" s="511"/>
      <c r="N285" s="523">
        <f>N90</f>
        <v>4.9020000000000081</v>
      </c>
      <c r="O285" s="511"/>
      <c r="P285" s="511"/>
      <c r="Q285" s="523">
        <f>Q90</f>
        <v>8.3759999999999977</v>
      </c>
      <c r="R285" s="511"/>
      <c r="S285" s="511"/>
      <c r="T285" s="523">
        <f>T90</f>
        <v>28.839999999999986</v>
      </c>
      <c r="U285" s="511"/>
      <c r="V285" s="511"/>
      <c r="W285" s="523">
        <f>W90</f>
        <v>34.309999999999988</v>
      </c>
      <c r="X285" s="511"/>
      <c r="Y285" s="511"/>
      <c r="Z285" s="523">
        <f>Z90</f>
        <v>62.000000000000007</v>
      </c>
      <c r="AA285" s="295">
        <f>AA90</f>
        <v>19.299999999999997</v>
      </c>
      <c r="AB285" s="295"/>
      <c r="AC285" s="295">
        <f>AC90</f>
        <v>37.599999999999994</v>
      </c>
      <c r="AD285" s="295">
        <f>AD90</f>
        <v>34.699999999999996</v>
      </c>
      <c r="AE285" s="295"/>
      <c r="AF285" s="295">
        <f>AF90</f>
        <v>104.7</v>
      </c>
      <c r="AG285" s="295">
        <f>AG90</f>
        <v>66.900000000000006</v>
      </c>
      <c r="AH285" s="295"/>
      <c r="AI285" s="295">
        <f>AI90</f>
        <v>173.3</v>
      </c>
      <c r="AJ285" s="295">
        <f>AJ90</f>
        <v>93.9</v>
      </c>
      <c r="AK285" s="295"/>
      <c r="AL285" s="295">
        <f>AL90</f>
        <v>163.89999999999995</v>
      </c>
      <c r="AM285" s="295">
        <f>AM90</f>
        <v>70.800000000000011</v>
      </c>
      <c r="AN285" s="295"/>
      <c r="AO285" s="295">
        <f>AO90</f>
        <v>155.6</v>
      </c>
      <c r="AP285" s="295">
        <f>AP90</f>
        <v>83.900000000000034</v>
      </c>
      <c r="AQ285" s="295"/>
      <c r="AR285" s="295">
        <f>AR90</f>
        <v>214.79999999999995</v>
      </c>
      <c r="AS285" s="295">
        <f>AS90</f>
        <v>118.30078000154248</v>
      </c>
      <c r="AT285" s="295">
        <f>AT90</f>
        <v>168.35593730727652</v>
      </c>
      <c r="AU285" s="295">
        <f t="shared" ref="AU285" si="399">AU90</f>
        <v>218.49266022125204</v>
      </c>
    </row>
    <row r="286" spans="2:47">
      <c r="B286" s="409"/>
      <c r="C286" s="511"/>
      <c r="D286" s="511"/>
      <c r="E286" s="511"/>
      <c r="F286" s="511"/>
      <c r="G286" s="511"/>
      <c r="H286" s="511"/>
      <c r="I286" s="511"/>
      <c r="J286" s="511"/>
      <c r="K286" s="511"/>
      <c r="L286" s="511"/>
      <c r="M286" s="511"/>
      <c r="N286" s="511"/>
      <c r="O286" s="511"/>
      <c r="P286" s="511"/>
      <c r="Q286" s="511"/>
      <c r="R286" s="511"/>
      <c r="S286" s="511"/>
      <c r="T286" s="511"/>
      <c r="U286" s="511"/>
      <c r="V286" s="511"/>
      <c r="W286" s="511"/>
      <c r="X286" s="511"/>
      <c r="Y286" s="511"/>
      <c r="Z286" s="511"/>
      <c r="AA286" s="295"/>
      <c r="AB286" s="295"/>
      <c r="AC286" s="295"/>
      <c r="AD286" s="295"/>
      <c r="AE286" s="295"/>
      <c r="AF286" s="295"/>
      <c r="AG286" s="295"/>
      <c r="AH286" s="295"/>
      <c r="AI286" s="295"/>
      <c r="AJ286" s="295"/>
      <c r="AK286" s="295"/>
      <c r="AL286" s="295"/>
      <c r="AM286" s="295"/>
      <c r="AN286" s="295"/>
      <c r="AO286" s="295"/>
      <c r="AP286" s="295"/>
      <c r="AQ286" s="295"/>
      <c r="AR286" s="295"/>
      <c r="AS286" s="295"/>
      <c r="AT286" s="295"/>
      <c r="AU286" s="295"/>
    </row>
    <row r="287" spans="2:47">
      <c r="B287" s="380" t="s">
        <v>6</v>
      </c>
      <c r="C287" s="511"/>
      <c r="D287" s="511"/>
      <c r="E287" s="511"/>
      <c r="F287" s="511"/>
      <c r="G287" s="511"/>
      <c r="H287" s="511"/>
      <c r="I287" s="511"/>
      <c r="J287" s="511"/>
      <c r="K287" s="511"/>
      <c r="L287" s="511"/>
      <c r="M287" s="511"/>
      <c r="N287" s="511"/>
      <c r="O287" s="511"/>
      <c r="P287" s="511"/>
      <c r="Q287" s="511"/>
      <c r="R287" s="511"/>
      <c r="S287" s="511"/>
      <c r="T287" s="511"/>
      <c r="U287" s="511"/>
      <c r="V287" s="511"/>
      <c r="W287" s="511"/>
      <c r="X287" s="511"/>
      <c r="Y287" s="511"/>
      <c r="Z287" s="511"/>
      <c r="AA287" s="295"/>
      <c r="AB287" s="295"/>
      <c r="AC287" s="295"/>
      <c r="AD287" s="295"/>
      <c r="AE287" s="295"/>
      <c r="AF287" s="295"/>
      <c r="AG287" s="295"/>
      <c r="AH287" s="295"/>
      <c r="AI287" s="295"/>
      <c r="AJ287" s="295"/>
      <c r="AK287" s="295"/>
      <c r="AL287" s="295"/>
      <c r="AM287" s="295"/>
      <c r="AN287" s="295"/>
      <c r="AO287" s="295"/>
      <c r="AP287" s="295"/>
      <c r="AQ287" s="295"/>
      <c r="AR287" s="295"/>
      <c r="AS287" s="295"/>
      <c r="AT287" s="295"/>
      <c r="AU287" s="295"/>
    </row>
    <row r="288" spans="2:47">
      <c r="B288" s="409" t="s">
        <v>7</v>
      </c>
      <c r="C288" s="511"/>
      <c r="D288" s="511"/>
      <c r="E288" s="511"/>
      <c r="F288" s="511"/>
      <c r="G288" s="511"/>
      <c r="H288" s="511"/>
      <c r="I288" s="511"/>
      <c r="J288" s="511"/>
      <c r="K288" s="511"/>
      <c r="L288" s="511"/>
      <c r="M288" s="511"/>
      <c r="N288" s="523">
        <f>N284*100/N254</f>
        <v>5.9725814322535609</v>
      </c>
      <c r="O288" s="511"/>
      <c r="P288" s="511"/>
      <c r="Q288" s="523">
        <f>Q284*100/Q254</f>
        <v>7.6372215296238162</v>
      </c>
      <c r="R288" s="511"/>
      <c r="S288" s="511"/>
      <c r="T288" s="523">
        <f>T284*100/T254</f>
        <v>12.990535314183802</v>
      </c>
      <c r="U288" s="511"/>
      <c r="V288" s="511"/>
      <c r="W288" s="523">
        <f>W284*100/W254</f>
        <v>17.776808309811955</v>
      </c>
      <c r="X288" s="511"/>
      <c r="Y288" s="511"/>
      <c r="Z288" s="523">
        <f>Z284*100/Z254</f>
        <v>23.270234986945166</v>
      </c>
      <c r="AA288" s="295">
        <f>AA284*100/AA254</f>
        <v>5.8565612276855594</v>
      </c>
      <c r="AB288" s="295"/>
      <c r="AC288" s="295">
        <f>AC284*100/AC254</f>
        <v>11.131957473420895</v>
      </c>
      <c r="AD288" s="295">
        <f>AD284*100/AD254</f>
        <v>9.6366995073891655</v>
      </c>
      <c r="AE288" s="295"/>
      <c r="AF288" s="295">
        <f>AF284*100/AF254</f>
        <v>24.369230769230768</v>
      </c>
      <c r="AG288" s="295">
        <f>AG284*100/AG254</f>
        <v>17.500767577525334</v>
      </c>
      <c r="AH288" s="295"/>
      <c r="AI288" s="295">
        <f>AI284*100/AI254</f>
        <v>42.607361963190179</v>
      </c>
      <c r="AJ288" s="295">
        <f>AJ284*100/AJ254</f>
        <v>25.168195718654427</v>
      </c>
      <c r="AK288" s="295"/>
      <c r="AL288" s="295">
        <f>AL284*100/AL254</f>
        <v>51.01978691019788</v>
      </c>
      <c r="AM288" s="295">
        <f>AM284*100/AM254</f>
        <v>25.142685491138476</v>
      </c>
      <c r="AN288" s="295"/>
      <c r="AO288" s="295">
        <f>AO284*100/AO254</f>
        <v>55.762304921968791</v>
      </c>
      <c r="AP288" s="295">
        <f>AP284*100/AP254</f>
        <v>33.502841758899194</v>
      </c>
      <c r="AQ288" s="295"/>
      <c r="AR288" s="295">
        <f>AR284*100/AR254</f>
        <v>72.338516746411472</v>
      </c>
      <c r="AS288" s="295">
        <f>AS284*100/AS254</f>
        <v>86.094191969067012</v>
      </c>
      <c r="AT288" s="295">
        <f>AT284*100/AT254</f>
        <v>111.87339612419163</v>
      </c>
      <c r="AU288" s="295">
        <f t="shared" ref="AU288" si="400">AU284*100/AU254</f>
        <v>140.26988044033632</v>
      </c>
    </row>
    <row r="289" spans="2:47">
      <c r="B289" s="409" t="s">
        <v>9</v>
      </c>
      <c r="C289" s="511"/>
      <c r="D289" s="511"/>
      <c r="E289" s="511"/>
      <c r="F289" s="511"/>
      <c r="G289" s="511"/>
      <c r="H289" s="511"/>
      <c r="I289" s="511"/>
      <c r="J289" s="511"/>
      <c r="K289" s="511"/>
      <c r="L289" s="511"/>
      <c r="M289" s="511"/>
      <c r="N289" s="523">
        <f>N285*100/N254</f>
        <v>2.0094436637547695</v>
      </c>
      <c r="O289" s="511"/>
      <c r="P289" s="511"/>
      <c r="Q289" s="523">
        <f>Q285*100/Q254</f>
        <v>3.1984683766064537</v>
      </c>
      <c r="R289" s="511"/>
      <c r="S289" s="511"/>
      <c r="T289" s="523">
        <f>T285*100/T254</f>
        <v>9.8332556026525104</v>
      </c>
      <c r="U289" s="511"/>
      <c r="V289" s="511"/>
      <c r="W289" s="523">
        <f>W285*100/W254</f>
        <v>11.684335117043064</v>
      </c>
      <c r="X289" s="511"/>
      <c r="Y289" s="511"/>
      <c r="Z289" s="523">
        <f>Z285*100/Z254</f>
        <v>20.234986945169716</v>
      </c>
      <c r="AA289" s="295">
        <f>AA285*100/AA254</f>
        <v>6.0444722831193225</v>
      </c>
      <c r="AB289" s="295"/>
      <c r="AC289" s="295">
        <f>AC285*100/AC254</f>
        <v>11.757348342714195</v>
      </c>
      <c r="AD289" s="295">
        <f>AD285*100/AD254</f>
        <v>10.683497536945811</v>
      </c>
      <c r="AE289" s="295"/>
      <c r="AF289" s="295">
        <f>AF285*100/AF254</f>
        <v>32.215384615384615</v>
      </c>
      <c r="AG289" s="295">
        <f>AG285*100/AG254</f>
        <v>20.540374577832363</v>
      </c>
      <c r="AH289" s="295"/>
      <c r="AI289" s="295">
        <f>AI285*100/AI254</f>
        <v>53.159509202453989</v>
      </c>
      <c r="AJ289" s="295">
        <f>AJ285*100/AJ254</f>
        <v>28.715596330275229</v>
      </c>
      <c r="AK289" s="295"/>
      <c r="AL289" s="295">
        <f>AL285*100/AL254</f>
        <v>49.893455098934538</v>
      </c>
      <c r="AM289" s="295">
        <f>AM285*100/AM254</f>
        <v>21.267647942325027</v>
      </c>
      <c r="AN289" s="295"/>
      <c r="AO289" s="295">
        <f>AO285*100/AO254</f>
        <v>46.698679471788715</v>
      </c>
      <c r="AP289" s="295">
        <f>AP285*100/AP254</f>
        <v>25.097218067603958</v>
      </c>
      <c r="AQ289" s="295"/>
      <c r="AR289" s="295">
        <f>AR285*100/AR254</f>
        <v>64.234449760765543</v>
      </c>
      <c r="AS289" s="295">
        <f>AS285*100/AS254</f>
        <v>35.124934679792894</v>
      </c>
      <c r="AT289" s="295">
        <f>AT285*100/AT254</f>
        <v>49.986917252754303</v>
      </c>
      <c r="AU289" s="295">
        <f t="shared" ref="AU289" si="401">AU285*100/AU254</f>
        <v>64.873117642889554</v>
      </c>
    </row>
    <row r="290" spans="2:47">
      <c r="B290" s="409"/>
      <c r="C290" s="511"/>
      <c r="D290" s="511"/>
      <c r="E290" s="511"/>
      <c r="F290" s="511"/>
      <c r="G290" s="511"/>
      <c r="H290" s="511"/>
      <c r="I290" s="511"/>
      <c r="J290" s="511"/>
      <c r="K290" s="511"/>
      <c r="L290" s="511"/>
      <c r="M290" s="511"/>
      <c r="N290" s="511"/>
      <c r="O290" s="511"/>
      <c r="P290" s="511"/>
      <c r="Q290" s="511"/>
      <c r="R290" s="511"/>
      <c r="S290" s="511"/>
      <c r="T290" s="511"/>
      <c r="U290" s="511"/>
      <c r="V290" s="511"/>
      <c r="W290" s="511"/>
      <c r="X290" s="511"/>
      <c r="Y290" s="511"/>
      <c r="Z290" s="511"/>
      <c r="AA290" s="295"/>
      <c r="AB290" s="295"/>
      <c r="AC290" s="295"/>
      <c r="AD290" s="295"/>
      <c r="AE290" s="295"/>
      <c r="AF290" s="295"/>
      <c r="AG290" s="295"/>
      <c r="AH290" s="295"/>
      <c r="AI290" s="295"/>
      <c r="AJ290" s="295"/>
      <c r="AK290" s="295"/>
      <c r="AL290" s="295"/>
      <c r="AM290" s="295"/>
      <c r="AN290" s="295"/>
      <c r="AO290" s="295"/>
      <c r="AP290" s="295"/>
      <c r="AQ290" s="295"/>
      <c r="AR290" s="295"/>
      <c r="AS290" s="295"/>
      <c r="AT290" s="295"/>
      <c r="AU290" s="295"/>
    </row>
    <row r="291" spans="2:47">
      <c r="B291" s="301" t="s">
        <v>12</v>
      </c>
      <c r="C291" s="497"/>
      <c r="D291" s="497"/>
      <c r="E291" s="497"/>
      <c r="F291" s="497"/>
      <c r="G291" s="497"/>
      <c r="H291" s="497"/>
      <c r="I291" s="497"/>
      <c r="J291" s="497"/>
      <c r="K291" s="497"/>
      <c r="L291" s="497"/>
      <c r="M291" s="497"/>
      <c r="N291" s="497"/>
      <c r="O291" s="497"/>
      <c r="P291" s="497"/>
      <c r="Q291" s="497"/>
      <c r="R291" s="497"/>
      <c r="S291" s="497"/>
      <c r="T291" s="497"/>
      <c r="U291" s="497"/>
      <c r="V291" s="497"/>
      <c r="W291" s="497"/>
      <c r="X291" s="497"/>
      <c r="Y291" s="497"/>
      <c r="Z291" s="497"/>
      <c r="AA291" s="303"/>
      <c r="AB291" s="303"/>
      <c r="AC291" s="303"/>
      <c r="AD291" s="303"/>
      <c r="AE291" s="303"/>
      <c r="AF291" s="303"/>
      <c r="AG291" s="303"/>
      <c r="AH291" s="303"/>
      <c r="AI291" s="303"/>
      <c r="AJ291" s="303"/>
      <c r="AK291" s="303"/>
      <c r="AL291" s="303"/>
      <c r="AM291" s="303"/>
      <c r="AN291" s="303"/>
      <c r="AO291" s="303"/>
      <c r="AP291" s="303"/>
      <c r="AQ291" s="303"/>
      <c r="AR291" s="303"/>
      <c r="AS291" s="303"/>
      <c r="AT291" s="303"/>
      <c r="AU291" s="303"/>
    </row>
    <row r="292" spans="2:47">
      <c r="B292" s="409" t="s">
        <v>11</v>
      </c>
      <c r="C292" s="511"/>
      <c r="D292" s="511"/>
      <c r="E292" s="511"/>
      <c r="F292" s="511"/>
      <c r="G292" s="511"/>
      <c r="H292" s="511"/>
      <c r="I292" s="511"/>
      <c r="J292" s="511"/>
      <c r="K292" s="511"/>
      <c r="L292" s="511"/>
      <c r="M292" s="511"/>
      <c r="N292" s="523">
        <f>N48+N49</f>
        <v>0.91</v>
      </c>
      <c r="O292" s="511"/>
      <c r="P292" s="511"/>
      <c r="Q292" s="523">
        <f>Q48+Q49</f>
        <v>0.6</v>
      </c>
      <c r="R292" s="511"/>
      <c r="S292" s="511"/>
      <c r="T292" s="523">
        <f>T48+T49</f>
        <v>2.2000000000000002</v>
      </c>
      <c r="U292" s="523">
        <f>U48+U49</f>
        <v>1.05</v>
      </c>
      <c r="V292" s="523">
        <f>W292-U292</f>
        <v>1.6500000000000001</v>
      </c>
      <c r="W292" s="523">
        <f>W48+W49</f>
        <v>2.7</v>
      </c>
      <c r="X292" s="523">
        <f>X48+X49</f>
        <v>1.5</v>
      </c>
      <c r="Y292" s="523">
        <f>Z292-X292</f>
        <v>1.9500000000000002</v>
      </c>
      <c r="Z292" s="523">
        <f>Z48+Z49</f>
        <v>3.45</v>
      </c>
      <c r="AA292" s="295">
        <f>AA48+AA49</f>
        <v>1.7</v>
      </c>
      <c r="AB292" s="295">
        <f>AC292-AA292</f>
        <v>1.5999999999999999</v>
      </c>
      <c r="AC292" s="295">
        <f>AC48+AC49</f>
        <v>3.3</v>
      </c>
      <c r="AD292" s="295">
        <f>AD48+AD49</f>
        <v>2.7</v>
      </c>
      <c r="AE292" s="295">
        <f>AF292-AD292</f>
        <v>3.8500000000000005</v>
      </c>
      <c r="AF292" s="295">
        <f>AF48+AF49</f>
        <v>6.5500000000000007</v>
      </c>
      <c r="AG292" s="295">
        <f>AG48+AG49</f>
        <v>4.75</v>
      </c>
      <c r="AH292" s="295">
        <f>AI292-AG292</f>
        <v>6.4</v>
      </c>
      <c r="AI292" s="295">
        <f t="shared" ref="AI292:AT292" si="402">AI48+AI49</f>
        <v>11.15</v>
      </c>
      <c r="AJ292" s="295">
        <f>AJ48+AJ49</f>
        <v>6.6</v>
      </c>
      <c r="AK292" s="295">
        <f>AL292-AJ292</f>
        <v>8.4</v>
      </c>
      <c r="AL292" s="295">
        <f t="shared" si="402"/>
        <v>15</v>
      </c>
      <c r="AM292" s="295">
        <f>AM48+AM49</f>
        <v>7.7</v>
      </c>
      <c r="AN292" s="295">
        <f>AO292-AM292</f>
        <v>9.1999999999999993</v>
      </c>
      <c r="AO292" s="295">
        <f t="shared" ref="AO292" si="403">AO48+AO49</f>
        <v>16.899999999999999</v>
      </c>
      <c r="AP292" s="295">
        <f>AP48+AP49</f>
        <v>6.7</v>
      </c>
      <c r="AQ292" s="295">
        <f>AR292-AP292</f>
        <v>7.7</v>
      </c>
      <c r="AR292" s="295">
        <f t="shared" ref="AR292" si="404">AR48+AR49</f>
        <v>14.4</v>
      </c>
      <c r="AS292" s="295">
        <f t="shared" si="402"/>
        <v>17</v>
      </c>
      <c r="AT292" s="295">
        <f t="shared" si="402"/>
        <v>23</v>
      </c>
      <c r="AU292" s="295">
        <f t="shared" ref="AU292" si="405">AU48+AU49</f>
        <v>28</v>
      </c>
    </row>
    <row r="293" spans="2:47">
      <c r="B293" s="409" t="s">
        <v>92</v>
      </c>
      <c r="C293" s="594"/>
      <c r="D293" s="595"/>
      <c r="E293" s="596"/>
      <c r="F293" s="594"/>
      <c r="G293" s="595"/>
      <c r="H293" s="596"/>
      <c r="I293" s="594"/>
      <c r="J293" s="595"/>
      <c r="K293" s="596"/>
      <c r="L293" s="594"/>
      <c r="M293" s="595"/>
      <c r="N293" s="597">
        <v>1</v>
      </c>
      <c r="O293" s="597"/>
      <c r="P293" s="521"/>
      <c r="Q293" s="535">
        <f>N293</f>
        <v>1</v>
      </c>
      <c r="R293" s="597"/>
      <c r="S293" s="534"/>
      <c r="T293" s="535">
        <f>Q293</f>
        <v>1</v>
      </c>
      <c r="U293" s="535">
        <f>T293</f>
        <v>1</v>
      </c>
      <c r="V293" s="534"/>
      <c r="W293" s="535">
        <f>T293</f>
        <v>1</v>
      </c>
      <c r="X293" s="535">
        <f>W293</f>
        <v>1</v>
      </c>
      <c r="Y293" s="534"/>
      <c r="Z293" s="535">
        <f>W293</f>
        <v>1</v>
      </c>
      <c r="AA293" s="276">
        <f>X293</f>
        <v>1</v>
      </c>
      <c r="AB293" s="276"/>
      <c r="AC293" s="276">
        <f>Z293</f>
        <v>1</v>
      </c>
      <c r="AD293" s="276">
        <f>AA293</f>
        <v>1</v>
      </c>
      <c r="AE293" s="276"/>
      <c r="AF293" s="276">
        <f>AC293</f>
        <v>1</v>
      </c>
      <c r="AG293" s="276">
        <f>AD293</f>
        <v>1</v>
      </c>
      <c r="AH293" s="276"/>
      <c r="AI293" s="276">
        <f>AF293</f>
        <v>1</v>
      </c>
      <c r="AJ293" s="276">
        <f>AG293</f>
        <v>1</v>
      </c>
      <c r="AK293" s="276"/>
      <c r="AL293" s="276">
        <f>AI293</f>
        <v>1</v>
      </c>
      <c r="AM293" s="276">
        <f>AJ293</f>
        <v>1</v>
      </c>
      <c r="AN293" s="276"/>
      <c r="AO293" s="276">
        <f>AL293</f>
        <v>1</v>
      </c>
      <c r="AP293" s="276">
        <f>AM293</f>
        <v>1</v>
      </c>
      <c r="AQ293" s="276"/>
      <c r="AR293" s="276">
        <f>AO293</f>
        <v>1</v>
      </c>
      <c r="AS293" s="276">
        <f>AR293</f>
        <v>1</v>
      </c>
      <c r="AT293" s="318">
        <f>AS293</f>
        <v>1</v>
      </c>
      <c r="AU293" s="318">
        <f t="shared" ref="AU293" si="406">AT293</f>
        <v>1</v>
      </c>
    </row>
    <row r="294" spans="2:47">
      <c r="B294" s="409"/>
      <c r="C294" s="539"/>
      <c r="D294" s="539"/>
      <c r="E294" s="539"/>
      <c r="F294" s="539"/>
      <c r="G294" s="539"/>
      <c r="H294" s="539"/>
      <c r="I294" s="539"/>
      <c r="J294" s="539"/>
      <c r="K294" s="539"/>
      <c r="L294" s="539"/>
      <c r="M294" s="539"/>
      <c r="N294" s="539"/>
      <c r="O294" s="539"/>
      <c r="P294" s="539"/>
      <c r="Q294" s="539"/>
      <c r="R294" s="539"/>
      <c r="S294" s="539"/>
      <c r="T294" s="539"/>
      <c r="U294" s="539"/>
      <c r="V294" s="539"/>
      <c r="W294" s="539"/>
      <c r="X294" s="539"/>
      <c r="Y294" s="539"/>
      <c r="Z294" s="539"/>
      <c r="AA294" s="198"/>
      <c r="AB294" s="198"/>
      <c r="AC294" s="198"/>
      <c r="AD294" s="198"/>
      <c r="AE294" s="198"/>
      <c r="AF294" s="198"/>
      <c r="AG294" s="198"/>
      <c r="AH294" s="198"/>
      <c r="AI294" s="198"/>
      <c r="AJ294" s="198"/>
      <c r="AK294" s="198"/>
      <c r="AL294" s="198"/>
      <c r="AM294" s="198"/>
      <c r="AN294" s="198"/>
      <c r="AO294" s="198"/>
      <c r="AP294" s="198"/>
      <c r="AQ294" s="198"/>
      <c r="AR294" s="198"/>
      <c r="AS294" s="198"/>
      <c r="AT294" s="198"/>
      <c r="AU294" s="198"/>
    </row>
    <row r="295" spans="2:47">
      <c r="B295" s="301" t="s">
        <v>18</v>
      </c>
      <c r="C295" s="497"/>
      <c r="D295" s="497"/>
      <c r="E295" s="497"/>
      <c r="F295" s="497"/>
      <c r="G295" s="497"/>
      <c r="H295" s="497"/>
      <c r="I295" s="497"/>
      <c r="J295" s="497"/>
      <c r="K295" s="497"/>
      <c r="L295" s="497"/>
      <c r="M295" s="497"/>
      <c r="N295" s="497"/>
      <c r="O295" s="497"/>
      <c r="P295" s="497"/>
      <c r="Q295" s="497"/>
      <c r="R295" s="497"/>
      <c r="S295" s="497"/>
      <c r="T295" s="497"/>
      <c r="U295" s="497"/>
      <c r="V295" s="497"/>
      <c r="W295" s="497"/>
      <c r="X295" s="497"/>
      <c r="Y295" s="497"/>
      <c r="Z295" s="497"/>
      <c r="AA295" s="303"/>
      <c r="AB295" s="303"/>
      <c r="AC295" s="303"/>
      <c r="AD295" s="303"/>
      <c r="AE295" s="303"/>
      <c r="AF295" s="303"/>
      <c r="AG295" s="303"/>
      <c r="AH295" s="303"/>
      <c r="AI295" s="303"/>
      <c r="AJ295" s="303"/>
      <c r="AK295" s="303"/>
      <c r="AL295" s="303"/>
      <c r="AM295" s="303"/>
      <c r="AN295" s="303"/>
      <c r="AO295" s="303"/>
      <c r="AP295" s="303"/>
      <c r="AQ295" s="303"/>
      <c r="AR295" s="303"/>
      <c r="AS295" s="303"/>
      <c r="AT295" s="303"/>
      <c r="AU295" s="303"/>
    </row>
    <row r="296" spans="2:47">
      <c r="B296" s="409" t="s">
        <v>20</v>
      </c>
      <c r="C296" s="511"/>
      <c r="D296" s="511"/>
      <c r="E296" s="511"/>
      <c r="F296" s="511"/>
      <c r="G296" s="511"/>
      <c r="H296" s="511"/>
      <c r="I296" s="511"/>
      <c r="J296" s="511"/>
      <c r="K296" s="511"/>
      <c r="L296" s="511"/>
      <c r="M296" s="511"/>
      <c r="N296" s="523">
        <f>N198</f>
        <v>0</v>
      </c>
      <c r="O296" s="511"/>
      <c r="P296" s="511"/>
      <c r="Q296" s="523">
        <f>Q198</f>
        <v>0</v>
      </c>
      <c r="R296" s="511"/>
      <c r="S296" s="511"/>
      <c r="T296" s="523">
        <f>T198</f>
        <v>213.76199999999997</v>
      </c>
      <c r="U296" s="511"/>
      <c r="V296" s="511"/>
      <c r="W296" s="523">
        <f>W198</f>
        <v>352.15499999999997</v>
      </c>
      <c r="X296" s="511"/>
      <c r="Y296" s="511"/>
      <c r="Z296" s="523">
        <f>Z198</f>
        <v>766.59999999999991</v>
      </c>
      <c r="AA296" s="295">
        <f>AA198</f>
        <v>569.80000000000007</v>
      </c>
      <c r="AB296" s="295"/>
      <c r="AC296" s="295">
        <f>AC198</f>
        <v>689.9</v>
      </c>
      <c r="AD296" s="295">
        <f>AD198</f>
        <v>788.9</v>
      </c>
      <c r="AE296" s="295"/>
      <c r="AF296" s="295">
        <f>AF198</f>
        <v>832</v>
      </c>
      <c r="AG296" s="295">
        <f>AG198</f>
        <v>865.5</v>
      </c>
      <c r="AH296" s="295"/>
      <c r="AI296" s="295">
        <f>AI198</f>
        <v>905.5</v>
      </c>
      <c r="AJ296" s="295">
        <f>AJ198</f>
        <v>976.9</v>
      </c>
      <c r="AK296" s="295"/>
      <c r="AL296" s="295">
        <f>AL198</f>
        <v>1255.9000000000001</v>
      </c>
      <c r="AM296" s="295">
        <f>AM198</f>
        <v>1382.6</v>
      </c>
      <c r="AN296" s="295"/>
      <c r="AO296" s="295">
        <f>AO198</f>
        <v>1467.9</v>
      </c>
      <c r="AP296" s="295">
        <f>AP198</f>
        <v>1557.1999999999998</v>
      </c>
      <c r="AQ296" s="295"/>
      <c r="AR296" s="295">
        <f>AR198</f>
        <v>1703.7</v>
      </c>
      <c r="AS296" s="295">
        <f>AS198</f>
        <v>1941.1330385518177</v>
      </c>
      <c r="AT296" s="295">
        <f>AT198</f>
        <v>2254.3486366980951</v>
      </c>
      <c r="AU296" s="295">
        <f t="shared" ref="AU296" si="407">AU198</f>
        <v>2643.1275940211481</v>
      </c>
    </row>
    <row r="297" spans="2:47">
      <c r="B297" s="409" t="s">
        <v>19</v>
      </c>
      <c r="C297" s="511"/>
      <c r="D297" s="511"/>
      <c r="E297" s="511"/>
      <c r="F297" s="511"/>
      <c r="G297" s="511"/>
      <c r="H297" s="511"/>
      <c r="I297" s="511"/>
      <c r="J297" s="511"/>
      <c r="K297" s="511"/>
      <c r="L297" s="511"/>
      <c r="M297" s="511"/>
      <c r="N297" s="523">
        <f>N161+N164+N165</f>
        <v>0</v>
      </c>
      <c r="O297" s="511"/>
      <c r="P297" s="511"/>
      <c r="Q297" s="523">
        <f>Q161+Q164+Q165</f>
        <v>0</v>
      </c>
      <c r="R297" s="511"/>
      <c r="S297" s="511"/>
      <c r="T297" s="523">
        <f>T161+T164+T165</f>
        <v>133.72</v>
      </c>
      <c r="U297" s="511"/>
      <c r="V297" s="511"/>
      <c r="W297" s="523">
        <f>W161+W164+W165</f>
        <v>360.34500000000003</v>
      </c>
      <c r="X297" s="511"/>
      <c r="Y297" s="511"/>
      <c r="Z297" s="523">
        <f>Z161+Z164+Z165</f>
        <v>783.7</v>
      </c>
      <c r="AA297" s="295">
        <f>AA161+AA164+AA165</f>
        <v>579.70000000000005</v>
      </c>
      <c r="AB297" s="295"/>
      <c r="AC297" s="295">
        <f>AC161+AC164+AC165</f>
        <v>608.5</v>
      </c>
      <c r="AD297" s="295">
        <f>AD161+AD164+AD165</f>
        <v>667.9</v>
      </c>
      <c r="AE297" s="295"/>
      <c r="AF297" s="295">
        <f>AF161+AF164+AF165</f>
        <v>680.5</v>
      </c>
      <c r="AG297" s="295">
        <f>AG161+AG164+AG165</f>
        <v>676.8</v>
      </c>
      <c r="AH297" s="295"/>
      <c r="AI297" s="295">
        <f>AI161+AI164+AI165</f>
        <v>661.7</v>
      </c>
      <c r="AJ297" s="295">
        <f>AJ161+AJ164+AJ165</f>
        <v>749</v>
      </c>
      <c r="AK297" s="295"/>
      <c r="AL297" s="295">
        <f>AL161+AL164+AL165</f>
        <v>1439.2</v>
      </c>
      <c r="AM297" s="295">
        <f>AM161+AM164+AM165</f>
        <v>1568.3</v>
      </c>
      <c r="AN297" s="295"/>
      <c r="AO297" s="295">
        <f>AO161+AO164+AO165</f>
        <v>1584.8</v>
      </c>
      <c r="AP297" s="295">
        <f>AP161+AP164+AP165</f>
        <v>1610</v>
      </c>
      <c r="AQ297" s="295"/>
      <c r="AR297" s="295">
        <f>AR161+AR164+AR165</f>
        <v>1807.2</v>
      </c>
      <c r="AS297" s="295">
        <f>AS161+AS164+AS165</f>
        <v>4074.7742187020008</v>
      </c>
      <c r="AT297" s="295">
        <f>AT161+AT164+AT165</f>
        <v>4281.5819094617636</v>
      </c>
      <c r="AU297" s="295">
        <f t="shared" ref="AU297" si="408">AU161+AU164+AU165</f>
        <v>4533.8817277595272</v>
      </c>
    </row>
    <row r="298" spans="2:47">
      <c r="B298" s="409" t="s">
        <v>21</v>
      </c>
      <c r="C298" s="511"/>
      <c r="D298" s="511"/>
      <c r="E298" s="511"/>
      <c r="F298" s="511"/>
      <c r="G298" s="511"/>
      <c r="H298" s="511"/>
      <c r="I298" s="511"/>
      <c r="J298" s="511"/>
      <c r="K298" s="511"/>
      <c r="L298" s="511"/>
      <c r="M298" s="511"/>
      <c r="N298" s="523">
        <f>N296-N297</f>
        <v>0</v>
      </c>
      <c r="O298" s="511"/>
      <c r="P298" s="511"/>
      <c r="Q298" s="523">
        <f>Q296-Q297</f>
        <v>0</v>
      </c>
      <c r="R298" s="511"/>
      <c r="S298" s="511"/>
      <c r="T298" s="523">
        <f>T296-T297</f>
        <v>80.041999999999973</v>
      </c>
      <c r="U298" s="511"/>
      <c r="V298" s="511"/>
      <c r="W298" s="523">
        <f>W296-W297</f>
        <v>-8.1900000000000546</v>
      </c>
      <c r="X298" s="511"/>
      <c r="Y298" s="511"/>
      <c r="Z298" s="523">
        <f>Z296-Z297</f>
        <v>-17.100000000000136</v>
      </c>
      <c r="AA298" s="295">
        <f>AA296-AA297</f>
        <v>-9.8999999999999773</v>
      </c>
      <c r="AB298" s="295"/>
      <c r="AC298" s="295">
        <f>AC296-AC297</f>
        <v>81.399999999999977</v>
      </c>
      <c r="AD298" s="295">
        <f>AD296-AD297</f>
        <v>121</v>
      </c>
      <c r="AE298" s="295"/>
      <c r="AF298" s="295">
        <f>AF296-AF297</f>
        <v>151.5</v>
      </c>
      <c r="AG298" s="295">
        <f>AG296-AG297</f>
        <v>188.70000000000005</v>
      </c>
      <c r="AH298" s="295"/>
      <c r="AI298" s="295">
        <f>AI296-AI297</f>
        <v>243.79999999999995</v>
      </c>
      <c r="AJ298" s="295">
        <f>AJ296-AJ297</f>
        <v>227.89999999999998</v>
      </c>
      <c r="AK298" s="295"/>
      <c r="AL298" s="295">
        <f>AL296-AL297</f>
        <v>-183.29999999999995</v>
      </c>
      <c r="AM298" s="295">
        <f>AM296-AM297</f>
        <v>-185.70000000000005</v>
      </c>
      <c r="AN298" s="295"/>
      <c r="AO298" s="295">
        <f>AO296-AO297</f>
        <v>-116.89999999999986</v>
      </c>
      <c r="AP298" s="295">
        <f>AP296-AP297</f>
        <v>-52.800000000000182</v>
      </c>
      <c r="AQ298" s="295"/>
      <c r="AR298" s="295">
        <f>AR296-AR297</f>
        <v>-103.5</v>
      </c>
      <c r="AS298" s="295">
        <f>AS296-AS297</f>
        <v>-2133.6411801501831</v>
      </c>
      <c r="AT298" s="295">
        <f>AT296-AT297</f>
        <v>-2027.2332727636685</v>
      </c>
      <c r="AU298" s="295">
        <f t="shared" ref="AU298" si="409">AU296-AU297</f>
        <v>-1890.7541337383791</v>
      </c>
    </row>
    <row r="299" spans="2:47">
      <c r="B299" s="409" t="s">
        <v>23</v>
      </c>
      <c r="C299" s="595"/>
      <c r="D299" s="595"/>
      <c r="E299" s="595"/>
      <c r="F299" s="595"/>
      <c r="G299" s="595"/>
      <c r="H299" s="595"/>
      <c r="I299" s="595"/>
      <c r="J299" s="595"/>
      <c r="K299" s="595"/>
      <c r="L299" s="595"/>
      <c r="M299" s="595"/>
      <c r="N299" s="598">
        <f>N296*100/N251</f>
        <v>0</v>
      </c>
      <c r="O299" s="595"/>
      <c r="P299" s="595"/>
      <c r="Q299" s="598">
        <f>Q296*100/Q251</f>
        <v>0</v>
      </c>
      <c r="R299" s="595"/>
      <c r="S299" s="595"/>
      <c r="T299" s="598">
        <f>T296*100/T251</f>
        <v>73.501428684406875</v>
      </c>
      <c r="U299" s="595"/>
      <c r="V299" s="595"/>
      <c r="W299" s="598">
        <f>W296*100/W251</f>
        <v>117.41161329901443</v>
      </c>
      <c r="X299" s="595"/>
      <c r="Y299" s="595"/>
      <c r="Z299" s="598">
        <f>Z296*100/Z251</f>
        <v>240.94719340208255</v>
      </c>
      <c r="AA299" s="318">
        <f>AA296*100/AA251</f>
        <v>179.06976744186051</v>
      </c>
      <c r="AB299" s="318"/>
      <c r="AC299" s="318">
        <f>AC296*100/AC251</f>
        <v>213.40633506557785</v>
      </c>
      <c r="AD299" s="318">
        <f>AD296*100/AD251</f>
        <v>243.63804817788758</v>
      </c>
      <c r="AE299" s="318"/>
      <c r="AF299" s="318">
        <f>AF296*100/AF251</f>
        <v>256.0677594686594</v>
      </c>
      <c r="AG299" s="318">
        <f>AG296*100/AG251</f>
        <v>265.24670548574932</v>
      </c>
      <c r="AH299" s="318"/>
      <c r="AI299" s="318">
        <f>AI296*100/AI251</f>
        <v>277.46624747966882</v>
      </c>
      <c r="AJ299" s="318">
        <f>AJ296*100/AJ251</f>
        <v>298.74617737003058</v>
      </c>
      <c r="AK299" s="318"/>
      <c r="AL299" s="318">
        <f>AL296*100/AL251</f>
        <v>378.3971075625189</v>
      </c>
      <c r="AM299" s="318">
        <f>AM296*100/AM251</f>
        <v>414.69706058788245</v>
      </c>
      <c r="AN299" s="318"/>
      <c r="AO299" s="318">
        <f>AO296*100/AO251</f>
        <v>440.28194361127777</v>
      </c>
      <c r="AP299" s="318">
        <f>AP296*100/AP251</f>
        <v>465.5306427503736</v>
      </c>
      <c r="AQ299" s="318"/>
      <c r="AR299" s="318">
        <f>AR296*100/AR251</f>
        <v>509.17513448894198</v>
      </c>
      <c r="AS299" s="318">
        <f>AS296*100/AS251</f>
        <v>580.13539705672963</v>
      </c>
      <c r="AT299" s="318">
        <f>AT296*100/AT251</f>
        <v>673.74436243218622</v>
      </c>
      <c r="AU299" s="318">
        <f t="shared" ref="AU299" si="410">AU296*100/AU251</f>
        <v>789.93651943250075</v>
      </c>
    </row>
    <row r="300" spans="2:47">
      <c r="B300" s="409" t="s">
        <v>22</v>
      </c>
      <c r="C300" s="595"/>
      <c r="D300" s="595"/>
      <c r="E300" s="595"/>
      <c r="F300" s="595"/>
      <c r="G300" s="595"/>
      <c r="H300" s="595"/>
      <c r="I300" s="595"/>
      <c r="J300" s="595"/>
      <c r="K300" s="595"/>
      <c r="L300" s="595"/>
      <c r="M300" s="595"/>
      <c r="N300" s="598">
        <f>N298*100/N251</f>
        <v>0</v>
      </c>
      <c r="O300" s="595"/>
      <c r="P300" s="595"/>
      <c r="Q300" s="598">
        <f>Q298*100/Q251</f>
        <v>0</v>
      </c>
      <c r="R300" s="595"/>
      <c r="S300" s="595"/>
      <c r="T300" s="598">
        <f>T298*100/T251</f>
        <v>27.522203921919207</v>
      </c>
      <c r="U300" s="595"/>
      <c r="V300" s="595"/>
      <c r="W300" s="598">
        <f>W298*100/W251</f>
        <v>-2.7306189402931511</v>
      </c>
      <c r="X300" s="595"/>
      <c r="Y300" s="595"/>
      <c r="Z300" s="598">
        <f>Z298*100/Z251</f>
        <v>-5.3746373691307658</v>
      </c>
      <c r="AA300" s="318">
        <f>AA298*100/AA251</f>
        <v>-3.1112507856693834</v>
      </c>
      <c r="AB300" s="318"/>
      <c r="AC300" s="318">
        <f>AC298*100/AC251</f>
        <v>25.179411036872057</v>
      </c>
      <c r="AD300" s="318">
        <f>AD298*100/AD251</f>
        <v>37.368746139592339</v>
      </c>
      <c r="AE300" s="318"/>
      <c r="AF300" s="318">
        <f>AF298*100/AF251</f>
        <v>46.627723028247473</v>
      </c>
      <c r="AG300" s="318">
        <f>AG298*100/AG251</f>
        <v>57.830217591173778</v>
      </c>
      <c r="AH300" s="318"/>
      <c r="AI300" s="318">
        <f>AI298*100/AI251</f>
        <v>74.705986897342072</v>
      </c>
      <c r="AJ300" s="318">
        <f>AJ298*100/AJ251</f>
        <v>69.694189602446471</v>
      </c>
      <c r="AK300" s="318"/>
      <c r="AL300" s="318">
        <f>AL298*100/AL251</f>
        <v>-55.227478156071101</v>
      </c>
      <c r="AM300" s="318">
        <f>AM298*100/AM251</f>
        <v>-55.698860227954427</v>
      </c>
      <c r="AN300" s="318"/>
      <c r="AO300" s="318">
        <f>AO298*100/AO251</f>
        <v>-35.062987402519454</v>
      </c>
      <c r="AP300" s="318">
        <f>AP298*100/AP251</f>
        <v>-15.784753363228754</v>
      </c>
      <c r="AQ300" s="318"/>
      <c r="AR300" s="318">
        <f>AR298*100/AR251</f>
        <v>-30.932456664674234</v>
      </c>
      <c r="AS300" s="318">
        <f>AS298*100/AS251</f>
        <v>-637.6692110430912</v>
      </c>
      <c r="AT300" s="318">
        <f>AT298*100/AT251</f>
        <v>-605.86768462751593</v>
      </c>
      <c r="AU300" s="318">
        <f t="shared" ref="AU300" si="411">AU298*100/AU251</f>
        <v>-565.07894014894771</v>
      </c>
    </row>
    <row r="301" spans="2:47">
      <c r="B301" s="409"/>
      <c r="C301" s="539"/>
      <c r="D301" s="539"/>
      <c r="E301" s="539"/>
      <c r="F301" s="539"/>
      <c r="G301" s="539"/>
      <c r="H301" s="539"/>
      <c r="I301" s="539"/>
      <c r="J301" s="539"/>
      <c r="K301" s="539"/>
      <c r="L301" s="539"/>
      <c r="M301" s="539"/>
      <c r="N301" s="539"/>
      <c r="O301" s="539"/>
      <c r="P301" s="539"/>
      <c r="Q301" s="539"/>
      <c r="R301" s="539"/>
      <c r="S301" s="539"/>
      <c r="T301" s="539"/>
      <c r="U301" s="539"/>
      <c r="V301" s="539"/>
      <c r="W301" s="539"/>
      <c r="X301" s="539"/>
      <c r="Y301" s="539"/>
      <c r="Z301" s="539"/>
      <c r="AA301" s="198"/>
      <c r="AB301" s="198"/>
      <c r="AC301" s="198"/>
      <c r="AD301" s="198"/>
      <c r="AE301" s="198"/>
      <c r="AF301" s="198"/>
      <c r="AG301" s="198"/>
      <c r="AH301" s="198"/>
      <c r="AI301" s="198"/>
      <c r="AJ301" s="198"/>
      <c r="AK301" s="198"/>
      <c r="AL301" s="198"/>
      <c r="AM301" s="198"/>
      <c r="AN301" s="198"/>
      <c r="AO301" s="198"/>
      <c r="AP301" s="198"/>
      <c r="AQ301" s="198"/>
      <c r="AR301" s="198"/>
      <c r="AS301" s="198"/>
      <c r="AT301" s="198"/>
      <c r="AU301" s="198"/>
    </row>
    <row r="302" spans="2:47">
      <c r="B302" s="301" t="s">
        <v>167</v>
      </c>
      <c r="C302" s="497"/>
      <c r="D302" s="497"/>
      <c r="E302" s="497"/>
      <c r="F302" s="497"/>
      <c r="G302" s="497"/>
      <c r="H302" s="497"/>
      <c r="I302" s="497"/>
      <c r="J302" s="497"/>
      <c r="K302" s="497"/>
      <c r="L302" s="497"/>
      <c r="M302" s="497"/>
      <c r="N302" s="497"/>
      <c r="O302" s="497"/>
      <c r="P302" s="497"/>
      <c r="Q302" s="497"/>
      <c r="R302" s="497"/>
      <c r="S302" s="497"/>
      <c r="T302" s="497"/>
      <c r="U302" s="497"/>
      <c r="V302" s="497"/>
      <c r="W302" s="497"/>
      <c r="X302" s="497"/>
      <c r="Y302" s="497"/>
      <c r="Z302" s="497"/>
      <c r="AA302" s="303"/>
      <c r="AB302" s="303"/>
      <c r="AC302" s="303"/>
      <c r="AD302" s="303"/>
      <c r="AE302" s="303"/>
      <c r="AF302" s="303"/>
      <c r="AG302" s="303"/>
      <c r="AH302" s="303"/>
      <c r="AI302" s="303"/>
      <c r="AJ302" s="303"/>
      <c r="AK302" s="303"/>
      <c r="AL302" s="303"/>
      <c r="AM302" s="303"/>
      <c r="AN302" s="303"/>
      <c r="AO302" s="303"/>
      <c r="AP302" s="303"/>
      <c r="AQ302" s="303"/>
      <c r="AR302" s="303"/>
      <c r="AS302" s="303"/>
      <c r="AT302" s="303"/>
      <c r="AU302" s="303"/>
    </row>
    <row r="303" spans="2:47">
      <c r="B303" s="409" t="s">
        <v>208</v>
      </c>
      <c r="C303" s="511"/>
      <c r="D303" s="511"/>
      <c r="E303" s="511"/>
      <c r="F303" s="511"/>
      <c r="G303" s="511"/>
      <c r="H303" s="511"/>
      <c r="I303" s="511"/>
      <c r="J303" s="511"/>
      <c r="K303" s="511"/>
      <c r="L303" s="511"/>
      <c r="M303" s="511"/>
      <c r="N303" s="523">
        <f>N254</f>
        <v>243.94811799999999</v>
      </c>
      <c r="O303" s="511"/>
      <c r="P303" s="511"/>
      <c r="Q303" s="523">
        <f>Q254</f>
        <v>261.87534199999999</v>
      </c>
      <c r="R303" s="511"/>
      <c r="S303" s="511"/>
      <c r="T303" s="523">
        <f>T254</f>
        <v>293.29045400000001</v>
      </c>
      <c r="U303" s="511"/>
      <c r="V303" s="511"/>
      <c r="W303" s="523">
        <f>W254</f>
        <v>293.64101299999999</v>
      </c>
      <c r="X303" s="511"/>
      <c r="Y303" s="511"/>
      <c r="Z303" s="523">
        <f>Z254</f>
        <v>306.39999999999998</v>
      </c>
      <c r="AA303" s="295">
        <f>AA254</f>
        <v>319.3</v>
      </c>
      <c r="AB303" s="295"/>
      <c r="AC303" s="295">
        <f>AC254</f>
        <v>319.8</v>
      </c>
      <c r="AD303" s="295">
        <f>AD254</f>
        <v>324.8</v>
      </c>
      <c r="AE303" s="295"/>
      <c r="AF303" s="295">
        <f>AF254</f>
        <v>325</v>
      </c>
      <c r="AG303" s="295">
        <f>AG254</f>
        <v>325.7</v>
      </c>
      <c r="AH303" s="295"/>
      <c r="AI303" s="295">
        <f t="shared" ref="AI303:AT303" si="412">AI254</f>
        <v>326</v>
      </c>
      <c r="AJ303" s="295">
        <f>AJ254</f>
        <v>327</v>
      </c>
      <c r="AK303" s="295"/>
      <c r="AL303" s="295">
        <f t="shared" si="412"/>
        <v>328.5</v>
      </c>
      <c r="AM303" s="295">
        <f>AM254</f>
        <v>332.9</v>
      </c>
      <c r="AN303" s="295"/>
      <c r="AO303" s="295">
        <f t="shared" ref="AO303" si="413">AO254</f>
        <v>333.2</v>
      </c>
      <c r="AP303" s="295">
        <f>AP254</f>
        <v>334.3</v>
      </c>
      <c r="AQ303" s="295"/>
      <c r="AR303" s="295">
        <f t="shared" ref="AR303" si="414">AR254</f>
        <v>334.4</v>
      </c>
      <c r="AS303" s="295">
        <f t="shared" si="412"/>
        <v>336.8</v>
      </c>
      <c r="AT303" s="295">
        <f t="shared" si="412"/>
        <v>336.8</v>
      </c>
      <c r="AU303" s="295">
        <f t="shared" ref="AU303" si="415">AU254</f>
        <v>336.8</v>
      </c>
    </row>
    <row r="304" spans="2:47">
      <c r="B304" s="409" t="s">
        <v>15</v>
      </c>
      <c r="C304" s="595"/>
      <c r="D304" s="595"/>
      <c r="E304" s="599"/>
      <c r="F304" s="595"/>
      <c r="G304" s="595"/>
      <c r="H304" s="595"/>
      <c r="I304" s="595"/>
      <c r="J304" s="595"/>
      <c r="K304" s="595"/>
      <c r="L304" s="595"/>
      <c r="M304" s="595"/>
      <c r="N304" s="598">
        <f>N303*$E$304</f>
        <v>0</v>
      </c>
      <c r="O304" s="598">
        <f>O303*$E$304</f>
        <v>0</v>
      </c>
      <c r="P304" s="598">
        <f>P303*$E$304</f>
        <v>0</v>
      </c>
      <c r="Q304" s="598">
        <f>Q303*$E$304</f>
        <v>0</v>
      </c>
      <c r="R304" s="595"/>
      <c r="S304" s="595"/>
      <c r="T304" s="598">
        <f>T303*$E$304</f>
        <v>0</v>
      </c>
      <c r="U304" s="595"/>
      <c r="V304" s="595"/>
      <c r="W304" s="598">
        <f>W303*$E$304</f>
        <v>0</v>
      </c>
      <c r="X304" s="595"/>
      <c r="Y304" s="595"/>
      <c r="Z304" s="598">
        <f>Z303*$E$304</f>
        <v>0</v>
      </c>
      <c r="AA304" s="315">
        <f>AA303*$E$304</f>
        <v>0</v>
      </c>
      <c r="AB304" s="315"/>
      <c r="AC304" s="315">
        <f>AC303*$E$304</f>
        <v>0</v>
      </c>
      <c r="AD304" s="315">
        <f>AD303*$E$304</f>
        <v>0</v>
      </c>
      <c r="AE304" s="315"/>
      <c r="AF304" s="315">
        <f>AF303*$E$304</f>
        <v>0</v>
      </c>
      <c r="AG304" s="315">
        <f>AG303*$E$304</f>
        <v>0</v>
      </c>
      <c r="AH304" s="315"/>
      <c r="AI304" s="315">
        <f>AI303*$E$304</f>
        <v>0</v>
      </c>
      <c r="AJ304" s="315">
        <f>AJ303*$E$304</f>
        <v>0</v>
      </c>
      <c r="AK304" s="315"/>
      <c r="AL304" s="315">
        <f>AL303*$E$304</f>
        <v>0</v>
      </c>
      <c r="AM304" s="315">
        <f>AM303*$E$304</f>
        <v>0</v>
      </c>
      <c r="AN304" s="315"/>
      <c r="AO304" s="315">
        <f>AO303*$E$304</f>
        <v>0</v>
      </c>
      <c r="AP304" s="315">
        <f>AP303*$E$304</f>
        <v>0</v>
      </c>
      <c r="AQ304" s="315"/>
      <c r="AR304" s="315">
        <f>AR303*$E$304</f>
        <v>0</v>
      </c>
      <c r="AS304" s="315">
        <f t="shared" ref="AS304:AU304" si="416">AS303*$E$304</f>
        <v>0</v>
      </c>
      <c r="AT304" s="315">
        <f t="shared" si="416"/>
        <v>0</v>
      </c>
      <c r="AU304" s="315">
        <f t="shared" si="416"/>
        <v>0</v>
      </c>
    </row>
    <row r="305" spans="1:47">
      <c r="B305" s="409" t="s">
        <v>161</v>
      </c>
      <c r="C305" s="526"/>
      <c r="D305" s="526"/>
      <c r="E305" s="526"/>
      <c r="F305" s="526"/>
      <c r="G305" s="526"/>
      <c r="H305" s="526"/>
      <c r="I305" s="526"/>
      <c r="J305" s="526"/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413"/>
      <c r="AB305" s="413"/>
      <c r="AC305" s="413"/>
      <c r="AD305" s="413"/>
      <c r="AE305" s="413"/>
      <c r="AF305" s="413"/>
      <c r="AG305" s="413"/>
      <c r="AH305" s="413"/>
      <c r="AI305" s="413"/>
      <c r="AJ305" s="413"/>
      <c r="AK305" s="413"/>
      <c r="AL305" s="413"/>
      <c r="AM305" s="413"/>
      <c r="AN305" s="413"/>
      <c r="AO305" s="413"/>
      <c r="AP305" s="413"/>
      <c r="AQ305" s="413"/>
      <c r="AR305" s="413"/>
      <c r="AS305" s="413"/>
      <c r="AT305" s="413"/>
      <c r="AU305" s="413"/>
    </row>
    <row r="306" spans="1:47">
      <c r="B306" s="409" t="s">
        <v>168</v>
      </c>
      <c r="C306" s="511"/>
      <c r="D306" s="511"/>
      <c r="E306" s="511"/>
      <c r="F306" s="511"/>
      <c r="G306" s="511"/>
      <c r="H306" s="511"/>
      <c r="I306" s="511"/>
      <c r="J306" s="511"/>
      <c r="K306" s="511"/>
      <c r="L306" s="511"/>
      <c r="M306" s="511"/>
      <c r="N306" s="523">
        <f>N167</f>
        <v>0</v>
      </c>
      <c r="O306" s="511"/>
      <c r="P306" s="511"/>
      <c r="Q306" s="523">
        <f>Q167</f>
        <v>0</v>
      </c>
      <c r="R306" s="511"/>
      <c r="S306" s="511"/>
      <c r="T306" s="523">
        <f>T167</f>
        <v>0.17599999999999999</v>
      </c>
      <c r="U306" s="511"/>
      <c r="V306" s="511"/>
      <c r="W306" s="523">
        <f>W167</f>
        <v>0</v>
      </c>
      <c r="X306" s="511"/>
      <c r="Y306" s="511"/>
      <c r="Z306" s="523">
        <f>Z167</f>
        <v>0</v>
      </c>
      <c r="AA306" s="295">
        <f>AA167</f>
        <v>0</v>
      </c>
      <c r="AB306" s="295"/>
      <c r="AC306" s="295">
        <f>AC167</f>
        <v>0</v>
      </c>
      <c r="AD306" s="295">
        <f>AD167</f>
        <v>0</v>
      </c>
      <c r="AE306" s="295"/>
      <c r="AF306" s="295">
        <f>AF167</f>
        <v>0</v>
      </c>
      <c r="AG306" s="295">
        <f>AG167</f>
        <v>0</v>
      </c>
      <c r="AH306" s="295"/>
      <c r="AI306" s="295">
        <f t="shared" ref="AI306:AT306" si="417">AI167</f>
        <v>0</v>
      </c>
      <c r="AJ306" s="295">
        <f>AJ167</f>
        <v>0</v>
      </c>
      <c r="AK306" s="295"/>
      <c r="AL306" s="295">
        <f t="shared" si="417"/>
        <v>0</v>
      </c>
      <c r="AM306" s="295">
        <f>AM167</f>
        <v>0</v>
      </c>
      <c r="AN306" s="295"/>
      <c r="AO306" s="295">
        <f t="shared" ref="AO306" si="418">AO167</f>
        <v>0</v>
      </c>
      <c r="AP306" s="295">
        <f>AP167</f>
        <v>0</v>
      </c>
      <c r="AQ306" s="295"/>
      <c r="AR306" s="295">
        <f t="shared" ref="AR306" si="419">AR167</f>
        <v>0</v>
      </c>
      <c r="AS306" s="295">
        <f t="shared" si="417"/>
        <v>0</v>
      </c>
      <c r="AT306" s="295">
        <f t="shared" si="417"/>
        <v>0</v>
      </c>
      <c r="AU306" s="295">
        <f t="shared" ref="AU306" si="420">AU167</f>
        <v>0</v>
      </c>
    </row>
    <row r="307" spans="1:47">
      <c r="B307" s="409" t="s">
        <v>169</v>
      </c>
      <c r="C307" s="511"/>
      <c r="D307" s="511"/>
      <c r="E307" s="511"/>
      <c r="F307" s="511"/>
      <c r="G307" s="511"/>
      <c r="H307" s="511"/>
      <c r="I307" s="511"/>
      <c r="J307" s="511"/>
      <c r="K307" s="511"/>
      <c r="L307" s="511"/>
      <c r="M307" s="511"/>
      <c r="N307" s="523">
        <f>K307</f>
        <v>0</v>
      </c>
      <c r="O307" s="511"/>
      <c r="P307" s="511"/>
      <c r="Q307" s="523">
        <f>N307</f>
        <v>0</v>
      </c>
      <c r="R307" s="511"/>
      <c r="S307" s="511"/>
      <c r="T307" s="523">
        <f>Q307</f>
        <v>0</v>
      </c>
      <c r="U307" s="511"/>
      <c r="V307" s="511"/>
      <c r="W307" s="523">
        <f>T307</f>
        <v>0</v>
      </c>
      <c r="X307" s="511"/>
      <c r="Y307" s="511"/>
      <c r="Z307" s="523">
        <f>W307</f>
        <v>0</v>
      </c>
      <c r="AA307" s="295">
        <f>X307</f>
        <v>0</v>
      </c>
      <c r="AB307" s="295"/>
      <c r="AC307" s="295">
        <f>Z307</f>
        <v>0</v>
      </c>
      <c r="AD307" s="295">
        <f>AA307</f>
        <v>0</v>
      </c>
      <c r="AE307" s="295"/>
      <c r="AF307" s="295">
        <f>AC307</f>
        <v>0</v>
      </c>
      <c r="AG307" s="295">
        <f>AD307</f>
        <v>0</v>
      </c>
      <c r="AH307" s="295"/>
      <c r="AI307" s="295">
        <f>AF307</f>
        <v>0</v>
      </c>
      <c r="AJ307" s="295">
        <f>AG307</f>
        <v>0</v>
      </c>
      <c r="AK307" s="295"/>
      <c r="AL307" s="295">
        <f>AI307</f>
        <v>0</v>
      </c>
      <c r="AM307" s="295">
        <f>AJ307</f>
        <v>0</v>
      </c>
      <c r="AN307" s="295"/>
      <c r="AO307" s="295">
        <f>AL307</f>
        <v>0</v>
      </c>
      <c r="AP307" s="295">
        <f>AM307</f>
        <v>0</v>
      </c>
      <c r="AQ307" s="295"/>
      <c r="AR307" s="295">
        <f>AO307</f>
        <v>0</v>
      </c>
      <c r="AS307" s="295">
        <f>AR307</f>
        <v>0</v>
      </c>
      <c r="AT307" s="295">
        <f>AS307</f>
        <v>0</v>
      </c>
      <c r="AU307" s="295">
        <f t="shared" ref="AU307" si="421">AT307</f>
        <v>0</v>
      </c>
    </row>
    <row r="308" spans="1:47">
      <c r="B308" s="409" t="s">
        <v>16</v>
      </c>
      <c r="C308" s="526"/>
      <c r="D308" s="526"/>
      <c r="E308" s="526"/>
      <c r="F308" s="526"/>
      <c r="G308" s="526"/>
      <c r="H308" s="526"/>
      <c r="I308" s="526"/>
      <c r="J308" s="526"/>
      <c r="K308" s="526"/>
      <c r="L308" s="526"/>
      <c r="M308" s="526"/>
      <c r="N308" s="514">
        <v>0</v>
      </c>
      <c r="O308" s="526"/>
      <c r="P308" s="526"/>
      <c r="Q308" s="514">
        <v>0</v>
      </c>
      <c r="R308" s="526"/>
      <c r="S308" s="526"/>
      <c r="T308" s="514">
        <v>0</v>
      </c>
      <c r="U308" s="526"/>
      <c r="V308" s="526"/>
      <c r="W308" s="514">
        <v>0</v>
      </c>
      <c r="X308" s="526"/>
      <c r="Y308" s="526"/>
      <c r="Z308" s="514">
        <v>0</v>
      </c>
      <c r="AA308" s="413">
        <v>0</v>
      </c>
      <c r="AB308" s="413"/>
      <c r="AC308" s="413">
        <v>0</v>
      </c>
      <c r="AD308" s="413">
        <v>0</v>
      </c>
      <c r="AE308" s="413"/>
      <c r="AF308" s="413">
        <v>0</v>
      </c>
      <c r="AG308" s="413">
        <v>0</v>
      </c>
      <c r="AH308" s="413"/>
      <c r="AI308" s="413">
        <v>0</v>
      </c>
      <c r="AJ308" s="413">
        <v>0</v>
      </c>
      <c r="AK308" s="413"/>
      <c r="AL308" s="413">
        <v>0</v>
      </c>
      <c r="AM308" s="413">
        <v>0</v>
      </c>
      <c r="AN308" s="413"/>
      <c r="AO308" s="413">
        <v>0</v>
      </c>
      <c r="AP308" s="413">
        <v>0</v>
      </c>
      <c r="AQ308" s="413"/>
      <c r="AR308" s="413">
        <v>0</v>
      </c>
      <c r="AS308" s="413">
        <v>0</v>
      </c>
      <c r="AT308" s="413">
        <v>0</v>
      </c>
      <c r="AU308" s="413">
        <v>0</v>
      </c>
    </row>
    <row r="309" spans="1:47">
      <c r="B309" s="409" t="s">
        <v>173</v>
      </c>
      <c r="C309" s="511"/>
      <c r="D309" s="511"/>
      <c r="E309" s="511"/>
      <c r="F309" s="511"/>
      <c r="G309" s="511"/>
      <c r="H309" s="511"/>
      <c r="I309" s="511"/>
      <c r="J309" s="511"/>
      <c r="K309" s="511"/>
      <c r="L309" s="511"/>
      <c r="M309" s="511"/>
      <c r="N309" s="598">
        <f>SUM(N304:N308)</f>
        <v>0</v>
      </c>
      <c r="O309" s="595"/>
      <c r="P309" s="595"/>
      <c r="Q309" s="598">
        <f>SUM(Q304:Q308)</f>
        <v>0</v>
      </c>
      <c r="R309" s="595"/>
      <c r="S309" s="595"/>
      <c r="T309" s="598">
        <f>SUM(T304:T308)</f>
        <v>0.17599999999999999</v>
      </c>
      <c r="U309" s="595"/>
      <c r="V309" s="595"/>
      <c r="W309" s="598">
        <f>SUM(W304:W308)</f>
        <v>0</v>
      </c>
      <c r="X309" s="595"/>
      <c r="Y309" s="595"/>
      <c r="Z309" s="598">
        <f>SUM(Z304:Z308)</f>
        <v>0</v>
      </c>
      <c r="AA309" s="318">
        <f>SUM(AA304:AA308)</f>
        <v>0</v>
      </c>
      <c r="AB309" s="318"/>
      <c r="AC309" s="318">
        <f>SUM(AC304:AC308)</f>
        <v>0</v>
      </c>
      <c r="AD309" s="318">
        <f>SUM(AD304:AD308)</f>
        <v>0</v>
      </c>
      <c r="AE309" s="318"/>
      <c r="AF309" s="318">
        <f>SUM(AF304:AF308)</f>
        <v>0</v>
      </c>
      <c r="AG309" s="318">
        <f>SUM(AG304:AG308)</f>
        <v>0</v>
      </c>
      <c r="AH309" s="318"/>
      <c r="AI309" s="318">
        <f t="shared" ref="AI309:AT309" si="422">SUM(AI304:AI308)</f>
        <v>0</v>
      </c>
      <c r="AJ309" s="318">
        <f>SUM(AJ304:AJ308)</f>
        <v>0</v>
      </c>
      <c r="AK309" s="318"/>
      <c r="AL309" s="318">
        <f t="shared" si="422"/>
        <v>0</v>
      </c>
      <c r="AM309" s="318">
        <f>SUM(AM304:AM308)</f>
        <v>0</v>
      </c>
      <c r="AN309" s="318"/>
      <c r="AO309" s="318">
        <f t="shared" ref="AO309" si="423">SUM(AO304:AO308)</f>
        <v>0</v>
      </c>
      <c r="AP309" s="318">
        <f>SUM(AP304:AP308)</f>
        <v>0</v>
      </c>
      <c r="AQ309" s="318"/>
      <c r="AR309" s="318">
        <f t="shared" ref="AR309" si="424">SUM(AR304:AR308)</f>
        <v>0</v>
      </c>
      <c r="AS309" s="318">
        <f t="shared" si="422"/>
        <v>0</v>
      </c>
      <c r="AT309" s="318">
        <f t="shared" si="422"/>
        <v>0</v>
      </c>
      <c r="AU309" s="318">
        <f t="shared" ref="AU309" si="425">SUM(AU304:AU308)</f>
        <v>0</v>
      </c>
    </row>
    <row r="310" spans="1:47">
      <c r="B310" s="409" t="s">
        <v>58</v>
      </c>
      <c r="C310" s="511"/>
      <c r="D310" s="511"/>
      <c r="E310" s="511"/>
      <c r="F310" s="511"/>
      <c r="G310" s="511"/>
      <c r="H310" s="511"/>
      <c r="I310" s="511"/>
      <c r="J310" s="511"/>
      <c r="K310" s="511"/>
      <c r="L310" s="511"/>
      <c r="M310" s="511"/>
      <c r="N310" s="598">
        <f>N128</f>
        <v>0</v>
      </c>
      <c r="O310" s="595"/>
      <c r="P310" s="595"/>
      <c r="Q310" s="598">
        <f>Q128</f>
        <v>-45.188000000000002</v>
      </c>
      <c r="R310" s="595"/>
      <c r="S310" s="595"/>
      <c r="T310" s="598">
        <f>T128</f>
        <v>-94.067000000000007</v>
      </c>
      <c r="U310" s="595"/>
      <c r="V310" s="595"/>
      <c r="W310" s="598">
        <f>W128</f>
        <v>-108.547</v>
      </c>
      <c r="X310" s="595"/>
      <c r="Y310" s="595"/>
      <c r="Z310" s="598">
        <f>Z128</f>
        <v>-188.78600000000003</v>
      </c>
      <c r="AA310" s="318">
        <f>AA128</f>
        <v>-9.6499999999999986</v>
      </c>
      <c r="AB310" s="318"/>
      <c r="AC310" s="318">
        <f>AC128</f>
        <v>-206.01800000000003</v>
      </c>
      <c r="AD310" s="318">
        <f>AD128</f>
        <v>-104.30000000000001</v>
      </c>
      <c r="AE310" s="318"/>
      <c r="AF310" s="318">
        <f>AF128</f>
        <v>-195.4</v>
      </c>
      <c r="AG310" s="318">
        <f>AG128</f>
        <v>-232.65</v>
      </c>
      <c r="AH310" s="318"/>
      <c r="AI310" s="318">
        <f t="shared" ref="AI310:AT310" si="426">AI128</f>
        <v>-284.89999999999998</v>
      </c>
      <c r="AJ310" s="318">
        <f>AJ128</f>
        <v>-304</v>
      </c>
      <c r="AK310" s="318"/>
      <c r="AL310" s="318">
        <f t="shared" si="426"/>
        <v>-139.20000000000002</v>
      </c>
      <c r="AM310" s="318">
        <f>AM128</f>
        <v>-147.15</v>
      </c>
      <c r="AN310" s="318"/>
      <c r="AO310" s="318">
        <f t="shared" ref="AO310" si="427">AO128</f>
        <v>13.399999999999995</v>
      </c>
      <c r="AP310" s="318">
        <f>AP128</f>
        <v>-17.649999999999999</v>
      </c>
      <c r="AQ310" s="318"/>
      <c r="AR310" s="318">
        <f t="shared" ref="AR310" si="428">AR128</f>
        <v>-65</v>
      </c>
      <c r="AS310" s="318">
        <f t="shared" si="426"/>
        <v>917.86570999922878</v>
      </c>
      <c r="AT310" s="318">
        <f t="shared" si="426"/>
        <v>1889.5904513448195</v>
      </c>
      <c r="AU310" s="318">
        <f t="shared" ref="AU310" si="429">AU128</f>
        <v>1776.7781525805551</v>
      </c>
    </row>
    <row r="311" spans="1:47">
      <c r="B311" s="409" t="s">
        <v>17</v>
      </c>
      <c r="C311" s="511"/>
      <c r="D311" s="511"/>
      <c r="E311" s="511"/>
      <c r="F311" s="511"/>
      <c r="G311" s="511"/>
      <c r="H311" s="511"/>
      <c r="I311" s="511"/>
      <c r="J311" s="511"/>
      <c r="K311" s="511"/>
      <c r="L311" s="511"/>
      <c r="M311" s="511"/>
      <c r="N311" s="598">
        <f>SUM(N309:N310)</f>
        <v>0</v>
      </c>
      <c r="O311" s="595"/>
      <c r="P311" s="595"/>
      <c r="Q311" s="598">
        <f>SUM(Q309:Q310)</f>
        <v>-45.188000000000002</v>
      </c>
      <c r="R311" s="595"/>
      <c r="S311" s="595"/>
      <c r="T311" s="598">
        <f>SUM(T309:T310)</f>
        <v>-93.891000000000005</v>
      </c>
      <c r="U311" s="595"/>
      <c r="V311" s="595"/>
      <c r="W311" s="598">
        <f>SUM(W309:W310)</f>
        <v>-108.547</v>
      </c>
      <c r="X311" s="595"/>
      <c r="Y311" s="595"/>
      <c r="Z311" s="598">
        <f>SUM(Z309:Z310)</f>
        <v>-188.78600000000003</v>
      </c>
      <c r="AA311" s="318">
        <f>SUM(AA309:AA310)</f>
        <v>-9.6499999999999986</v>
      </c>
      <c r="AB311" s="318"/>
      <c r="AC311" s="318">
        <f>SUM(AC309:AC310)</f>
        <v>-206.01800000000003</v>
      </c>
      <c r="AD311" s="318">
        <f>SUM(AD309:AD310)</f>
        <v>-104.30000000000001</v>
      </c>
      <c r="AE311" s="318"/>
      <c r="AF311" s="318">
        <f>SUM(AF309:AF310)</f>
        <v>-195.4</v>
      </c>
      <c r="AG311" s="318">
        <f>SUM(AG309:AG310)</f>
        <v>-232.65</v>
      </c>
      <c r="AH311" s="318"/>
      <c r="AI311" s="318">
        <f t="shared" ref="AI311:AT311" si="430">SUM(AI309:AI310)</f>
        <v>-284.89999999999998</v>
      </c>
      <c r="AJ311" s="318">
        <f>SUM(AJ309:AJ310)</f>
        <v>-304</v>
      </c>
      <c r="AK311" s="318"/>
      <c r="AL311" s="318">
        <f t="shared" si="430"/>
        <v>-139.20000000000002</v>
      </c>
      <c r="AM311" s="318">
        <f>SUM(AM309:AM310)</f>
        <v>-147.15</v>
      </c>
      <c r="AN311" s="318"/>
      <c r="AO311" s="318">
        <f t="shared" ref="AO311" si="431">SUM(AO309:AO310)</f>
        <v>13.399999999999995</v>
      </c>
      <c r="AP311" s="318">
        <f>SUM(AP309:AP310)</f>
        <v>-17.649999999999999</v>
      </c>
      <c r="AQ311" s="318"/>
      <c r="AR311" s="318">
        <f t="shared" ref="AR311" si="432">SUM(AR309:AR310)</f>
        <v>-65</v>
      </c>
      <c r="AS311" s="318">
        <f t="shared" si="430"/>
        <v>917.86570999922878</v>
      </c>
      <c r="AT311" s="318">
        <f t="shared" si="430"/>
        <v>1889.5904513448195</v>
      </c>
      <c r="AU311" s="318">
        <f t="shared" ref="AU311" si="433">SUM(AU309:AU310)</f>
        <v>1776.7781525805551</v>
      </c>
    </row>
    <row r="312" spans="1:47">
      <c r="B312" s="409"/>
      <c r="C312" s="539"/>
      <c r="D312" s="539"/>
      <c r="E312" s="539"/>
      <c r="F312" s="539"/>
      <c r="G312" s="539"/>
      <c r="H312" s="539"/>
      <c r="I312" s="539"/>
      <c r="J312" s="539"/>
      <c r="K312" s="539"/>
      <c r="L312" s="539"/>
      <c r="M312" s="539"/>
      <c r="N312" s="539"/>
      <c r="O312" s="539"/>
      <c r="P312" s="539"/>
      <c r="Q312" s="539"/>
      <c r="R312" s="539"/>
      <c r="S312" s="539"/>
      <c r="T312" s="539"/>
      <c r="U312" s="539"/>
      <c r="V312" s="539"/>
      <c r="W312" s="539"/>
      <c r="X312" s="539"/>
      <c r="Y312" s="539"/>
      <c r="Z312" s="539"/>
    </row>
    <row r="313" spans="1:47">
      <c r="B313" s="480"/>
      <c r="C313" s="539"/>
      <c r="D313" s="539"/>
      <c r="E313" s="539"/>
      <c r="F313" s="539"/>
      <c r="G313" s="539"/>
      <c r="H313" s="539"/>
      <c r="I313" s="539"/>
      <c r="J313" s="539"/>
      <c r="K313" s="539"/>
      <c r="L313" s="539"/>
      <c r="M313" s="539"/>
      <c r="N313" s="539"/>
      <c r="O313" s="539"/>
      <c r="P313" s="539"/>
      <c r="Q313" s="539"/>
      <c r="R313" s="539"/>
      <c r="S313" s="539"/>
      <c r="T313" s="539"/>
      <c r="U313" s="539"/>
      <c r="V313" s="539"/>
      <c r="W313" s="539"/>
      <c r="X313" s="539"/>
      <c r="Y313" s="539"/>
      <c r="Z313" s="539"/>
    </row>
    <row r="314" spans="1:47">
      <c r="B314" s="301" t="s">
        <v>355</v>
      </c>
      <c r="C314" s="497"/>
      <c r="D314" s="497"/>
      <c r="E314" s="497"/>
      <c r="F314" s="497"/>
      <c r="G314" s="497"/>
      <c r="H314" s="497"/>
      <c r="I314" s="497"/>
      <c r="J314" s="497"/>
      <c r="K314" s="497"/>
      <c r="L314" s="497"/>
      <c r="M314" s="497"/>
      <c r="N314" s="497"/>
      <c r="O314" s="497"/>
      <c r="P314" s="497"/>
      <c r="Q314" s="497"/>
      <c r="R314" s="497"/>
      <c r="S314" s="497"/>
      <c r="T314" s="497"/>
      <c r="U314" s="497"/>
      <c r="V314" s="497"/>
      <c r="W314" s="497"/>
      <c r="X314" s="497"/>
      <c r="Y314" s="497"/>
      <c r="Z314" s="497"/>
      <c r="AA314" s="303"/>
      <c r="AB314" s="303"/>
      <c r="AC314" s="303"/>
      <c r="AD314" s="303"/>
      <c r="AE314" s="303"/>
      <c r="AF314" s="303"/>
      <c r="AG314" s="303"/>
      <c r="AH314" s="303"/>
      <c r="AI314" s="303"/>
      <c r="AJ314" s="303"/>
      <c r="AK314" s="303"/>
      <c r="AL314" s="303"/>
      <c r="AM314" s="303"/>
      <c r="AN314" s="303"/>
      <c r="AO314" s="303"/>
      <c r="AP314" s="303"/>
      <c r="AQ314" s="303"/>
      <c r="AR314" s="303"/>
      <c r="AS314" s="303"/>
      <c r="AT314" s="303"/>
      <c r="AU314" s="303"/>
    </row>
    <row r="315" spans="1:47" s="388" customFormat="1">
      <c r="A315" s="370" t="s">
        <v>563</v>
      </c>
      <c r="B315" s="388" t="s">
        <v>575</v>
      </c>
      <c r="C315" s="539"/>
      <c r="D315" s="539"/>
      <c r="E315" s="539"/>
      <c r="F315" s="539"/>
      <c r="G315" s="539"/>
      <c r="H315" s="539"/>
      <c r="I315" s="539"/>
      <c r="J315" s="539"/>
      <c r="K315" s="539"/>
      <c r="L315" s="539"/>
      <c r="M315" s="539"/>
      <c r="N315" s="588">
        <v>13.292999999999999</v>
      </c>
      <c r="O315" s="600"/>
      <c r="P315" s="600"/>
      <c r="Q315" s="588">
        <v>17.738</v>
      </c>
      <c r="R315" s="588">
        <v>9.6760000000000002</v>
      </c>
      <c r="S315" s="601">
        <f>T315-R315</f>
        <v>12.331000000000001</v>
      </c>
      <c r="T315" s="588">
        <v>22.007000000000001</v>
      </c>
      <c r="U315" s="602">
        <v>18.100000000000001</v>
      </c>
      <c r="V315" s="601">
        <f>W315-U315</f>
        <v>17.199999999999996</v>
      </c>
      <c r="W315" s="602">
        <v>35.299999999999997</v>
      </c>
      <c r="X315" s="602">
        <v>20.100000000000001</v>
      </c>
      <c r="Y315" s="601">
        <f>Z315-X315</f>
        <v>26.799999999999997</v>
      </c>
      <c r="Z315" s="602">
        <v>46.9</v>
      </c>
      <c r="AA315" s="420">
        <v>24.8</v>
      </c>
      <c r="AB315" s="388">
        <f>AC315-AA315</f>
        <v>26.400000000000002</v>
      </c>
      <c r="AC315" s="420">
        <v>51.2</v>
      </c>
      <c r="AD315" s="420">
        <v>27.5</v>
      </c>
      <c r="AE315" s="388">
        <f>AF315-AD315</f>
        <v>30.799999999999997</v>
      </c>
      <c r="AF315" s="420">
        <v>58.3</v>
      </c>
      <c r="AG315" s="420">
        <v>29.1</v>
      </c>
      <c r="AH315" s="388">
        <f>AI315-AG315</f>
        <v>33.1</v>
      </c>
      <c r="AI315" s="420">
        <v>62.2</v>
      </c>
      <c r="AJ315" s="420">
        <v>41.4</v>
      </c>
      <c r="AK315" s="388">
        <f>AL315-AJ315</f>
        <v>49.6</v>
      </c>
      <c r="AL315" s="420">
        <v>91</v>
      </c>
      <c r="AM315" s="420">
        <v>62.9</v>
      </c>
      <c r="AN315" s="388">
        <f>AO315-AM315</f>
        <v>65.900000000000006</v>
      </c>
      <c r="AO315" s="420">
        <v>128.80000000000001</v>
      </c>
      <c r="AP315" s="420">
        <v>74.400000000000006</v>
      </c>
      <c r="AQ315" s="388">
        <f>AR315-AP315</f>
        <v>70.699999999999989</v>
      </c>
      <c r="AR315" s="420">
        <v>145.1</v>
      </c>
      <c r="AS315" s="388">
        <f t="shared" ref="AS315:AU315" si="434">AS320</f>
        <v>257.65993962259461</v>
      </c>
      <c r="AT315" s="388">
        <f t="shared" si="434"/>
        <v>309.58884007754784</v>
      </c>
      <c r="AU315" s="388">
        <f t="shared" si="434"/>
        <v>363.59966343673364</v>
      </c>
    </row>
    <row r="316" spans="1:47" s="388" customFormat="1">
      <c r="A316" s="370" t="s">
        <v>564</v>
      </c>
      <c r="B316" s="388" t="s">
        <v>31</v>
      </c>
      <c r="C316" s="539"/>
      <c r="D316" s="539"/>
      <c r="E316" s="539"/>
      <c r="F316" s="539"/>
      <c r="G316" s="539"/>
      <c r="H316" s="539"/>
      <c r="I316" s="539"/>
      <c r="J316" s="539"/>
      <c r="K316" s="539"/>
      <c r="L316" s="539"/>
      <c r="M316" s="539"/>
      <c r="N316" s="588">
        <v>2.6070000000000002</v>
      </c>
      <c r="O316" s="539"/>
      <c r="P316" s="539"/>
      <c r="Q316" s="588">
        <v>2.3959999999999999</v>
      </c>
      <c r="R316" s="588">
        <v>4.1440000000000001</v>
      </c>
      <c r="S316" s="601">
        <f>T316-R316</f>
        <v>2.7459999999999996</v>
      </c>
      <c r="T316" s="588">
        <v>6.89</v>
      </c>
      <c r="U316" s="601">
        <f>U317-U315</f>
        <v>1.666999999999998</v>
      </c>
      <c r="V316" s="601">
        <f>W316-U316</f>
        <v>0.79800000000000537</v>
      </c>
      <c r="W316" s="601">
        <f>W317-W315</f>
        <v>2.4650000000000034</v>
      </c>
      <c r="X316" s="601">
        <f>X317-X315</f>
        <v>1.3000000000000007</v>
      </c>
      <c r="Y316" s="601">
        <f>Z316-X316</f>
        <v>2.1999999999999993</v>
      </c>
      <c r="Z316" s="601">
        <f>Z317-Z315</f>
        <v>3.5</v>
      </c>
      <c r="AA316" s="388">
        <f>AA317-AA315</f>
        <v>3.8000000000000007</v>
      </c>
      <c r="AB316" s="388">
        <f>AC316-AA316</f>
        <v>5.6999999999999993</v>
      </c>
      <c r="AC316" s="388">
        <f>AC317-AC315</f>
        <v>9.5</v>
      </c>
      <c r="AD316" s="388">
        <f>AD317-AD315</f>
        <v>3.3999999999999986</v>
      </c>
      <c r="AE316" s="388">
        <f>AF316-AD316</f>
        <v>5.6000000000000014</v>
      </c>
      <c r="AF316" s="388">
        <f>AF317-AF315</f>
        <v>9</v>
      </c>
      <c r="AG316" s="388">
        <f>AG317-AG315</f>
        <v>3.7999999999999972</v>
      </c>
      <c r="AH316" s="388">
        <f>AI316-AG316</f>
        <v>8.5</v>
      </c>
      <c r="AI316" s="388">
        <f>AI317-AI315</f>
        <v>12.299999999999997</v>
      </c>
      <c r="AJ316" s="388">
        <f>AJ317-AJ315</f>
        <v>2.5000000000000071</v>
      </c>
      <c r="AK316" s="388">
        <f>AL316-AJ316</f>
        <v>2.0999999999999872</v>
      </c>
      <c r="AL316" s="388">
        <f>AL317-AL315</f>
        <v>4.5999999999999943</v>
      </c>
      <c r="AM316" s="388">
        <f>AM317-AM315</f>
        <v>-1.0999999999999943</v>
      </c>
      <c r="AN316" s="388">
        <f>AO316-AM316</f>
        <v>2.3999999999999773</v>
      </c>
      <c r="AO316" s="388">
        <f>AO317-AO315</f>
        <v>1.2999999999999829</v>
      </c>
      <c r="AP316" s="388">
        <f>AP317-AP315</f>
        <v>4.1999999999999886</v>
      </c>
      <c r="AQ316" s="388">
        <f>AR316-AP316</f>
        <v>0.20000000000001705</v>
      </c>
      <c r="AR316" s="388">
        <f>AR317-AR315</f>
        <v>4.4000000000000057</v>
      </c>
      <c r="AS316" s="388">
        <f>AS$8*AS326</f>
        <v>28.314279079406003</v>
      </c>
      <c r="AT316" s="388">
        <f t="shared" ref="AT316:AU316" si="435">AT$8*AT326</f>
        <v>33.378850682215401</v>
      </c>
      <c r="AU316" s="388">
        <f t="shared" si="435"/>
        <v>38.476154861030018</v>
      </c>
    </row>
    <row r="317" spans="1:47" s="387" customFormat="1">
      <c r="A317" s="376"/>
      <c r="B317" s="387" t="s">
        <v>574</v>
      </c>
      <c r="C317" s="603"/>
      <c r="D317" s="603"/>
      <c r="E317" s="603"/>
      <c r="F317" s="603"/>
      <c r="G317" s="603"/>
      <c r="H317" s="603"/>
      <c r="I317" s="603"/>
      <c r="J317" s="603"/>
      <c r="K317" s="603"/>
      <c r="L317" s="603"/>
      <c r="M317" s="603"/>
      <c r="N317" s="604">
        <f>SUM(N315:N316)</f>
        <v>15.899999999999999</v>
      </c>
      <c r="O317" s="603"/>
      <c r="P317" s="603"/>
      <c r="Q317" s="604">
        <f>SUM(Q315:Q316)</f>
        <v>20.134</v>
      </c>
      <c r="R317" s="604">
        <f>SUM(R315:R316)</f>
        <v>13.82</v>
      </c>
      <c r="S317" s="604">
        <f>T317-R317</f>
        <v>15.077000000000002</v>
      </c>
      <c r="T317" s="604">
        <f>SUM(T315:T316)</f>
        <v>28.897000000000002</v>
      </c>
      <c r="U317" s="605">
        <f>17.15+2.617</f>
        <v>19.766999999999999</v>
      </c>
      <c r="V317" s="604">
        <f>W317-U317</f>
        <v>17.998000000000001</v>
      </c>
      <c r="W317" s="605">
        <f>32.719+5.046</f>
        <v>37.765000000000001</v>
      </c>
      <c r="X317" s="605">
        <f>18.3+3.1</f>
        <v>21.400000000000002</v>
      </c>
      <c r="Y317" s="604">
        <f>Z317-X317</f>
        <v>28.999999999999996</v>
      </c>
      <c r="Z317" s="605">
        <f>43.8+6.6</f>
        <v>50.4</v>
      </c>
      <c r="AA317" s="481">
        <f>22.6+6</f>
        <v>28.6</v>
      </c>
      <c r="AB317" s="482">
        <f>+AC317-AA317</f>
        <v>32.1</v>
      </c>
      <c r="AC317" s="481">
        <f>47.1+13.6</f>
        <v>60.7</v>
      </c>
      <c r="AD317" s="481">
        <f>26+4.9</f>
        <v>30.9</v>
      </c>
      <c r="AE317" s="482">
        <f>+AF317-AD317</f>
        <v>36.4</v>
      </c>
      <c r="AF317" s="481">
        <f>55.3+12</f>
        <v>67.3</v>
      </c>
      <c r="AG317" s="481">
        <f>25.5+7.4</f>
        <v>32.9</v>
      </c>
      <c r="AH317" s="482">
        <f>+AI317-AG317</f>
        <v>41.6</v>
      </c>
      <c r="AI317" s="481">
        <f>55+19.5</f>
        <v>74.5</v>
      </c>
      <c r="AJ317" s="481">
        <f>33.7+10.2</f>
        <v>43.900000000000006</v>
      </c>
      <c r="AK317" s="482">
        <f>+AL317-AJ317</f>
        <v>51.699999999999989</v>
      </c>
      <c r="AL317" s="481">
        <f>77.5+18.1</f>
        <v>95.6</v>
      </c>
      <c r="AM317" s="481">
        <f>55.2+6.6</f>
        <v>61.800000000000004</v>
      </c>
      <c r="AN317" s="482">
        <f>+AO317-AM317</f>
        <v>68.299999999999983</v>
      </c>
      <c r="AO317" s="481">
        <f>113.6+16.5</f>
        <v>130.1</v>
      </c>
      <c r="AP317" s="481">
        <f>65.3+13.3</f>
        <v>78.599999999999994</v>
      </c>
      <c r="AQ317" s="482">
        <f>+AR317-AP317</f>
        <v>70.900000000000006</v>
      </c>
      <c r="AR317" s="481">
        <f>126.5+23</f>
        <v>149.5</v>
      </c>
      <c r="AS317" s="387">
        <f t="shared" ref="AS317:AU317" si="436">SUM(AS315:AS316)</f>
        <v>285.9742187020006</v>
      </c>
      <c r="AT317" s="387">
        <f t="shared" si="436"/>
        <v>342.96769075976323</v>
      </c>
      <c r="AU317" s="387">
        <f t="shared" si="436"/>
        <v>402.07581829776365</v>
      </c>
    </row>
    <row r="318" spans="1:47">
      <c r="C318" s="539"/>
      <c r="D318" s="539"/>
      <c r="E318" s="539"/>
      <c r="F318" s="539"/>
      <c r="G318" s="539"/>
      <c r="H318" s="539"/>
      <c r="I318" s="539"/>
      <c r="J318" s="539"/>
      <c r="K318" s="539"/>
      <c r="L318" s="539"/>
      <c r="M318" s="539"/>
      <c r="N318" s="539"/>
      <c r="O318" s="539"/>
      <c r="P318" s="539"/>
      <c r="Q318" s="539"/>
      <c r="R318" s="539"/>
      <c r="S318" s="539"/>
      <c r="T318" s="539"/>
      <c r="U318" s="539"/>
      <c r="V318" s="539"/>
      <c r="W318" s="539"/>
      <c r="X318" s="539"/>
      <c r="Y318" s="539"/>
      <c r="Z318" s="539"/>
      <c r="AS318" s="483"/>
      <c r="AT318" s="483"/>
      <c r="AU318" s="483"/>
    </row>
    <row r="319" spans="1:47">
      <c r="B319" s="305" t="s">
        <v>576</v>
      </c>
      <c r="C319" s="539"/>
      <c r="D319" s="539"/>
      <c r="E319" s="539"/>
      <c r="F319" s="539"/>
      <c r="G319" s="539"/>
      <c r="H319" s="539"/>
      <c r="I319" s="539"/>
      <c r="J319" s="539"/>
      <c r="K319" s="539"/>
      <c r="L319" s="539"/>
      <c r="M319" s="539"/>
      <c r="N319" s="523">
        <f>N15</f>
        <v>17</v>
      </c>
      <c r="O319" s="539"/>
      <c r="P319" s="539"/>
      <c r="Q319" s="523">
        <f t="shared" ref="Q319:Z319" si="437">Q15</f>
        <v>21.1</v>
      </c>
      <c r="R319" s="523">
        <f t="shared" si="437"/>
        <v>14.3</v>
      </c>
      <c r="S319" s="523">
        <f t="shared" si="437"/>
        <v>14.099999999999998</v>
      </c>
      <c r="T319" s="523">
        <f t="shared" si="437"/>
        <v>28.4</v>
      </c>
      <c r="U319" s="523">
        <f t="shared" si="437"/>
        <v>17.2</v>
      </c>
      <c r="V319" s="523">
        <f t="shared" si="437"/>
        <v>23.900000000000002</v>
      </c>
      <c r="W319" s="523">
        <f t="shared" si="437"/>
        <v>41.1</v>
      </c>
      <c r="X319" s="523">
        <f t="shared" si="437"/>
        <v>31.2</v>
      </c>
      <c r="Y319" s="523">
        <f t="shared" si="437"/>
        <v>34.899999999999991</v>
      </c>
      <c r="Z319" s="523">
        <f t="shared" si="437"/>
        <v>66.099999999999994</v>
      </c>
      <c r="AA319" s="311">
        <f t="shared" ref="AA319:AO319" si="438">AA15</f>
        <v>26.3</v>
      </c>
      <c r="AB319" s="311">
        <f t="shared" si="438"/>
        <v>30.599999999999998</v>
      </c>
      <c r="AC319" s="311">
        <f t="shared" si="438"/>
        <v>56.9</v>
      </c>
      <c r="AD319" s="311">
        <f t="shared" si="438"/>
        <v>31.8</v>
      </c>
      <c r="AE319" s="311">
        <f t="shared" si="438"/>
        <v>33.900000000000006</v>
      </c>
      <c r="AF319" s="311">
        <f t="shared" si="438"/>
        <v>65.7</v>
      </c>
      <c r="AG319" s="311">
        <f t="shared" si="438"/>
        <v>33.4</v>
      </c>
      <c r="AH319" s="311">
        <f t="shared" si="438"/>
        <v>37.300000000000004</v>
      </c>
      <c r="AI319" s="311">
        <f t="shared" si="438"/>
        <v>70.7</v>
      </c>
      <c r="AJ319" s="311">
        <f t="shared" si="438"/>
        <v>36.700000000000003</v>
      </c>
      <c r="AK319" s="311">
        <f t="shared" si="438"/>
        <v>49.599999999999994</v>
      </c>
      <c r="AL319" s="311">
        <f t="shared" si="438"/>
        <v>86.3</v>
      </c>
      <c r="AM319" s="311">
        <f t="shared" si="438"/>
        <v>53.5</v>
      </c>
      <c r="AN319" s="311">
        <f t="shared" si="438"/>
        <v>59.8</v>
      </c>
      <c r="AO319" s="311">
        <f t="shared" si="438"/>
        <v>113.3</v>
      </c>
      <c r="AP319" s="311">
        <f t="shared" ref="AP319:AR319" si="439">AP15</f>
        <v>62.6</v>
      </c>
      <c r="AQ319" s="311">
        <f t="shared" si="439"/>
        <v>56.1</v>
      </c>
      <c r="AR319" s="311">
        <f t="shared" si="439"/>
        <v>118.7</v>
      </c>
      <c r="AS319" s="483">
        <f t="shared" ref="AS319:AU319" si="440">AS321-AS320</f>
        <v>237.83994426701037</v>
      </c>
      <c r="AT319" s="483">
        <f>AT321-AT320</f>
        <v>274.54104686122162</v>
      </c>
      <c r="AU319" s="483">
        <f t="shared" si="440"/>
        <v>309.73304663129159</v>
      </c>
    </row>
    <row r="320" spans="1:47">
      <c r="B320" s="305" t="s">
        <v>575</v>
      </c>
      <c r="C320" s="539"/>
      <c r="D320" s="539"/>
      <c r="E320" s="539"/>
      <c r="F320" s="539"/>
      <c r="G320" s="539"/>
      <c r="H320" s="539"/>
      <c r="I320" s="539"/>
      <c r="J320" s="539"/>
      <c r="K320" s="539"/>
      <c r="L320" s="539"/>
      <c r="M320" s="539"/>
      <c r="N320" s="523">
        <f>N315</f>
        <v>13.292999999999999</v>
      </c>
      <c r="O320" s="539"/>
      <c r="P320" s="539"/>
      <c r="Q320" s="523">
        <f t="shared" ref="Q320:Z320" si="441">Q315</f>
        <v>17.738</v>
      </c>
      <c r="R320" s="523">
        <f t="shared" si="441"/>
        <v>9.6760000000000002</v>
      </c>
      <c r="S320" s="523">
        <f t="shared" si="441"/>
        <v>12.331000000000001</v>
      </c>
      <c r="T320" s="523">
        <f t="shared" si="441"/>
        <v>22.007000000000001</v>
      </c>
      <c r="U320" s="523">
        <f t="shared" si="441"/>
        <v>18.100000000000001</v>
      </c>
      <c r="V320" s="523">
        <f t="shared" si="441"/>
        <v>17.199999999999996</v>
      </c>
      <c r="W320" s="523">
        <f t="shared" si="441"/>
        <v>35.299999999999997</v>
      </c>
      <c r="X320" s="523">
        <f t="shared" si="441"/>
        <v>20.100000000000001</v>
      </c>
      <c r="Y320" s="523">
        <f t="shared" si="441"/>
        <v>26.799999999999997</v>
      </c>
      <c r="Z320" s="523">
        <f t="shared" si="441"/>
        <v>46.9</v>
      </c>
      <c r="AA320" s="311">
        <f t="shared" ref="AA320:AE320" si="442">AA315</f>
        <v>24.8</v>
      </c>
      <c r="AB320" s="311">
        <f t="shared" si="442"/>
        <v>26.400000000000002</v>
      </c>
      <c r="AC320" s="311">
        <f t="shared" si="442"/>
        <v>51.2</v>
      </c>
      <c r="AD320" s="311">
        <f t="shared" si="442"/>
        <v>27.5</v>
      </c>
      <c r="AE320" s="311">
        <f t="shared" si="442"/>
        <v>30.799999999999997</v>
      </c>
      <c r="AF320" s="311">
        <f t="shared" ref="AF320:AJ320" si="443">AF315</f>
        <v>58.3</v>
      </c>
      <c r="AG320" s="311">
        <f t="shared" si="443"/>
        <v>29.1</v>
      </c>
      <c r="AH320" s="311">
        <f t="shared" si="443"/>
        <v>33.1</v>
      </c>
      <c r="AI320" s="311">
        <f t="shared" si="443"/>
        <v>62.2</v>
      </c>
      <c r="AJ320" s="311">
        <f t="shared" si="443"/>
        <v>41.4</v>
      </c>
      <c r="AK320" s="311">
        <f t="shared" ref="AK320:AM320" si="444">AK315</f>
        <v>49.6</v>
      </c>
      <c r="AL320" s="311">
        <f t="shared" si="444"/>
        <v>91</v>
      </c>
      <c r="AM320" s="311">
        <f t="shared" si="444"/>
        <v>62.9</v>
      </c>
      <c r="AN320" s="311">
        <f t="shared" ref="AN320:AP320" si="445">AN315</f>
        <v>65.900000000000006</v>
      </c>
      <c r="AO320" s="311">
        <f t="shared" si="445"/>
        <v>128.80000000000001</v>
      </c>
      <c r="AP320" s="311">
        <f t="shared" si="445"/>
        <v>74.400000000000006</v>
      </c>
      <c r="AQ320" s="311">
        <f t="shared" ref="AQ320:AR320" si="446">AQ315</f>
        <v>70.699999999999989</v>
      </c>
      <c r="AR320" s="311">
        <f t="shared" si="446"/>
        <v>145.1</v>
      </c>
      <c r="AS320" s="311">
        <f t="shared" ref="AS320:AU320" si="447">AS323*AS321</f>
        <v>257.65993962259461</v>
      </c>
      <c r="AT320" s="311">
        <f t="shared" si="447"/>
        <v>309.58884007754784</v>
      </c>
      <c r="AU320" s="311">
        <f t="shared" si="447"/>
        <v>363.59966343673364</v>
      </c>
    </row>
    <row r="321" spans="1:47" s="397" customFormat="1">
      <c r="A321" s="290"/>
      <c r="B321" s="397" t="s">
        <v>357</v>
      </c>
      <c r="C321" s="603"/>
      <c r="D321" s="603"/>
      <c r="E321" s="603"/>
      <c r="F321" s="603"/>
      <c r="G321" s="603"/>
      <c r="H321" s="603"/>
      <c r="I321" s="603"/>
      <c r="J321" s="603"/>
      <c r="K321" s="603"/>
      <c r="L321" s="603"/>
      <c r="M321" s="603"/>
      <c r="N321" s="515">
        <f>SUM(N319:N320)</f>
        <v>30.292999999999999</v>
      </c>
      <c r="O321" s="603"/>
      <c r="P321" s="603"/>
      <c r="Q321" s="515">
        <f t="shared" ref="Q321:Z321" si="448">SUM(Q319:Q320)</f>
        <v>38.838000000000001</v>
      </c>
      <c r="R321" s="515">
        <f t="shared" si="448"/>
        <v>23.975999999999999</v>
      </c>
      <c r="S321" s="515">
        <f t="shared" si="448"/>
        <v>26.430999999999997</v>
      </c>
      <c r="T321" s="515">
        <f t="shared" si="448"/>
        <v>50.406999999999996</v>
      </c>
      <c r="U321" s="515">
        <f t="shared" si="448"/>
        <v>35.299999999999997</v>
      </c>
      <c r="V321" s="515">
        <f t="shared" si="448"/>
        <v>41.099999999999994</v>
      </c>
      <c r="W321" s="515">
        <f t="shared" si="448"/>
        <v>76.400000000000006</v>
      </c>
      <c r="X321" s="515">
        <f t="shared" si="448"/>
        <v>51.3</v>
      </c>
      <c r="Y321" s="515">
        <f t="shared" si="448"/>
        <v>61.699999999999989</v>
      </c>
      <c r="Z321" s="515">
        <f t="shared" si="448"/>
        <v>113</v>
      </c>
      <c r="AA321" s="332">
        <f t="shared" ref="AA321:AE321" si="449">SUM(AA319:AA320)</f>
        <v>51.1</v>
      </c>
      <c r="AB321" s="332">
        <f t="shared" si="449"/>
        <v>57</v>
      </c>
      <c r="AC321" s="332">
        <f t="shared" si="449"/>
        <v>108.1</v>
      </c>
      <c r="AD321" s="332">
        <f t="shared" si="449"/>
        <v>59.3</v>
      </c>
      <c r="AE321" s="332">
        <f t="shared" si="449"/>
        <v>64.7</v>
      </c>
      <c r="AF321" s="332">
        <f t="shared" ref="AF321:AJ321" si="450">SUM(AF319:AF320)</f>
        <v>124</v>
      </c>
      <c r="AG321" s="332">
        <f t="shared" si="450"/>
        <v>62.5</v>
      </c>
      <c r="AH321" s="332">
        <f t="shared" si="450"/>
        <v>70.400000000000006</v>
      </c>
      <c r="AI321" s="332">
        <f t="shared" si="450"/>
        <v>132.9</v>
      </c>
      <c r="AJ321" s="332">
        <f t="shared" si="450"/>
        <v>78.099999999999994</v>
      </c>
      <c r="AK321" s="332">
        <f t="shared" ref="AK321:AM321" si="451">SUM(AK319:AK320)</f>
        <v>99.199999999999989</v>
      </c>
      <c r="AL321" s="332">
        <f t="shared" si="451"/>
        <v>177.3</v>
      </c>
      <c r="AM321" s="332">
        <f t="shared" si="451"/>
        <v>116.4</v>
      </c>
      <c r="AN321" s="332">
        <f t="shared" ref="AN321:AP321" si="452">SUM(AN319:AN320)</f>
        <v>125.7</v>
      </c>
      <c r="AO321" s="332">
        <f t="shared" si="452"/>
        <v>242.10000000000002</v>
      </c>
      <c r="AP321" s="332">
        <f t="shared" si="452"/>
        <v>137</v>
      </c>
      <c r="AQ321" s="332">
        <f t="shared" ref="AQ321:AR321" si="453">SUM(AQ319:AQ320)</f>
        <v>126.79999999999998</v>
      </c>
      <c r="AR321" s="332">
        <f t="shared" si="453"/>
        <v>263.8</v>
      </c>
      <c r="AS321" s="332">
        <f>AS$8*AS76</f>
        <v>495.49988388960497</v>
      </c>
      <c r="AT321" s="332">
        <f>AT$8*AT76</f>
        <v>584.12988693876946</v>
      </c>
      <c r="AU321" s="332">
        <f t="shared" ref="AU321" si="454">AU$8*AU76</f>
        <v>673.33271006802522</v>
      </c>
    </row>
    <row r="322" spans="1:47">
      <c r="C322" s="539"/>
      <c r="D322" s="539"/>
      <c r="E322" s="539"/>
      <c r="F322" s="539"/>
      <c r="G322" s="539"/>
      <c r="H322" s="539"/>
      <c r="I322" s="539"/>
      <c r="J322" s="539"/>
      <c r="K322" s="539"/>
      <c r="L322" s="539"/>
      <c r="M322" s="539"/>
      <c r="N322" s="539"/>
      <c r="O322" s="539"/>
      <c r="P322" s="539"/>
      <c r="Q322" s="539"/>
      <c r="R322" s="539"/>
      <c r="S322" s="539"/>
      <c r="T322" s="539"/>
      <c r="U322" s="539"/>
      <c r="V322" s="539"/>
      <c r="W322" s="539"/>
      <c r="X322" s="539"/>
      <c r="Y322" s="539"/>
      <c r="Z322" s="539"/>
    </row>
    <row r="323" spans="1:47">
      <c r="A323" s="290" t="s">
        <v>556</v>
      </c>
      <c r="B323" s="305" t="s">
        <v>358</v>
      </c>
      <c r="C323" s="539"/>
      <c r="D323" s="539"/>
      <c r="E323" s="539"/>
      <c r="F323" s="539"/>
      <c r="G323" s="539"/>
      <c r="H323" s="539"/>
      <c r="I323" s="539"/>
      <c r="J323" s="539"/>
      <c r="K323" s="539"/>
      <c r="L323" s="539"/>
      <c r="M323" s="539"/>
      <c r="N323" s="548">
        <f>N320/N321</f>
        <v>0.43881424751592774</v>
      </c>
      <c r="O323" s="539"/>
      <c r="P323" s="539"/>
      <c r="Q323" s="548">
        <f t="shared" ref="Q323:Z323" si="455">Q320/Q321</f>
        <v>0.45671764766465828</v>
      </c>
      <c r="R323" s="548">
        <f t="shared" si="455"/>
        <v>0.40357023690357025</v>
      </c>
      <c r="S323" s="548">
        <f t="shared" si="455"/>
        <v>0.46653550754795514</v>
      </c>
      <c r="T323" s="548">
        <f t="shared" si="455"/>
        <v>0.43658618842621072</v>
      </c>
      <c r="U323" s="548">
        <f t="shared" si="455"/>
        <v>0.51274787535410771</v>
      </c>
      <c r="V323" s="548">
        <f t="shared" si="455"/>
        <v>0.41849148418491477</v>
      </c>
      <c r="W323" s="548">
        <f t="shared" si="455"/>
        <v>0.46204188481675385</v>
      </c>
      <c r="X323" s="548">
        <f t="shared" si="455"/>
        <v>0.39181286549707606</v>
      </c>
      <c r="Y323" s="548">
        <f t="shared" si="455"/>
        <v>0.43435980551053488</v>
      </c>
      <c r="Z323" s="548">
        <f t="shared" si="455"/>
        <v>0.41504424778761062</v>
      </c>
      <c r="AA323" s="348">
        <f t="shared" ref="AA323:AE323" si="456">AA320/AA321</f>
        <v>0.48532289628180036</v>
      </c>
      <c r="AB323" s="348">
        <f t="shared" si="456"/>
        <v>0.46315789473684216</v>
      </c>
      <c r="AC323" s="348">
        <f t="shared" si="456"/>
        <v>0.47363552266419989</v>
      </c>
      <c r="AD323" s="348">
        <f t="shared" si="456"/>
        <v>0.46374367622259699</v>
      </c>
      <c r="AE323" s="348">
        <f t="shared" si="456"/>
        <v>0.47604327666151464</v>
      </c>
      <c r="AF323" s="348">
        <f t="shared" ref="AF323:AJ323" si="457">AF320/AF321</f>
        <v>0.47016129032258064</v>
      </c>
      <c r="AG323" s="348">
        <f t="shared" si="457"/>
        <v>0.46560000000000001</v>
      </c>
      <c r="AH323" s="348">
        <f t="shared" si="457"/>
        <v>0.47017045454545453</v>
      </c>
      <c r="AI323" s="348">
        <f t="shared" si="457"/>
        <v>0.46802106847253572</v>
      </c>
      <c r="AJ323" s="348">
        <f t="shared" si="457"/>
        <v>0.53008962868117804</v>
      </c>
      <c r="AK323" s="348">
        <f t="shared" ref="AK323:AM323" si="458">AK320/AK321</f>
        <v>0.50000000000000011</v>
      </c>
      <c r="AL323" s="348">
        <f t="shared" si="458"/>
        <v>0.51325437112239136</v>
      </c>
      <c r="AM323" s="348">
        <f t="shared" si="458"/>
        <v>0.5403780068728522</v>
      </c>
      <c r="AN323" s="348">
        <f t="shared" ref="AN323:AP323" si="459">AN320/AN321</f>
        <v>0.52426412092283214</v>
      </c>
      <c r="AO323" s="348">
        <f t="shared" si="459"/>
        <v>0.53201156546881456</v>
      </c>
      <c r="AP323" s="348">
        <f t="shared" si="459"/>
        <v>0.54306569343065703</v>
      </c>
      <c r="AQ323" s="348">
        <f t="shared" ref="AQ323:AR323" si="460">AQ320/AQ321</f>
        <v>0.55757097791798105</v>
      </c>
      <c r="AR323" s="348">
        <f t="shared" si="460"/>
        <v>0.55003790750568604</v>
      </c>
      <c r="AS323" s="1153">
        <v>0.52</v>
      </c>
      <c r="AT323" s="349">
        <v>0.53</v>
      </c>
      <c r="AU323" s="349">
        <v>0.54</v>
      </c>
    </row>
    <row r="324" spans="1:47">
      <c r="C324" s="539"/>
      <c r="D324" s="539"/>
      <c r="E324" s="539"/>
      <c r="F324" s="539"/>
      <c r="G324" s="539"/>
      <c r="H324" s="539"/>
      <c r="I324" s="539"/>
      <c r="J324" s="539"/>
      <c r="K324" s="539"/>
      <c r="L324" s="539"/>
      <c r="M324" s="539"/>
      <c r="N324" s="521"/>
      <c r="O324" s="539"/>
      <c r="P324" s="539"/>
      <c r="Q324" s="521"/>
      <c r="R324" s="521"/>
      <c r="S324" s="521"/>
      <c r="T324" s="521"/>
      <c r="U324" s="521"/>
      <c r="V324" s="521"/>
      <c r="W324" s="521"/>
      <c r="X324" s="521"/>
      <c r="Y324" s="521"/>
      <c r="Z324" s="521"/>
      <c r="AA324" s="348"/>
      <c r="AB324" s="348"/>
      <c r="AC324" s="348"/>
      <c r="AD324" s="348"/>
      <c r="AE324" s="348"/>
      <c r="AF324" s="348"/>
      <c r="AG324" s="348"/>
      <c r="AI324" s="348"/>
      <c r="AJ324" s="348"/>
      <c r="AL324" s="348"/>
      <c r="AM324" s="348"/>
      <c r="AO324" s="348"/>
      <c r="AP324" s="348"/>
      <c r="AR324" s="348"/>
    </row>
    <row r="325" spans="1:47">
      <c r="B325" s="305" t="s">
        <v>577</v>
      </c>
      <c r="C325" s="539"/>
      <c r="D325" s="539"/>
      <c r="E325" s="539"/>
      <c r="F325" s="539"/>
      <c r="G325" s="539"/>
      <c r="H325" s="539"/>
      <c r="I325" s="539"/>
      <c r="J325" s="539"/>
      <c r="K325" s="539"/>
      <c r="L325" s="539"/>
      <c r="M325" s="539"/>
      <c r="N325" s="544">
        <f t="shared" ref="N325:V326" si="461">N315/N$8</f>
        <v>0.16699748743718593</v>
      </c>
      <c r="O325" s="544">
        <f t="shared" si="461"/>
        <v>0</v>
      </c>
      <c r="P325" s="544">
        <f t="shared" si="461"/>
        <v>0</v>
      </c>
      <c r="Q325" s="544">
        <f t="shared" si="461"/>
        <v>0.17171345595353341</v>
      </c>
      <c r="R325" s="544">
        <f t="shared" si="461"/>
        <v>0.13609001406469759</v>
      </c>
      <c r="S325" s="544">
        <f t="shared" si="461"/>
        <v>0.14910519951632406</v>
      </c>
      <c r="T325" s="544">
        <f t="shared" si="461"/>
        <v>0.14308842652795839</v>
      </c>
      <c r="U325" s="544">
        <f t="shared" si="461"/>
        <v>0.19379014989293361</v>
      </c>
      <c r="V325" s="544">
        <f t="shared" si="461"/>
        <v>0.13416536661466458</v>
      </c>
      <c r="W325" s="544">
        <f>W315/W$8</f>
        <v>0.15929602888086641</v>
      </c>
      <c r="X325" s="544">
        <f t="shared" ref="X325:Z326" si="462">X315/X$8</f>
        <v>0.1282705807275048</v>
      </c>
      <c r="Y325" s="544">
        <f t="shared" si="462"/>
        <v>0.13994778067885116</v>
      </c>
      <c r="Z325" s="544">
        <f t="shared" si="462"/>
        <v>0.13469270534175762</v>
      </c>
      <c r="AA325" s="350">
        <f t="shared" ref="AA325:AU325" si="463">AA315/AA$8</f>
        <v>0.17551309271054494</v>
      </c>
      <c r="AB325" s="350">
        <f t="shared" si="463"/>
        <v>0.18008185538881308</v>
      </c>
      <c r="AC325" s="350">
        <f t="shared" si="463"/>
        <v>0.17783952761375479</v>
      </c>
      <c r="AD325" s="350">
        <f t="shared" si="463"/>
        <v>0.16176470588235295</v>
      </c>
      <c r="AE325" s="350">
        <f t="shared" si="463"/>
        <v>0.14879227053140093</v>
      </c>
      <c r="AF325" s="350">
        <f t="shared" si="463"/>
        <v>0.1546419098143236</v>
      </c>
      <c r="AG325" s="350">
        <f t="shared" si="463"/>
        <v>0.14010592200288879</v>
      </c>
      <c r="AH325" s="350">
        <f t="shared" si="463"/>
        <v>0.13072669826224328</v>
      </c>
      <c r="AI325" s="350">
        <f t="shared" ref="AI325:AK326" si="464">AI315/AI$8</f>
        <v>0.13495335213712303</v>
      </c>
      <c r="AJ325" s="350">
        <f t="shared" si="464"/>
        <v>0.16216216216216214</v>
      </c>
      <c r="AK325" s="350">
        <f t="shared" si="464"/>
        <v>0.16705961603233413</v>
      </c>
      <c r="AL325" s="350">
        <f t="shared" ref="AL325:AN325" si="465">AL315/AL$8</f>
        <v>0.16479536399855127</v>
      </c>
      <c r="AM325" s="350">
        <f t="shared" si="465"/>
        <v>0.19235474006116207</v>
      </c>
      <c r="AN325" s="350">
        <f t="shared" si="465"/>
        <v>0.18480089736399324</v>
      </c>
      <c r="AO325" s="350">
        <f t="shared" ref="AO325:AQ325" si="466">AO315/AO$8</f>
        <v>0.18841427735517849</v>
      </c>
      <c r="AP325" s="350">
        <f t="shared" si="466"/>
        <v>0.19527559055118113</v>
      </c>
      <c r="AQ325" s="350">
        <f t="shared" si="466"/>
        <v>0.17777219009303491</v>
      </c>
      <c r="AR325" s="350">
        <f t="shared" ref="AR325" si="467">AR315/AR$8</f>
        <v>0.18633620136124307</v>
      </c>
      <c r="AS325" s="350">
        <f>AS315/AS$8</f>
        <v>0.182</v>
      </c>
      <c r="AT325" s="350">
        <f t="shared" si="463"/>
        <v>0.18550000000000003</v>
      </c>
      <c r="AU325" s="350">
        <f t="shared" si="463"/>
        <v>0.18899999999999997</v>
      </c>
    </row>
    <row r="326" spans="1:47">
      <c r="B326" s="305" t="s">
        <v>579</v>
      </c>
      <c r="C326" s="539"/>
      <c r="D326" s="539"/>
      <c r="E326" s="539"/>
      <c r="F326" s="539"/>
      <c r="G326" s="539"/>
      <c r="H326" s="539"/>
      <c r="I326" s="539"/>
      <c r="J326" s="539"/>
      <c r="K326" s="539"/>
      <c r="L326" s="539"/>
      <c r="M326" s="539"/>
      <c r="N326" s="544">
        <f t="shared" si="461"/>
        <v>3.2751256281407043E-2</v>
      </c>
      <c r="O326" s="544">
        <f t="shared" si="461"/>
        <v>0</v>
      </c>
      <c r="P326" s="544">
        <f t="shared" si="461"/>
        <v>0</v>
      </c>
      <c r="Q326" s="544">
        <f t="shared" si="461"/>
        <v>2.3194578896418201E-2</v>
      </c>
      <c r="R326" s="544">
        <f t="shared" si="461"/>
        <v>5.8284106891701826E-2</v>
      </c>
      <c r="S326" s="544">
        <f t="shared" si="461"/>
        <v>3.3204353083434092E-2</v>
      </c>
      <c r="T326" s="544">
        <f t="shared" si="461"/>
        <v>4.4798439531859552E-2</v>
      </c>
      <c r="U326" s="544">
        <f t="shared" si="461"/>
        <v>1.7847965738758007E-2</v>
      </c>
      <c r="V326" s="544">
        <f t="shared" si="461"/>
        <v>6.2246489859594809E-3</v>
      </c>
      <c r="W326" s="544">
        <f>W316/W$8</f>
        <v>1.1123646209386297E-2</v>
      </c>
      <c r="X326" s="544">
        <f t="shared" si="462"/>
        <v>8.2961072112316576E-3</v>
      </c>
      <c r="Y326" s="544">
        <f t="shared" si="462"/>
        <v>1.148825065274151E-2</v>
      </c>
      <c r="Z326" s="544">
        <f t="shared" si="462"/>
        <v>1.0051694428489374E-2</v>
      </c>
      <c r="AA326" s="350">
        <f t="shared" ref="AA326:AH326" si="468">AA316/AA$8</f>
        <v>2.6893135173389954E-2</v>
      </c>
      <c r="AB326" s="350">
        <f t="shared" si="468"/>
        <v>3.8881309686220999E-2</v>
      </c>
      <c r="AC326" s="350">
        <f t="shared" si="468"/>
        <v>3.2997568600208409E-2</v>
      </c>
      <c r="AD326" s="350">
        <f t="shared" si="468"/>
        <v>1.999999999999999E-2</v>
      </c>
      <c r="AE326" s="350">
        <f t="shared" si="468"/>
        <v>2.7053140096618359E-2</v>
      </c>
      <c r="AF326" s="350">
        <f t="shared" si="468"/>
        <v>2.3872679045092837E-2</v>
      </c>
      <c r="AG326" s="350">
        <f t="shared" si="468"/>
        <v>1.8295618680789588E-2</v>
      </c>
      <c r="AH326" s="350">
        <f t="shared" si="468"/>
        <v>3.3570300157977878E-2</v>
      </c>
      <c r="AI326" s="350">
        <f t="shared" si="464"/>
        <v>2.6686916901714031E-2</v>
      </c>
      <c r="AJ326" s="350">
        <f t="shared" si="464"/>
        <v>9.7924010967489501E-3</v>
      </c>
      <c r="AK326" s="350">
        <f t="shared" si="464"/>
        <v>7.0730885820141035E-3</v>
      </c>
      <c r="AL326" s="350">
        <f t="shared" ref="AL326:AN326" si="469">AL316/AL$8</f>
        <v>8.3303151032234606E-3</v>
      </c>
      <c r="AM326" s="350">
        <f t="shared" si="469"/>
        <v>-3.3639143730886676E-3</v>
      </c>
      <c r="AN326" s="350">
        <f t="shared" si="469"/>
        <v>6.73022994952321E-3</v>
      </c>
      <c r="AO326" s="350">
        <f t="shared" ref="AO326:AQ326" si="470">AO316/AO$8</f>
        <v>1.9016968987711862E-3</v>
      </c>
      <c r="AP326" s="350">
        <f t="shared" si="470"/>
        <v>1.1023622047244065E-2</v>
      </c>
      <c r="AQ326" s="350">
        <f t="shared" si="470"/>
        <v>5.0289162685445571E-4</v>
      </c>
      <c r="AR326" s="350">
        <f t="shared" ref="AR326" si="471">AR316/AR$8</f>
        <v>5.6504430461024853E-3</v>
      </c>
      <c r="AS326" s="484">
        <v>0.02</v>
      </c>
      <c r="AT326" s="484">
        <v>0.02</v>
      </c>
      <c r="AU326" s="484">
        <v>0.02</v>
      </c>
    </row>
    <row r="327" spans="1:47">
      <c r="B327" s="305" t="s">
        <v>578</v>
      </c>
      <c r="C327" s="539"/>
      <c r="D327" s="539"/>
      <c r="E327" s="539"/>
      <c r="F327" s="539"/>
      <c r="G327" s="539"/>
      <c r="H327" s="539"/>
      <c r="I327" s="539"/>
      <c r="J327" s="539"/>
      <c r="K327" s="539"/>
      <c r="L327" s="539"/>
      <c r="M327" s="539"/>
      <c r="N327" s="544">
        <f t="shared" ref="N327:V327" si="472">SUM(N325:N326)</f>
        <v>0.19974874371859297</v>
      </c>
      <c r="O327" s="544">
        <f t="shared" si="472"/>
        <v>0</v>
      </c>
      <c r="P327" s="544">
        <f t="shared" si="472"/>
        <v>0</v>
      </c>
      <c r="Q327" s="544">
        <f t="shared" si="472"/>
        <v>0.19490803484995162</v>
      </c>
      <c r="R327" s="544">
        <f t="shared" si="472"/>
        <v>0.19437412095639942</v>
      </c>
      <c r="S327" s="544">
        <f t="shared" si="472"/>
        <v>0.18230955259975815</v>
      </c>
      <c r="T327" s="544">
        <f t="shared" si="472"/>
        <v>0.18788686605981794</v>
      </c>
      <c r="U327" s="544">
        <f t="shared" si="472"/>
        <v>0.2116381156316916</v>
      </c>
      <c r="V327" s="544">
        <f t="shared" si="472"/>
        <v>0.14039001560062406</v>
      </c>
      <c r="W327" s="544">
        <f>SUM(W325:W326)</f>
        <v>0.17041967509025271</v>
      </c>
      <c r="X327" s="544">
        <f t="shared" ref="X327:Z327" si="473">SUM(X325:X326)</f>
        <v>0.13656668793873647</v>
      </c>
      <c r="Y327" s="544">
        <f t="shared" si="473"/>
        <v>0.15143603133159267</v>
      </c>
      <c r="Z327" s="544">
        <f t="shared" si="473"/>
        <v>0.144744399770247</v>
      </c>
      <c r="AA327" s="350">
        <f t="shared" ref="AA327:AG327" si="474">SUM(AA325:AA326)</f>
        <v>0.20240622788393489</v>
      </c>
      <c r="AB327" s="350">
        <f t="shared" si="474"/>
        <v>0.21896316507503408</v>
      </c>
      <c r="AC327" s="350">
        <f t="shared" si="474"/>
        <v>0.21083709621396321</v>
      </c>
      <c r="AD327" s="350">
        <f t="shared" si="474"/>
        <v>0.18176470588235294</v>
      </c>
      <c r="AE327" s="350">
        <f t="shared" si="474"/>
        <v>0.17584541062801928</v>
      </c>
      <c r="AF327" s="350">
        <f t="shared" si="474"/>
        <v>0.17851458885941643</v>
      </c>
      <c r="AG327" s="350">
        <f t="shared" si="474"/>
        <v>0.15840154068367837</v>
      </c>
      <c r="AH327" s="350">
        <f t="shared" ref="AH327:AU327" si="475">SUM(AH325:AH326)</f>
        <v>0.16429699842022116</v>
      </c>
      <c r="AI327" s="350">
        <f t="shared" si="475"/>
        <v>0.16164026903883708</v>
      </c>
      <c r="AJ327" s="350">
        <f t="shared" si="475"/>
        <v>0.17195456325891109</v>
      </c>
      <c r="AK327" s="350">
        <f t="shared" ref="AK327:AM327" si="476">SUM(AK325:AK326)</f>
        <v>0.17413270461434824</v>
      </c>
      <c r="AL327" s="350">
        <f t="shared" si="476"/>
        <v>0.17312567910177473</v>
      </c>
      <c r="AM327" s="350">
        <f t="shared" si="476"/>
        <v>0.1889908256880734</v>
      </c>
      <c r="AN327" s="350">
        <f t="shared" ref="AN327:AP327" si="477">SUM(AN325:AN326)</f>
        <v>0.19153112731351646</v>
      </c>
      <c r="AO327" s="350">
        <f t="shared" si="477"/>
        <v>0.19031597425394967</v>
      </c>
      <c r="AP327" s="350">
        <f t="shared" si="477"/>
        <v>0.20629921259842518</v>
      </c>
      <c r="AQ327" s="350">
        <f t="shared" ref="AQ327:AR327" si="478">SUM(AQ325:AQ326)</f>
        <v>0.17827508171988937</v>
      </c>
      <c r="AR327" s="350">
        <f t="shared" si="478"/>
        <v>0.19198664440734556</v>
      </c>
      <c r="AS327" s="350">
        <f>SUM(AS325:AS326)</f>
        <v>0.20199999999999999</v>
      </c>
      <c r="AT327" s="350">
        <f t="shared" si="475"/>
        <v>0.20550000000000002</v>
      </c>
      <c r="AU327" s="350">
        <f t="shared" si="475"/>
        <v>0.20899999999999996</v>
      </c>
    </row>
    <row r="328" spans="1:47">
      <c r="C328" s="494"/>
      <c r="D328" s="494"/>
      <c r="E328" s="494"/>
      <c r="F328" s="494"/>
      <c r="G328" s="494"/>
      <c r="H328" s="494"/>
      <c r="I328" s="494"/>
      <c r="J328" s="494"/>
      <c r="K328" s="494"/>
      <c r="L328" s="494"/>
      <c r="M328" s="494"/>
      <c r="N328" s="494"/>
      <c r="O328" s="494"/>
      <c r="P328" s="494"/>
      <c r="Q328" s="494"/>
      <c r="R328" s="494"/>
      <c r="S328" s="494"/>
      <c r="T328" s="494"/>
      <c r="U328" s="494"/>
      <c r="V328" s="494"/>
      <c r="W328" s="494"/>
      <c r="X328" s="494"/>
      <c r="Y328" s="494"/>
      <c r="Z328" s="494"/>
    </row>
    <row r="329" spans="1:47" s="1090" customFormat="1">
      <c r="A329" s="1099"/>
      <c r="B329" s="1090" t="s">
        <v>1027</v>
      </c>
    </row>
    <row r="330" spans="1:47">
      <c r="B330" s="1114" t="s">
        <v>1055</v>
      </c>
      <c r="C330" s="494"/>
      <c r="D330" s="494"/>
      <c r="E330" s="494"/>
      <c r="F330" s="494"/>
      <c r="G330" s="494"/>
      <c r="H330" s="494"/>
      <c r="I330" s="494"/>
      <c r="J330" s="494"/>
      <c r="K330" s="494"/>
      <c r="L330" s="494"/>
      <c r="M330" s="494"/>
      <c r="N330" s="494"/>
      <c r="O330" s="494"/>
      <c r="P330" s="494"/>
      <c r="Q330" s="494"/>
      <c r="R330" s="494"/>
      <c r="S330" s="494"/>
      <c r="T330" s="494"/>
      <c r="U330" s="494"/>
      <c r="V330" s="494"/>
      <c r="W330" s="494"/>
      <c r="X330" s="494"/>
      <c r="Y330" s="494"/>
      <c r="Z330" s="494"/>
    </row>
    <row r="331" spans="1:47" s="1126" customFormat="1">
      <c r="A331" s="1091" t="s">
        <v>534</v>
      </c>
      <c r="B331" s="1127" t="s">
        <v>349</v>
      </c>
      <c r="C331" s="1123"/>
      <c r="D331" s="1123"/>
      <c r="E331" s="1123"/>
      <c r="F331" s="1123"/>
      <c r="G331" s="1123"/>
      <c r="H331" s="1128"/>
      <c r="I331" s="1123"/>
      <c r="J331" s="1123"/>
      <c r="K331" s="1129"/>
      <c r="L331" s="1123"/>
      <c r="M331" s="1123"/>
      <c r="N331" s="1135">
        <v>17</v>
      </c>
      <c r="O331" s="1135">
        <v>10.7</v>
      </c>
      <c r="P331" s="1136">
        <v>10.400000000000002</v>
      </c>
      <c r="Q331" s="1135">
        <v>21.1</v>
      </c>
      <c r="R331" s="1135">
        <v>14.3</v>
      </c>
      <c r="S331" s="1136">
        <v>14.099999999999998</v>
      </c>
      <c r="T331" s="1135">
        <v>28.4</v>
      </c>
      <c r="U331" s="1135">
        <v>17.2</v>
      </c>
      <c r="V331" s="1136">
        <v>23.900000000000002</v>
      </c>
      <c r="W331" s="1135">
        <v>41.1</v>
      </c>
      <c r="X331" s="1135">
        <v>31.2</v>
      </c>
      <c r="Y331" s="1136">
        <v>34.899999999999991</v>
      </c>
      <c r="Z331" s="1135">
        <v>66.099999999999994</v>
      </c>
      <c r="AA331" s="1124">
        <v>26.3</v>
      </c>
      <c r="AB331" s="1125">
        <v>30.599999999999998</v>
      </c>
      <c r="AC331" s="1124">
        <v>56.9</v>
      </c>
      <c r="AD331" s="1124">
        <v>31.8</v>
      </c>
      <c r="AE331" s="1125">
        <v>33.900000000000006</v>
      </c>
      <c r="AF331" s="1124">
        <v>65.7</v>
      </c>
      <c r="AG331" s="1124">
        <v>33.4</v>
      </c>
      <c r="AH331" s="1125">
        <v>37.300000000000004</v>
      </c>
      <c r="AI331" s="1124">
        <v>70.7</v>
      </c>
      <c r="AJ331" s="1124">
        <v>36.700000000000003</v>
      </c>
      <c r="AK331" s="1125">
        <v>49.599999999999994</v>
      </c>
      <c r="AL331" s="1124">
        <v>86.3</v>
      </c>
      <c r="AM331" s="1124">
        <v>53.5</v>
      </c>
      <c r="AN331" s="1125">
        <v>59.8</v>
      </c>
      <c r="AO331" s="1124">
        <v>113.3</v>
      </c>
      <c r="AP331" s="1124">
        <v>62.6</v>
      </c>
      <c r="AQ331" s="1125">
        <v>59.8</v>
      </c>
      <c r="AR331" s="1124">
        <v>113.3</v>
      </c>
      <c r="AS331" s="1125">
        <v>166.22528210999999</v>
      </c>
      <c r="AT331" s="1125">
        <v>216.30890583262504</v>
      </c>
      <c r="AU331" s="1125">
        <v>255.90479217482812</v>
      </c>
    </row>
    <row r="332" spans="1:47" s="1126" customFormat="1">
      <c r="A332" s="1091" t="s">
        <v>535</v>
      </c>
      <c r="B332" s="1127" t="s">
        <v>350</v>
      </c>
      <c r="C332" s="1123"/>
      <c r="D332" s="1123"/>
      <c r="E332" s="1123"/>
      <c r="F332" s="1123"/>
      <c r="G332" s="1123"/>
      <c r="H332" s="1128"/>
      <c r="I332" s="1123"/>
      <c r="J332" s="1123"/>
      <c r="K332" s="1129"/>
      <c r="L332" s="1123"/>
      <c r="M332" s="1123"/>
      <c r="N332" s="1135">
        <v>12.1</v>
      </c>
      <c r="O332" s="1135">
        <v>7.6</v>
      </c>
      <c r="P332" s="1136">
        <v>7.7000000000000011</v>
      </c>
      <c r="Q332" s="1135">
        <v>15.3</v>
      </c>
      <c r="R332" s="1135">
        <v>6.9</v>
      </c>
      <c r="S332" s="1136">
        <v>8.5</v>
      </c>
      <c r="T332" s="1135">
        <v>15.4</v>
      </c>
      <c r="U332" s="1135">
        <v>10.4</v>
      </c>
      <c r="V332" s="1136">
        <v>12.200000000000001</v>
      </c>
      <c r="W332" s="1135">
        <v>22.6</v>
      </c>
      <c r="X332" s="1135">
        <v>18.100000000000001</v>
      </c>
      <c r="Y332" s="1136">
        <v>25.9</v>
      </c>
      <c r="Z332" s="1135">
        <v>44</v>
      </c>
      <c r="AA332" s="1124">
        <v>19.8</v>
      </c>
      <c r="AB332" s="1125">
        <v>18.499999999999996</v>
      </c>
      <c r="AC332" s="1124">
        <v>38.299999999999997</v>
      </c>
      <c r="AD332" s="1124">
        <v>17.3</v>
      </c>
      <c r="AE332" s="1125">
        <v>15.900000000000002</v>
      </c>
      <c r="AF332" s="1124">
        <v>33.200000000000003</v>
      </c>
      <c r="AG332" s="1124">
        <v>14.6</v>
      </c>
      <c r="AH332" s="1125">
        <v>18.100000000000001</v>
      </c>
      <c r="AI332" s="1124">
        <v>32.700000000000003</v>
      </c>
      <c r="AJ332" s="1124">
        <v>16.3</v>
      </c>
      <c r="AK332" s="1125">
        <v>23.499999999999996</v>
      </c>
      <c r="AL332" s="1124">
        <v>39.799999999999997</v>
      </c>
      <c r="AM332" s="1124">
        <v>24.9</v>
      </c>
      <c r="AN332" s="1125">
        <v>26.9</v>
      </c>
      <c r="AO332" s="1124">
        <v>51.8</v>
      </c>
      <c r="AP332" s="1124">
        <v>22.2</v>
      </c>
      <c r="AQ332" s="1125">
        <v>26.9</v>
      </c>
      <c r="AR332" s="1124">
        <v>51.8</v>
      </c>
      <c r="AS332" s="1125">
        <v>52.447499999999998</v>
      </c>
      <c r="AT332" s="1125">
        <v>59.003437499999997</v>
      </c>
      <c r="AU332" s="1125">
        <v>72.426171211765805</v>
      </c>
    </row>
    <row r="333" spans="1:47" s="1126" customFormat="1">
      <c r="A333" s="1091" t="s">
        <v>536</v>
      </c>
      <c r="B333" s="1127" t="s">
        <v>351</v>
      </c>
      <c r="C333" s="1123"/>
      <c r="D333" s="1123"/>
      <c r="E333" s="1123"/>
      <c r="F333" s="1123"/>
      <c r="G333" s="1123"/>
      <c r="H333" s="1128"/>
      <c r="I333" s="1123"/>
      <c r="J333" s="1123"/>
      <c r="K333" s="1129"/>
      <c r="L333" s="1123"/>
      <c r="M333" s="1123"/>
      <c r="N333" s="1135">
        <v>15.7</v>
      </c>
      <c r="O333" s="1135">
        <v>10.9</v>
      </c>
      <c r="P333" s="1136">
        <v>11.4</v>
      </c>
      <c r="Q333" s="1135">
        <v>22.3</v>
      </c>
      <c r="R333" s="1135">
        <v>15.8</v>
      </c>
      <c r="S333" s="1136">
        <v>17.499999999999996</v>
      </c>
      <c r="T333" s="1135">
        <v>33.299999999999997</v>
      </c>
      <c r="U333" s="1135">
        <v>20</v>
      </c>
      <c r="V333" s="1136">
        <v>25.5</v>
      </c>
      <c r="W333" s="1135">
        <v>45.5</v>
      </c>
      <c r="X333" s="1135">
        <v>31.2</v>
      </c>
      <c r="Y333" s="1136">
        <v>37.099999999999994</v>
      </c>
      <c r="Z333" s="1135">
        <v>68.3</v>
      </c>
      <c r="AA333" s="1124">
        <v>27.3</v>
      </c>
      <c r="AB333" s="1125">
        <v>28.900000000000002</v>
      </c>
      <c r="AC333" s="1124">
        <v>56.2</v>
      </c>
      <c r="AD333" s="1124">
        <v>32.1</v>
      </c>
      <c r="AE333" s="1125">
        <v>33.9</v>
      </c>
      <c r="AF333" s="1124">
        <v>66</v>
      </c>
      <c r="AG333" s="1124">
        <v>29.6</v>
      </c>
      <c r="AH333" s="1125">
        <v>33.1</v>
      </c>
      <c r="AI333" s="1124">
        <v>62.7</v>
      </c>
      <c r="AJ333" s="1124">
        <v>34.300000000000004</v>
      </c>
      <c r="AK333" s="1125">
        <v>36.29999999999999</v>
      </c>
      <c r="AL333" s="1124">
        <v>70.599999999999994</v>
      </c>
      <c r="AM333" s="1124">
        <v>45</v>
      </c>
      <c r="AN333" s="1125">
        <v>45.099999999999994</v>
      </c>
      <c r="AO333" s="1124">
        <v>90.1</v>
      </c>
      <c r="AP333" s="1124">
        <v>50.4</v>
      </c>
      <c r="AQ333" s="1125">
        <v>45.099999999999994</v>
      </c>
      <c r="AR333" s="1124">
        <v>90.1</v>
      </c>
      <c r="AS333" s="1125">
        <v>113.52600000000001</v>
      </c>
      <c r="AT333" s="1125">
        <v>127.71675000000002</v>
      </c>
      <c r="AU333" s="1125">
        <v>143.68134375000002</v>
      </c>
    </row>
    <row r="334" spans="1:47" s="1130" customFormat="1">
      <c r="A334" s="1091" t="s">
        <v>537</v>
      </c>
      <c r="B334" s="1131" t="s">
        <v>562</v>
      </c>
      <c r="C334" s="1132">
        <v>0</v>
      </c>
      <c r="D334" s="1132">
        <v>0</v>
      </c>
      <c r="E334" s="1133"/>
      <c r="F334" s="1133"/>
      <c r="G334" s="1133"/>
      <c r="H334" s="1133"/>
      <c r="I334" s="1133"/>
      <c r="J334" s="1133"/>
      <c r="K334" s="1133"/>
      <c r="L334" s="1133"/>
      <c r="M334" s="1133"/>
      <c r="N334" s="1137">
        <v>44.8</v>
      </c>
      <c r="O334" s="1137">
        <v>29.199999999999996</v>
      </c>
      <c r="P334" s="1137">
        <v>29.500000000000007</v>
      </c>
      <c r="Q334" s="1137">
        <v>58.7</v>
      </c>
      <c r="R334" s="1137">
        <v>37</v>
      </c>
      <c r="S334" s="1137">
        <v>40.099999999999994</v>
      </c>
      <c r="T334" s="1137">
        <v>77.099999999999994</v>
      </c>
      <c r="U334" s="1137">
        <v>47.6</v>
      </c>
      <c r="V334" s="1137">
        <v>61.6</v>
      </c>
      <c r="W334" s="1137">
        <v>109.2</v>
      </c>
      <c r="X334" s="1137">
        <v>80.5</v>
      </c>
      <c r="Y334" s="1137">
        <v>97.899999999999977</v>
      </c>
      <c r="Z334" s="1137">
        <v>178.39999999999998</v>
      </c>
      <c r="AA334" s="1134">
        <v>73.400000000000006</v>
      </c>
      <c r="AB334" s="1134">
        <v>77.999999999999972</v>
      </c>
      <c r="AC334" s="1134">
        <v>151.39999999999998</v>
      </c>
      <c r="AD334" s="1134">
        <v>81.2</v>
      </c>
      <c r="AE334" s="1134">
        <v>83.7</v>
      </c>
      <c r="AF334" s="1134">
        <v>164.9</v>
      </c>
      <c r="AG334" s="1134">
        <v>77.599999999999994</v>
      </c>
      <c r="AH334" s="1134">
        <v>88.500000000000028</v>
      </c>
      <c r="AI334" s="1134">
        <v>166.10000000000002</v>
      </c>
      <c r="AJ334" s="1134">
        <v>87.300000000000011</v>
      </c>
      <c r="AK334" s="1134">
        <v>109.39999999999998</v>
      </c>
      <c r="AL334" s="1134">
        <v>196.7</v>
      </c>
      <c r="AM334" s="1134">
        <v>123.4</v>
      </c>
      <c r="AN334" s="1134">
        <v>131.79999999999998</v>
      </c>
      <c r="AO334" s="1134">
        <v>255.2</v>
      </c>
      <c r="AP334" s="1134">
        <v>135.19999999999999</v>
      </c>
      <c r="AQ334" s="1134">
        <v>131.79999999999998</v>
      </c>
      <c r="AR334" s="1134">
        <v>255.2</v>
      </c>
      <c r="AS334" s="1134">
        <v>332.19878211000002</v>
      </c>
      <c r="AT334" s="1134">
        <v>403.02909333262505</v>
      </c>
      <c r="AU334" s="1134">
        <v>472.0123071365939</v>
      </c>
    </row>
    <row r="335" spans="1:47">
      <c r="C335" s="494"/>
      <c r="D335" s="494"/>
      <c r="E335" s="494"/>
      <c r="F335" s="494"/>
      <c r="G335" s="494"/>
      <c r="H335" s="494"/>
      <c r="I335" s="494"/>
      <c r="J335" s="494"/>
      <c r="K335" s="494"/>
      <c r="L335" s="494"/>
      <c r="M335" s="494"/>
      <c r="N335" s="494"/>
      <c r="O335" s="494"/>
      <c r="P335" s="494"/>
      <c r="Q335" s="494"/>
      <c r="R335" s="494"/>
      <c r="S335" s="494"/>
      <c r="T335" s="494"/>
      <c r="U335" s="494"/>
      <c r="V335" s="494"/>
      <c r="W335" s="494"/>
      <c r="X335" s="494"/>
      <c r="Y335" s="494"/>
      <c r="Z335" s="494"/>
    </row>
    <row r="336" spans="1:47">
      <c r="B336" s="1114" t="s">
        <v>1054</v>
      </c>
      <c r="C336" s="494"/>
      <c r="D336" s="494"/>
      <c r="E336" s="494"/>
      <c r="F336" s="494"/>
      <c r="G336" s="494"/>
      <c r="H336" s="494"/>
      <c r="I336" s="494"/>
      <c r="J336" s="494"/>
      <c r="K336" s="494"/>
      <c r="L336" s="494"/>
      <c r="M336" s="494"/>
      <c r="N336" s="494"/>
      <c r="O336" s="494"/>
      <c r="P336" s="494"/>
      <c r="Q336" s="494"/>
      <c r="R336" s="494"/>
      <c r="S336" s="494"/>
      <c r="T336" s="494"/>
      <c r="U336" s="494"/>
      <c r="V336" s="494"/>
      <c r="W336" s="494"/>
      <c r="X336" s="494"/>
      <c r="Y336" s="494"/>
      <c r="Z336" s="494"/>
    </row>
    <row r="337" spans="1:47" s="483" customFormat="1">
      <c r="A337" s="1091"/>
      <c r="B337" s="483" t="str">
        <f>+B331</f>
        <v>Product Design and Development</v>
      </c>
      <c r="C337" s="1115"/>
      <c r="D337" s="1115"/>
      <c r="E337" s="1115"/>
      <c r="F337" s="1115"/>
      <c r="G337" s="1115"/>
      <c r="H337" s="1115"/>
      <c r="I337" s="1115"/>
      <c r="J337" s="1115"/>
      <c r="K337" s="1115"/>
      <c r="L337" s="1115"/>
      <c r="M337" s="1115"/>
      <c r="N337" s="1115"/>
      <c r="O337" s="1115"/>
      <c r="P337" s="1115"/>
      <c r="Q337" s="1115"/>
      <c r="R337" s="1115"/>
      <c r="S337" s="1115"/>
      <c r="T337" s="1115"/>
      <c r="U337" s="1115"/>
      <c r="V337" s="1115"/>
      <c r="W337" s="1115"/>
      <c r="X337" s="1115"/>
      <c r="Y337" s="1115"/>
      <c r="Z337" s="1115"/>
      <c r="AD337" s="483">
        <f>+REVENUE!AQ163</f>
        <v>32.239000000000004</v>
      </c>
      <c r="AE337" s="483">
        <f>+REVENUE!AR163</f>
        <v>35.347666666666669</v>
      </c>
      <c r="AF337" s="483">
        <f>+REVENUE!AS163</f>
        <v>67.586666666666673</v>
      </c>
      <c r="AG337" s="483">
        <f>+REVENUE!AT163</f>
        <v>40.151666666666671</v>
      </c>
      <c r="AH337" s="483">
        <f>+REVENUE!AU163</f>
        <v>41.799666666666674</v>
      </c>
      <c r="AI337" s="483">
        <f>+REVENUE!AV163</f>
        <v>81.951333333333338</v>
      </c>
      <c r="AJ337" s="483">
        <f>+REVENUE!AW163</f>
        <v>44.614666666666665</v>
      </c>
      <c r="AK337" s="483">
        <f>+REVENUE!AX163</f>
        <v>44.541999999999994</v>
      </c>
      <c r="AL337" s="483">
        <f>+REVENUE!AY163</f>
        <v>89.156666666666666</v>
      </c>
      <c r="AM337" s="483">
        <f>+REVENUE!AZ163</f>
        <v>43.625999999999998</v>
      </c>
      <c r="AN337" s="483">
        <f>+REVENUE!BA163</f>
        <v>43.786333333333339</v>
      </c>
      <c r="AO337" s="483">
        <f>+REVENUE!BB163</f>
        <v>87.412333333333336</v>
      </c>
      <c r="AP337" s="483">
        <f>+REVENUE!BC163</f>
        <v>41.593333333333334</v>
      </c>
      <c r="AQ337" s="483">
        <f>+REVENUE!BD163</f>
        <v>44.091757203472639</v>
      </c>
      <c r="AR337" s="483">
        <f>+REVENUE!BE163</f>
        <v>85.685090536805973</v>
      </c>
      <c r="AS337" s="483">
        <f>+REVENUE!BF163</f>
        <v>81.400836009965673</v>
      </c>
      <c r="AT337" s="483">
        <f>+REVENUE!BG163</f>
        <v>83.028852730164985</v>
      </c>
      <c r="AU337" s="483">
        <f>+REVENUE!BH163</f>
        <v>85.104574048419096</v>
      </c>
    </row>
    <row r="338" spans="1:47" s="483" customFormat="1">
      <c r="A338" s="1091"/>
      <c r="B338" s="483" t="str">
        <f t="shared" ref="B338:B340" si="479">+B332</f>
        <v>Sales and Marketing</v>
      </c>
      <c r="C338" s="1115"/>
      <c r="D338" s="1115"/>
      <c r="E338" s="1115"/>
      <c r="F338" s="1115"/>
      <c r="G338" s="1115"/>
      <c r="H338" s="1115"/>
      <c r="I338" s="1115"/>
      <c r="J338" s="1115"/>
      <c r="K338" s="1115"/>
      <c r="L338" s="1115"/>
      <c r="M338" s="1115"/>
      <c r="N338" s="1115"/>
      <c r="O338" s="1115"/>
      <c r="P338" s="1115"/>
      <c r="Q338" s="1115"/>
      <c r="R338" s="1115"/>
      <c r="S338" s="1115"/>
      <c r="T338" s="1115"/>
      <c r="U338" s="1115"/>
      <c r="V338" s="1115"/>
      <c r="W338" s="1115"/>
      <c r="X338" s="1115"/>
      <c r="Y338" s="1115"/>
      <c r="Z338" s="1115"/>
      <c r="AD338" s="483">
        <f>+REVENUE!AQ164</f>
        <v>26.816666666666666</v>
      </c>
      <c r="AE338" s="483">
        <f>+REVENUE!AR164</f>
        <v>27.47</v>
      </c>
      <c r="AF338" s="483">
        <f>+REVENUE!AS164</f>
        <v>54.286666666666662</v>
      </c>
      <c r="AG338" s="483">
        <f>+REVENUE!AT164</f>
        <v>30.82566666666666</v>
      </c>
      <c r="AH338" s="483">
        <f>+REVENUE!AU164</f>
        <v>42.454000000000001</v>
      </c>
      <c r="AI338" s="483">
        <f>+REVENUE!AV164</f>
        <v>73.279666666666657</v>
      </c>
      <c r="AJ338" s="483">
        <f>+REVENUE!AW164</f>
        <v>41.148666666666671</v>
      </c>
      <c r="AK338" s="483">
        <f>+REVENUE!AX164</f>
        <v>38.916333333333334</v>
      </c>
      <c r="AL338" s="483">
        <f>+REVENUE!AY164</f>
        <v>80.064999999999998</v>
      </c>
      <c r="AM338" s="483">
        <f>+REVENUE!AZ164</f>
        <v>43.430999999999997</v>
      </c>
      <c r="AN338" s="483">
        <f>+REVENUE!BA164</f>
        <v>41.465666666666671</v>
      </c>
      <c r="AO338" s="483">
        <f>+REVENUE!BB164</f>
        <v>84.896666666666675</v>
      </c>
      <c r="AP338" s="483">
        <f>+REVENUE!BC164</f>
        <v>39.963666666666668</v>
      </c>
      <c r="AQ338" s="483">
        <f>+REVENUE!BD164</f>
        <v>43.255466059909352</v>
      </c>
      <c r="AR338" s="483">
        <f>+REVENUE!BE164</f>
        <v>83.219132726576021</v>
      </c>
      <c r="AS338" s="483">
        <f>+REVENUE!BF164</f>
        <v>79.058176090247215</v>
      </c>
      <c r="AT338" s="483">
        <f>+REVENUE!BG164</f>
        <v>80.639339612052154</v>
      </c>
      <c r="AU338" s="483">
        <f>+REVENUE!BH164</f>
        <v>82.655323102353449</v>
      </c>
    </row>
    <row r="339" spans="1:47" s="483" customFormat="1">
      <c r="A339" s="1091"/>
      <c r="B339" s="483" t="str">
        <f t="shared" si="479"/>
        <v>General and Administration</v>
      </c>
      <c r="C339" s="1115"/>
      <c r="D339" s="1115"/>
      <c r="E339" s="1115"/>
      <c r="F339" s="1115"/>
      <c r="G339" s="1115"/>
      <c r="H339" s="1115"/>
      <c r="I339" s="1115"/>
      <c r="J339" s="1115"/>
      <c r="K339" s="1115"/>
      <c r="L339" s="1115"/>
      <c r="M339" s="1115"/>
      <c r="N339" s="1115"/>
      <c r="O339" s="1115"/>
      <c r="P339" s="1115"/>
      <c r="Q339" s="1115"/>
      <c r="R339" s="1115"/>
      <c r="S339" s="1115"/>
      <c r="T339" s="1115"/>
      <c r="U339" s="1115"/>
      <c r="V339" s="1115"/>
      <c r="W339" s="1115"/>
      <c r="X339" s="1115"/>
      <c r="Y339" s="1115"/>
      <c r="Z339" s="1115"/>
      <c r="AD339" s="483">
        <f>+REVENUE!AQ165</f>
        <v>20.876999999999999</v>
      </c>
      <c r="AE339" s="483">
        <f>+REVENUE!AR165</f>
        <v>34.533000000000001</v>
      </c>
      <c r="AF339" s="483">
        <f>+REVENUE!AS165</f>
        <v>55.41</v>
      </c>
      <c r="AG339" s="483">
        <f>+REVENUE!AT165</f>
        <v>33.795666666666662</v>
      </c>
      <c r="AH339" s="483">
        <f>+REVENUE!AU165</f>
        <v>37.032666666666678</v>
      </c>
      <c r="AI339" s="483">
        <f>+REVENUE!AV165</f>
        <v>70.828333333333347</v>
      </c>
      <c r="AJ339" s="483">
        <f>+REVENUE!AW165</f>
        <v>38.913666666666664</v>
      </c>
      <c r="AK339" s="483">
        <f>+REVENUE!AX165</f>
        <v>37.889666666666642</v>
      </c>
      <c r="AL339" s="483">
        <f>+REVENUE!AY165</f>
        <v>76.803333333333313</v>
      </c>
      <c r="AM339" s="483">
        <f>+REVENUE!AZ165</f>
        <v>36.084999999999994</v>
      </c>
      <c r="AN339" s="483">
        <f>+REVENUE!BA165</f>
        <v>42.217999999999982</v>
      </c>
      <c r="AO339" s="483">
        <f>+REVENUE!BB165</f>
        <v>78.302999999999969</v>
      </c>
      <c r="AP339" s="483">
        <f>+REVENUE!BC165</f>
        <v>40.709666666666664</v>
      </c>
      <c r="AQ339" s="483">
        <f>+REVENUE!BD165</f>
        <v>36.046088367560202</v>
      </c>
      <c r="AR339" s="483">
        <f>+REVENUE!BE165</f>
        <v>76.755755034226866</v>
      </c>
      <c r="AS339" s="483">
        <f>+REVENUE!BF165</f>
        <v>69.080179530804187</v>
      </c>
      <c r="AT339" s="483">
        <f>+REVENUE!BG165</f>
        <v>70.461783121420268</v>
      </c>
      <c r="AU339" s="483">
        <f>+REVENUE!BH165</f>
        <v>72.223327699455766</v>
      </c>
    </row>
    <row r="340" spans="1:47" s="1116" customFormat="1">
      <c r="A340" s="1092"/>
      <c r="B340" s="1116" t="str">
        <f t="shared" si="479"/>
        <v>Total Operating Costs</v>
      </c>
      <c r="C340" s="1117"/>
      <c r="D340" s="1117"/>
      <c r="E340" s="1117"/>
      <c r="F340" s="1117"/>
      <c r="G340" s="1117"/>
      <c r="H340" s="1117"/>
      <c r="I340" s="1117"/>
      <c r="J340" s="1117"/>
      <c r="K340" s="1117"/>
      <c r="L340" s="1117"/>
      <c r="M340" s="1117"/>
      <c r="N340" s="1117"/>
      <c r="O340" s="1117"/>
      <c r="P340" s="1117"/>
      <c r="Q340" s="1117"/>
      <c r="R340" s="1117"/>
      <c r="S340" s="1117"/>
      <c r="T340" s="1117"/>
      <c r="U340" s="1117"/>
      <c r="V340" s="1117"/>
      <c r="W340" s="1117"/>
      <c r="X340" s="1117"/>
      <c r="Y340" s="1117"/>
      <c r="Z340" s="1117"/>
      <c r="AD340" s="1116">
        <f>SUM(AD337:AD339)</f>
        <v>79.932666666666663</v>
      </c>
      <c r="AE340" s="1116">
        <f t="shared" ref="AE340:AU340" si="480">SUM(AE337:AE339)</f>
        <v>97.350666666666669</v>
      </c>
      <c r="AF340" s="1116">
        <f t="shared" si="480"/>
        <v>177.28333333333333</v>
      </c>
      <c r="AG340" s="1116">
        <f t="shared" si="480"/>
        <v>104.773</v>
      </c>
      <c r="AH340" s="1116">
        <f t="shared" si="480"/>
        <v>121.28633333333335</v>
      </c>
      <c r="AI340" s="1116">
        <f t="shared" si="480"/>
        <v>226.05933333333334</v>
      </c>
      <c r="AJ340" s="1116">
        <f t="shared" si="480"/>
        <v>124.67699999999999</v>
      </c>
      <c r="AK340" s="1116">
        <f t="shared" si="480"/>
        <v>121.34799999999997</v>
      </c>
      <c r="AL340" s="1116">
        <f t="shared" si="480"/>
        <v>246.02499999999998</v>
      </c>
      <c r="AM340" s="1116">
        <f t="shared" si="480"/>
        <v>123.14199999999998</v>
      </c>
      <c r="AN340" s="1116">
        <f t="shared" si="480"/>
        <v>127.47</v>
      </c>
      <c r="AO340" s="1116">
        <f t="shared" si="480"/>
        <v>250.61199999999999</v>
      </c>
      <c r="AP340" s="1116">
        <f t="shared" si="480"/>
        <v>122.26666666666667</v>
      </c>
      <c r="AQ340" s="1116">
        <f t="shared" ref="AQ340:AR340" si="481">SUM(AQ337:AQ339)</f>
        <v>123.39331163094219</v>
      </c>
      <c r="AR340" s="1116">
        <f t="shared" si="481"/>
        <v>245.65997829760886</v>
      </c>
      <c r="AS340" s="1116">
        <f t="shared" si="480"/>
        <v>229.53919163101705</v>
      </c>
      <c r="AT340" s="1116">
        <f t="shared" si="480"/>
        <v>234.12997546363741</v>
      </c>
      <c r="AU340" s="1116">
        <f t="shared" si="480"/>
        <v>239.98322485022828</v>
      </c>
    </row>
    <row r="341" spans="1:47" s="483" customFormat="1">
      <c r="A341" s="1091"/>
      <c r="C341" s="1115"/>
      <c r="D341" s="1115"/>
      <c r="E341" s="1115"/>
      <c r="F341" s="1115"/>
      <c r="G341" s="1115"/>
      <c r="H341" s="1115"/>
      <c r="I341" s="1115"/>
      <c r="J341" s="1115"/>
      <c r="K341" s="1115"/>
      <c r="L341" s="1115"/>
      <c r="M341" s="1115"/>
      <c r="N341" s="1115"/>
      <c r="O341" s="1115"/>
      <c r="P341" s="1115"/>
      <c r="Q341" s="1115"/>
      <c r="R341" s="1115"/>
      <c r="S341" s="1115"/>
      <c r="T341" s="1115"/>
      <c r="U341" s="1115"/>
      <c r="V341" s="1115"/>
      <c r="W341" s="1115"/>
      <c r="X341" s="1115"/>
      <c r="Y341" s="1115"/>
      <c r="Z341" s="1115"/>
    </row>
    <row r="342" spans="1:47">
      <c r="B342" s="1114" t="s">
        <v>1056</v>
      </c>
      <c r="C342" s="494"/>
      <c r="D342" s="494"/>
      <c r="E342" s="494"/>
      <c r="F342" s="494"/>
      <c r="G342" s="494"/>
      <c r="H342" s="494"/>
      <c r="I342" s="494"/>
      <c r="J342" s="494"/>
      <c r="K342" s="494"/>
      <c r="L342" s="494"/>
      <c r="M342" s="494"/>
      <c r="N342" s="494"/>
      <c r="O342" s="494"/>
      <c r="P342" s="494"/>
      <c r="Q342" s="494"/>
      <c r="R342" s="494"/>
      <c r="S342" s="494"/>
      <c r="T342" s="494"/>
      <c r="U342" s="494"/>
      <c r="V342" s="494"/>
      <c r="W342" s="494"/>
      <c r="X342" s="494"/>
      <c r="Y342" s="494"/>
      <c r="Z342" s="494"/>
    </row>
    <row r="343" spans="1:47" s="483" customFormat="1">
      <c r="A343" s="1091"/>
      <c r="B343" s="483" t="str">
        <f>+B337</f>
        <v>Product Design and Development</v>
      </c>
      <c r="C343" s="1115"/>
      <c r="D343" s="1115"/>
      <c r="E343" s="1115"/>
      <c r="F343" s="1115"/>
      <c r="G343" s="1115"/>
      <c r="H343" s="1115"/>
      <c r="I343" s="1115"/>
      <c r="J343" s="1115"/>
      <c r="K343" s="1115"/>
      <c r="L343" s="1115"/>
      <c r="M343" s="1115"/>
      <c r="N343" s="1115"/>
      <c r="O343" s="1115"/>
      <c r="P343" s="1115"/>
      <c r="Q343" s="1115"/>
      <c r="R343" s="1115"/>
      <c r="S343" s="1115"/>
      <c r="T343" s="1115"/>
      <c r="U343" s="1115"/>
      <c r="V343" s="1115"/>
      <c r="W343" s="1115"/>
      <c r="X343" s="1115"/>
      <c r="Y343" s="1115"/>
      <c r="Z343" s="1115"/>
      <c r="AD343" s="483">
        <f>+AD331+AD337</f>
        <v>64.039000000000001</v>
      </c>
      <c r="AE343" s="483">
        <f t="shared" ref="AE343:AU343" si="482">+AE331+AE337</f>
        <v>69.247666666666674</v>
      </c>
      <c r="AF343" s="483">
        <f t="shared" si="482"/>
        <v>133.28666666666669</v>
      </c>
      <c r="AG343" s="483">
        <f t="shared" si="482"/>
        <v>73.551666666666677</v>
      </c>
      <c r="AH343" s="483">
        <f t="shared" si="482"/>
        <v>79.099666666666678</v>
      </c>
      <c r="AI343" s="483">
        <f t="shared" si="482"/>
        <v>152.65133333333335</v>
      </c>
      <c r="AJ343" s="483">
        <f t="shared" si="482"/>
        <v>81.314666666666668</v>
      </c>
      <c r="AK343" s="483">
        <f t="shared" si="482"/>
        <v>94.141999999999996</v>
      </c>
      <c r="AL343" s="483">
        <f t="shared" si="482"/>
        <v>175.45666666666665</v>
      </c>
      <c r="AM343" s="483">
        <f t="shared" si="482"/>
        <v>97.126000000000005</v>
      </c>
      <c r="AN343" s="483">
        <f t="shared" si="482"/>
        <v>103.58633333333333</v>
      </c>
      <c r="AO343" s="483">
        <f t="shared" si="482"/>
        <v>200.71233333333333</v>
      </c>
      <c r="AP343" s="483">
        <f t="shared" si="482"/>
        <v>104.19333333333333</v>
      </c>
      <c r="AQ343" s="483">
        <f t="shared" ref="AQ343:AR343" si="483">+AQ331+AQ337</f>
        <v>103.89175720347264</v>
      </c>
      <c r="AR343" s="483">
        <f t="shared" si="483"/>
        <v>198.98509053680596</v>
      </c>
      <c r="AS343" s="483">
        <f>+AS331+(AS337/12*11)</f>
        <v>240.84271511913519</v>
      </c>
      <c r="AT343" s="483">
        <f t="shared" si="482"/>
        <v>299.33775856279004</v>
      </c>
      <c r="AU343" s="483">
        <f t="shared" si="482"/>
        <v>341.00936622324718</v>
      </c>
    </row>
    <row r="344" spans="1:47" s="483" customFormat="1">
      <c r="A344" s="1091"/>
      <c r="B344" s="483" t="str">
        <f t="shared" ref="B344:B346" si="484">+B338</f>
        <v>Sales and Marketing</v>
      </c>
      <c r="C344" s="1115"/>
      <c r="D344" s="1115"/>
      <c r="E344" s="1115"/>
      <c r="F344" s="1115"/>
      <c r="G344" s="1115"/>
      <c r="H344" s="1115"/>
      <c r="I344" s="1115"/>
      <c r="J344" s="1115"/>
      <c r="K344" s="1115"/>
      <c r="L344" s="1115"/>
      <c r="M344" s="1115"/>
      <c r="N344" s="1115"/>
      <c r="O344" s="1115"/>
      <c r="P344" s="1115"/>
      <c r="Q344" s="1115"/>
      <c r="R344" s="1115"/>
      <c r="S344" s="1115"/>
      <c r="T344" s="1115"/>
      <c r="U344" s="1115"/>
      <c r="V344" s="1115"/>
      <c r="W344" s="1115"/>
      <c r="X344" s="1115"/>
      <c r="Y344" s="1115"/>
      <c r="Z344" s="1115"/>
      <c r="AD344" s="483">
        <f t="shared" ref="AD344:AU344" si="485">+AD332+AD338</f>
        <v>44.116666666666667</v>
      </c>
      <c r="AE344" s="483">
        <f t="shared" si="485"/>
        <v>43.370000000000005</v>
      </c>
      <c r="AF344" s="483">
        <f t="shared" si="485"/>
        <v>87.486666666666665</v>
      </c>
      <c r="AG344" s="483">
        <f t="shared" si="485"/>
        <v>45.425666666666658</v>
      </c>
      <c r="AH344" s="483">
        <f t="shared" si="485"/>
        <v>60.554000000000002</v>
      </c>
      <c r="AI344" s="483">
        <f t="shared" si="485"/>
        <v>105.97966666666666</v>
      </c>
      <c r="AJ344" s="483">
        <f t="shared" si="485"/>
        <v>57.448666666666668</v>
      </c>
      <c r="AK344" s="483">
        <f t="shared" si="485"/>
        <v>62.416333333333327</v>
      </c>
      <c r="AL344" s="483">
        <f t="shared" si="485"/>
        <v>119.86499999999999</v>
      </c>
      <c r="AM344" s="483">
        <f t="shared" si="485"/>
        <v>68.330999999999989</v>
      </c>
      <c r="AN344" s="483">
        <f t="shared" si="485"/>
        <v>68.365666666666669</v>
      </c>
      <c r="AO344" s="483">
        <f t="shared" si="485"/>
        <v>136.69666666666666</v>
      </c>
      <c r="AP344" s="483">
        <f t="shared" si="485"/>
        <v>62.163666666666671</v>
      </c>
      <c r="AQ344" s="483">
        <f t="shared" ref="AQ344:AR344" si="486">+AQ332+AQ338</f>
        <v>70.155466059909344</v>
      </c>
      <c r="AR344" s="483">
        <f t="shared" si="486"/>
        <v>135.019132726576</v>
      </c>
      <c r="AS344" s="483">
        <f>+AS332+(AS338/12*11)</f>
        <v>124.91749474939328</v>
      </c>
      <c r="AT344" s="483">
        <f t="shared" si="485"/>
        <v>139.64277711205216</v>
      </c>
      <c r="AU344" s="483">
        <f t="shared" si="485"/>
        <v>155.08149431411925</v>
      </c>
    </row>
    <row r="345" spans="1:47" s="483" customFormat="1">
      <c r="A345" s="1091"/>
      <c r="B345" s="483" t="str">
        <f t="shared" si="484"/>
        <v>General and Administration</v>
      </c>
      <c r="C345" s="1115"/>
      <c r="D345" s="1115"/>
      <c r="E345" s="1115"/>
      <c r="F345" s="1115"/>
      <c r="G345" s="1115"/>
      <c r="H345" s="1115"/>
      <c r="I345" s="1115"/>
      <c r="J345" s="1115"/>
      <c r="K345" s="1115"/>
      <c r="L345" s="1115"/>
      <c r="M345" s="1115"/>
      <c r="N345" s="1115"/>
      <c r="O345" s="1115"/>
      <c r="P345" s="1115"/>
      <c r="Q345" s="1115"/>
      <c r="R345" s="1115"/>
      <c r="S345" s="1115"/>
      <c r="T345" s="1115"/>
      <c r="U345" s="1115"/>
      <c r="V345" s="1115"/>
      <c r="W345" s="1115"/>
      <c r="X345" s="1115"/>
      <c r="Y345" s="1115"/>
      <c r="Z345" s="1115"/>
      <c r="AD345" s="483">
        <f t="shared" ref="AD345:AU345" si="487">+AD333+AD339</f>
        <v>52.977000000000004</v>
      </c>
      <c r="AE345" s="483">
        <f t="shared" si="487"/>
        <v>68.432999999999993</v>
      </c>
      <c r="AF345" s="483">
        <f t="shared" si="487"/>
        <v>121.41</v>
      </c>
      <c r="AG345" s="483">
        <f t="shared" si="487"/>
        <v>63.395666666666664</v>
      </c>
      <c r="AH345" s="483">
        <f t="shared" si="487"/>
        <v>70.13266666666668</v>
      </c>
      <c r="AI345" s="483">
        <f t="shared" si="487"/>
        <v>133.52833333333336</v>
      </c>
      <c r="AJ345" s="483">
        <f t="shared" si="487"/>
        <v>73.213666666666668</v>
      </c>
      <c r="AK345" s="483">
        <f t="shared" si="487"/>
        <v>74.189666666666625</v>
      </c>
      <c r="AL345" s="483">
        <f t="shared" si="487"/>
        <v>147.40333333333331</v>
      </c>
      <c r="AM345" s="483">
        <f t="shared" si="487"/>
        <v>81.084999999999994</v>
      </c>
      <c r="AN345" s="483">
        <f t="shared" si="487"/>
        <v>87.317999999999984</v>
      </c>
      <c r="AO345" s="483">
        <f t="shared" si="487"/>
        <v>168.40299999999996</v>
      </c>
      <c r="AP345" s="483">
        <f t="shared" si="487"/>
        <v>91.109666666666669</v>
      </c>
      <c r="AQ345" s="483">
        <f t="shared" ref="AQ345:AR345" si="488">+AQ333+AQ339</f>
        <v>81.146088367560196</v>
      </c>
      <c r="AR345" s="483">
        <f t="shared" si="488"/>
        <v>166.85575503422686</v>
      </c>
      <c r="AS345" s="483">
        <f>+AS333+(AS339/12*11)</f>
        <v>176.84949790323719</v>
      </c>
      <c r="AT345" s="483">
        <f t="shared" si="487"/>
        <v>198.17853312142029</v>
      </c>
      <c r="AU345" s="483">
        <f t="shared" si="487"/>
        <v>215.9046714494558</v>
      </c>
    </row>
    <row r="346" spans="1:47" s="1116" customFormat="1">
      <c r="A346" s="1092"/>
      <c r="B346" s="1116" t="str">
        <f t="shared" si="484"/>
        <v>Total Operating Costs</v>
      </c>
      <c r="C346" s="1117"/>
      <c r="D346" s="1117"/>
      <c r="E346" s="1117"/>
      <c r="F346" s="1117"/>
      <c r="G346" s="1117"/>
      <c r="H346" s="1117"/>
      <c r="I346" s="1117"/>
      <c r="J346" s="1117"/>
      <c r="K346" s="1117"/>
      <c r="L346" s="1117"/>
      <c r="M346" s="1117"/>
      <c r="N346" s="1117"/>
      <c r="O346" s="1117"/>
      <c r="P346" s="1117"/>
      <c r="Q346" s="1117"/>
      <c r="R346" s="1117"/>
      <c r="S346" s="1117"/>
      <c r="T346" s="1117"/>
      <c r="U346" s="1117"/>
      <c r="V346" s="1117"/>
      <c r="W346" s="1117"/>
      <c r="X346" s="1117"/>
      <c r="Y346" s="1117"/>
      <c r="Z346" s="1117"/>
      <c r="AD346" s="1116">
        <f>SUM(AD343:AD345)</f>
        <v>161.13266666666667</v>
      </c>
      <c r="AE346" s="1116">
        <f t="shared" ref="AE346" si="489">SUM(AE343:AE345)</f>
        <v>181.05066666666667</v>
      </c>
      <c r="AF346" s="1116">
        <f t="shared" ref="AF346" si="490">SUM(AF343:AF345)</f>
        <v>342.18333333333339</v>
      </c>
      <c r="AG346" s="1116">
        <f t="shared" ref="AG346" si="491">SUM(AG343:AG345)</f>
        <v>182.37299999999999</v>
      </c>
      <c r="AH346" s="1116">
        <f t="shared" ref="AH346" si="492">SUM(AH343:AH345)</f>
        <v>209.78633333333335</v>
      </c>
      <c r="AI346" s="1116">
        <f t="shared" ref="AI346" si="493">SUM(AI343:AI345)</f>
        <v>392.15933333333339</v>
      </c>
      <c r="AJ346" s="1116">
        <f t="shared" ref="AJ346" si="494">SUM(AJ343:AJ345)</f>
        <v>211.97699999999998</v>
      </c>
      <c r="AK346" s="1116">
        <f t="shared" ref="AK346" si="495">SUM(AK343:AK345)</f>
        <v>230.74799999999996</v>
      </c>
      <c r="AL346" s="1116">
        <f t="shared" ref="AL346" si="496">SUM(AL343:AL345)</f>
        <v>442.72499999999997</v>
      </c>
      <c r="AM346" s="1116">
        <f t="shared" ref="AM346" si="497">SUM(AM343:AM345)</f>
        <v>246.54199999999997</v>
      </c>
      <c r="AN346" s="1116">
        <f t="shared" ref="AN346" si="498">SUM(AN343:AN345)</f>
        <v>259.27</v>
      </c>
      <c r="AO346" s="1116">
        <f t="shared" ref="AO346" si="499">SUM(AO343:AO345)</f>
        <v>505.81199999999995</v>
      </c>
      <c r="AP346" s="1116">
        <f t="shared" ref="AP346:AR346" si="500">SUM(AP343:AP345)</f>
        <v>257.4666666666667</v>
      </c>
      <c r="AQ346" s="1116">
        <f t="shared" si="500"/>
        <v>255.19331163094216</v>
      </c>
      <c r="AR346" s="1116">
        <f t="shared" si="500"/>
        <v>500.85997829760879</v>
      </c>
      <c r="AS346" s="1116">
        <f t="shared" ref="AS346" si="501">SUM(AS343:AS345)</f>
        <v>542.60970777176567</v>
      </c>
      <c r="AT346" s="1116">
        <f t="shared" ref="AT346" si="502">SUM(AT343:AT345)</f>
        <v>637.15906879626255</v>
      </c>
      <c r="AU346" s="1116">
        <f t="shared" ref="AU346" si="503">SUM(AU343:AU345)</f>
        <v>711.99553198682224</v>
      </c>
    </row>
    <row r="347" spans="1:47" s="407" customFormat="1">
      <c r="A347" s="1118"/>
      <c r="B347" s="407" t="s">
        <v>133</v>
      </c>
      <c r="C347" s="1119"/>
      <c r="D347" s="1119"/>
      <c r="E347" s="1119"/>
      <c r="F347" s="1119"/>
      <c r="G347" s="1119"/>
      <c r="H347" s="1119"/>
      <c r="I347" s="1119"/>
      <c r="J347" s="1119"/>
      <c r="K347" s="1119"/>
      <c r="L347" s="1119"/>
      <c r="M347" s="1119"/>
      <c r="N347" s="1119"/>
      <c r="O347" s="1119"/>
      <c r="P347" s="1119"/>
      <c r="Q347" s="1119"/>
      <c r="R347" s="1119"/>
      <c r="S347" s="1119"/>
      <c r="T347" s="1119"/>
      <c r="U347" s="1119"/>
      <c r="V347" s="1119"/>
      <c r="W347" s="1119"/>
      <c r="X347" s="1119"/>
      <c r="Y347" s="1119"/>
      <c r="Z347" s="1119"/>
      <c r="AS347" s="1120"/>
      <c r="AT347" s="1120"/>
      <c r="AU347" s="1120"/>
    </row>
    <row r="348" spans="1:47">
      <c r="C348" s="494"/>
      <c r="D348" s="494"/>
      <c r="E348" s="494"/>
      <c r="F348" s="494"/>
      <c r="G348" s="494"/>
      <c r="H348" s="494"/>
      <c r="I348" s="494"/>
      <c r="J348" s="494"/>
      <c r="K348" s="494"/>
      <c r="L348" s="494"/>
      <c r="M348" s="494"/>
      <c r="N348" s="494"/>
      <c r="O348" s="494"/>
      <c r="P348" s="494"/>
      <c r="Q348" s="494"/>
      <c r="R348" s="494"/>
      <c r="S348" s="494"/>
      <c r="T348" s="494"/>
      <c r="U348" s="494"/>
      <c r="V348" s="494"/>
      <c r="W348" s="494"/>
      <c r="X348" s="494"/>
      <c r="Y348" s="494"/>
      <c r="Z348" s="494"/>
    </row>
    <row r="349" spans="1:47">
      <c r="B349" s="1114" t="s">
        <v>713</v>
      </c>
      <c r="C349" s="494"/>
      <c r="D349" s="494"/>
      <c r="E349" s="494"/>
      <c r="F349" s="494"/>
      <c r="G349" s="494"/>
      <c r="H349" s="494"/>
      <c r="I349" s="494"/>
      <c r="J349" s="494"/>
      <c r="K349" s="494"/>
      <c r="L349" s="494"/>
      <c r="M349" s="494"/>
      <c r="N349" s="494"/>
      <c r="O349" s="494"/>
      <c r="P349" s="494"/>
      <c r="Q349" s="494"/>
      <c r="R349" s="494"/>
      <c r="S349" s="494"/>
      <c r="T349" s="494"/>
      <c r="U349" s="494"/>
      <c r="V349" s="494"/>
      <c r="W349" s="494"/>
      <c r="X349" s="494"/>
      <c r="Y349" s="494"/>
      <c r="Z349" s="494"/>
    </row>
    <row r="350" spans="1:47" s="1126" customFormat="1">
      <c r="A350" s="1091" t="s">
        <v>540</v>
      </c>
      <c r="B350" s="1121" t="s">
        <v>525</v>
      </c>
      <c r="C350" s="1122"/>
      <c r="D350" s="1123"/>
      <c r="E350" s="1122"/>
      <c r="F350" s="1122"/>
      <c r="G350" s="1122"/>
      <c r="H350" s="1122"/>
      <c r="I350" s="1122"/>
      <c r="J350" s="1122"/>
      <c r="K350" s="1122"/>
      <c r="L350" s="1122"/>
      <c r="M350" s="1122"/>
      <c r="N350" s="1136">
        <v>5.7</v>
      </c>
      <c r="O350" s="1136">
        <v>4.7</v>
      </c>
      <c r="P350" s="1136">
        <v>4.3999999999999995</v>
      </c>
      <c r="Q350" s="1136">
        <v>9.1</v>
      </c>
      <c r="R350" s="1136">
        <v>5.0999999999999996</v>
      </c>
      <c r="S350" s="1136">
        <v>5.1000000000000005</v>
      </c>
      <c r="T350" s="1136">
        <v>10.199999999999999</v>
      </c>
      <c r="U350" s="1136">
        <v>8.1999999999999993</v>
      </c>
      <c r="V350" s="1136">
        <v>7.7999999999999989</v>
      </c>
      <c r="W350" s="1136">
        <v>16</v>
      </c>
      <c r="X350" s="1136">
        <v>9</v>
      </c>
      <c r="Y350" s="1136">
        <v>10.200000000000001</v>
      </c>
      <c r="Z350" s="1136">
        <v>19.200000000000003</v>
      </c>
      <c r="AA350" s="1124">
        <v>14</v>
      </c>
      <c r="AB350" s="1125">
        <v>16.899999999999999</v>
      </c>
      <c r="AC350" s="1124">
        <v>30.9</v>
      </c>
      <c r="AD350" s="1124">
        <v>19.8</v>
      </c>
      <c r="AE350" s="1124">
        <v>22.3</v>
      </c>
      <c r="AF350" s="1124">
        <v>42.1</v>
      </c>
      <c r="AG350" s="1124">
        <v>22.3</v>
      </c>
      <c r="AH350" s="1124">
        <v>18.600000000000005</v>
      </c>
      <c r="AI350" s="1124">
        <v>40.900000000000006</v>
      </c>
      <c r="AJ350" s="1124">
        <v>22.5</v>
      </c>
      <c r="AK350" s="1124">
        <v>25.699999999999996</v>
      </c>
      <c r="AL350" s="1124">
        <v>48.199999999999996</v>
      </c>
      <c r="AM350" s="1124">
        <v>28.5</v>
      </c>
      <c r="AN350" s="1124">
        <v>32.000000000000007</v>
      </c>
      <c r="AO350" s="1124">
        <v>60.500000000000007</v>
      </c>
      <c r="AP350" s="1124">
        <v>35</v>
      </c>
      <c r="AQ350" s="1124">
        <v>32.000000000000007</v>
      </c>
      <c r="AR350" s="1124">
        <v>60.500000000000007</v>
      </c>
      <c r="AS350" s="1124">
        <v>84.825979660200005</v>
      </c>
      <c r="AT350" s="1124">
        <v>101.75723208424128</v>
      </c>
      <c r="AU350" s="1124">
        <v>144.59582805968677</v>
      </c>
    </row>
    <row r="351" spans="1:47" s="483" customFormat="1">
      <c r="A351" s="1091"/>
      <c r="B351" s="483" t="s">
        <v>1052</v>
      </c>
      <c r="C351" s="1115"/>
      <c r="D351" s="1115"/>
      <c r="E351" s="1115"/>
      <c r="F351" s="1115"/>
      <c r="G351" s="1115"/>
      <c r="H351" s="1115"/>
      <c r="I351" s="1115"/>
      <c r="J351" s="1115"/>
      <c r="K351" s="1115"/>
      <c r="L351" s="1115"/>
      <c r="M351" s="1115"/>
      <c r="N351" s="1115"/>
      <c r="O351" s="1115"/>
      <c r="P351" s="1115"/>
      <c r="Q351" s="1115"/>
      <c r="R351" s="1115"/>
      <c r="S351" s="1115"/>
      <c r="T351" s="1115"/>
      <c r="U351" s="1115"/>
      <c r="V351" s="1115"/>
      <c r="W351" s="1115"/>
      <c r="X351" s="1115"/>
      <c r="Y351" s="1115"/>
      <c r="Z351" s="1115"/>
      <c r="AD351" s="1138">
        <f>+'Revenue Build'!AW214</f>
        <v>3.6783333333333323</v>
      </c>
      <c r="AE351" s="1138">
        <f>+'Revenue Build'!AX214</f>
        <v>4.2449999999999983</v>
      </c>
      <c r="AF351" s="1138">
        <f>+'Revenue Build'!AY214</f>
        <v>7.9233333333333302</v>
      </c>
      <c r="AG351" s="1138">
        <f>+'Revenue Build'!AZ214</f>
        <v>5.9609999999999976</v>
      </c>
      <c r="AH351" s="1138">
        <f>+'Revenue Build'!BA214</f>
        <v>7.1483333333333174</v>
      </c>
      <c r="AI351" s="1138">
        <f>+'Revenue Build'!BB214</f>
        <v>13.109333333333314</v>
      </c>
      <c r="AJ351" s="1138">
        <f>+'Revenue Build'!BC214</f>
        <v>8.5500000000000096</v>
      </c>
      <c r="AK351" s="1138">
        <f>+'Revenue Build'!BD214</f>
        <v>9.263333333333355</v>
      </c>
      <c r="AL351" s="1138">
        <f>+'Revenue Build'!BE214</f>
        <v>17.813333333333365</v>
      </c>
      <c r="AM351" s="1138">
        <f>+'Revenue Build'!BF214</f>
        <v>9.9280000000000097</v>
      </c>
      <c r="AN351" s="1138">
        <f>+'Revenue Build'!BG214</f>
        <v>10.055000000000016</v>
      </c>
      <c r="AO351" s="1138">
        <f>+'Revenue Build'!BH214</f>
        <v>19.983000000000025</v>
      </c>
      <c r="AP351" s="1138">
        <f>+'Revenue Build'!BI214</f>
        <v>10.281333333333343</v>
      </c>
      <c r="AQ351" s="1138">
        <f>+'Revenue Build'!BJ214</f>
        <v>9.7575142066780227</v>
      </c>
      <c r="AR351" s="1138">
        <f>+'Revenue Build'!BK214</f>
        <v>20.038847540011368</v>
      </c>
      <c r="AS351" s="1138">
        <f>+'Revenue Build'!BN214/12*11</f>
        <v>17.890044311793812</v>
      </c>
      <c r="AT351" s="1138">
        <f>+'Revenue Build'!BQ214</f>
        <v>18.309514144392018</v>
      </c>
      <c r="AU351" s="1138">
        <f>+'Revenue Build'!BT214</f>
        <v>16.006729653532041</v>
      </c>
    </row>
    <row r="352" spans="1:47" s="397" customFormat="1">
      <c r="A352" s="346"/>
      <c r="B352" s="397" t="s">
        <v>525</v>
      </c>
      <c r="C352" s="1113"/>
      <c r="D352" s="1113"/>
      <c r="E352" s="1113"/>
      <c r="F352" s="1113"/>
      <c r="G352" s="1113"/>
      <c r="H352" s="1113"/>
      <c r="I352" s="1113"/>
      <c r="J352" s="1113"/>
      <c r="K352" s="1113"/>
      <c r="L352" s="1113"/>
      <c r="M352" s="1113"/>
      <c r="N352" s="1113"/>
      <c r="O352" s="1113"/>
      <c r="P352" s="1113"/>
      <c r="Q352" s="1113"/>
      <c r="R352" s="1113"/>
      <c r="S352" s="1113"/>
      <c r="T352" s="1113"/>
      <c r="U352" s="1113"/>
      <c r="V352" s="1113"/>
      <c r="W352" s="1113"/>
      <c r="X352" s="1113"/>
      <c r="Y352" s="1113"/>
      <c r="Z352" s="1113"/>
      <c r="AD352" s="1139">
        <f>SUM(AD350:AD351)</f>
        <v>23.478333333333332</v>
      </c>
      <c r="AE352" s="1139">
        <f t="shared" ref="AE352:AU352" si="504">SUM(AE350:AE351)</f>
        <v>26.544999999999998</v>
      </c>
      <c r="AF352" s="1139">
        <f t="shared" si="504"/>
        <v>50.023333333333333</v>
      </c>
      <c r="AG352" s="1139">
        <f t="shared" si="504"/>
        <v>28.260999999999999</v>
      </c>
      <c r="AH352" s="1139">
        <f t="shared" si="504"/>
        <v>25.748333333333321</v>
      </c>
      <c r="AI352" s="1139">
        <f t="shared" si="504"/>
        <v>54.009333333333316</v>
      </c>
      <c r="AJ352" s="1139">
        <f t="shared" si="504"/>
        <v>31.050000000000011</v>
      </c>
      <c r="AK352" s="1139">
        <f t="shared" si="504"/>
        <v>34.963333333333352</v>
      </c>
      <c r="AL352" s="1139">
        <f t="shared" si="504"/>
        <v>66.013333333333364</v>
      </c>
      <c r="AM352" s="1139">
        <f t="shared" si="504"/>
        <v>38.428000000000011</v>
      </c>
      <c r="AN352" s="1139">
        <f t="shared" si="504"/>
        <v>42.055000000000021</v>
      </c>
      <c r="AO352" s="1139">
        <f t="shared" si="504"/>
        <v>80.483000000000033</v>
      </c>
      <c r="AP352" s="1139">
        <f t="shared" si="504"/>
        <v>45.281333333333343</v>
      </c>
      <c r="AQ352" s="1139">
        <f t="shared" ref="AQ352:AR352" si="505">SUM(AQ350:AQ351)</f>
        <v>41.757514206678032</v>
      </c>
      <c r="AR352" s="1139">
        <f t="shared" si="505"/>
        <v>80.538847540011375</v>
      </c>
      <c r="AS352" s="1139">
        <f t="shared" si="504"/>
        <v>102.71602397199382</v>
      </c>
      <c r="AT352" s="1139">
        <f t="shared" si="504"/>
        <v>120.06674622863329</v>
      </c>
      <c r="AU352" s="1139">
        <f t="shared" si="504"/>
        <v>160.6025577132188</v>
      </c>
    </row>
    <row r="353" spans="3:47">
      <c r="C353" s="494"/>
      <c r="D353" s="494"/>
      <c r="E353" s="494"/>
      <c r="F353" s="494"/>
      <c r="G353" s="494"/>
      <c r="H353" s="494"/>
      <c r="I353" s="494"/>
      <c r="J353" s="494"/>
      <c r="K353" s="494"/>
      <c r="L353" s="494"/>
      <c r="M353" s="494"/>
      <c r="N353" s="494"/>
      <c r="O353" s="494"/>
      <c r="P353" s="494"/>
      <c r="Q353" s="494"/>
      <c r="R353" s="494"/>
      <c r="S353" s="494"/>
      <c r="T353" s="494"/>
      <c r="U353" s="494"/>
      <c r="V353" s="494"/>
      <c r="W353" s="494"/>
      <c r="X353" s="494"/>
      <c r="Y353" s="494"/>
      <c r="Z353" s="494"/>
      <c r="AS353" s="1120"/>
      <c r="AT353" s="1120"/>
      <c r="AU353" s="1120"/>
    </row>
    <row r="354" spans="3:47">
      <c r="C354" s="494"/>
      <c r="D354" s="494"/>
      <c r="E354" s="494"/>
      <c r="F354" s="494"/>
      <c r="G354" s="494"/>
      <c r="H354" s="494"/>
      <c r="I354" s="494"/>
      <c r="J354" s="494"/>
      <c r="K354" s="494"/>
      <c r="L354" s="494"/>
      <c r="M354" s="494"/>
      <c r="N354" s="494"/>
      <c r="O354" s="494"/>
      <c r="P354" s="494"/>
      <c r="Q354" s="494"/>
      <c r="R354" s="494"/>
      <c r="S354" s="494"/>
      <c r="T354" s="494"/>
      <c r="U354" s="494"/>
      <c r="V354" s="494"/>
      <c r="W354" s="494"/>
      <c r="X354" s="494"/>
      <c r="Y354" s="494"/>
      <c r="Z354" s="494"/>
    </row>
    <row r="355" spans="3:47">
      <c r="C355" s="494"/>
      <c r="D355" s="494"/>
      <c r="E355" s="494"/>
      <c r="F355" s="494"/>
      <c r="G355" s="494"/>
      <c r="H355" s="494"/>
      <c r="I355" s="494"/>
      <c r="J355" s="494"/>
      <c r="K355" s="494"/>
      <c r="L355" s="494"/>
      <c r="M355" s="494"/>
      <c r="N355" s="494"/>
      <c r="O355" s="494"/>
      <c r="P355" s="494"/>
      <c r="Q355" s="494"/>
      <c r="R355" s="494"/>
      <c r="S355" s="494"/>
      <c r="T355" s="494"/>
      <c r="U355" s="494"/>
      <c r="V355" s="494"/>
      <c r="W355" s="494"/>
      <c r="X355" s="494"/>
      <c r="Y355" s="494"/>
      <c r="Z355" s="494"/>
    </row>
    <row r="356" spans="3:47">
      <c r="C356" s="494"/>
      <c r="D356" s="494"/>
      <c r="E356" s="494"/>
      <c r="F356" s="494"/>
      <c r="G356" s="494"/>
      <c r="H356" s="494"/>
      <c r="I356" s="494"/>
      <c r="J356" s="494"/>
      <c r="K356" s="494"/>
      <c r="L356" s="494"/>
      <c r="M356" s="494"/>
      <c r="N356" s="494"/>
      <c r="O356" s="494"/>
      <c r="P356" s="494"/>
      <c r="Q356" s="494"/>
      <c r="R356" s="494"/>
      <c r="S356" s="494"/>
      <c r="T356" s="494"/>
      <c r="U356" s="494"/>
      <c r="V356" s="494"/>
      <c r="W356" s="494"/>
      <c r="X356" s="494"/>
      <c r="Y356" s="494"/>
      <c r="Z356" s="494"/>
    </row>
    <row r="357" spans="3:47">
      <c r="C357" s="494"/>
      <c r="D357" s="494"/>
      <c r="E357" s="494"/>
      <c r="F357" s="494"/>
      <c r="G357" s="494"/>
      <c r="H357" s="494"/>
      <c r="I357" s="494"/>
      <c r="J357" s="494"/>
      <c r="K357" s="494"/>
      <c r="L357" s="494"/>
      <c r="M357" s="494"/>
      <c r="N357" s="494"/>
      <c r="O357" s="494"/>
      <c r="P357" s="494"/>
      <c r="Q357" s="494"/>
      <c r="R357" s="494"/>
      <c r="S357" s="494"/>
      <c r="T357" s="494"/>
      <c r="U357" s="494"/>
      <c r="V357" s="494"/>
      <c r="W357" s="494"/>
      <c r="X357" s="494"/>
      <c r="Y357" s="494"/>
      <c r="Z357" s="494"/>
    </row>
    <row r="358" spans="3:47">
      <c r="C358" s="494"/>
      <c r="D358" s="494"/>
      <c r="E358" s="494"/>
      <c r="F358" s="494"/>
      <c r="G358" s="494"/>
      <c r="H358" s="494"/>
      <c r="I358" s="494"/>
      <c r="J358" s="494"/>
      <c r="K358" s="494"/>
      <c r="L358" s="494"/>
      <c r="M358" s="494"/>
      <c r="N358" s="494"/>
      <c r="O358" s="494"/>
      <c r="P358" s="494"/>
      <c r="Q358" s="494"/>
      <c r="R358" s="494"/>
      <c r="S358" s="494"/>
      <c r="T358" s="494"/>
      <c r="U358" s="494"/>
      <c r="V358" s="494"/>
      <c r="W358" s="494"/>
      <c r="X358" s="494"/>
      <c r="Y358" s="494"/>
      <c r="Z358" s="494"/>
    </row>
    <row r="359" spans="3:47">
      <c r="C359" s="494"/>
      <c r="D359" s="494"/>
      <c r="E359" s="494"/>
      <c r="F359" s="494"/>
      <c r="G359" s="494"/>
      <c r="H359" s="494"/>
      <c r="I359" s="494"/>
      <c r="J359" s="494"/>
      <c r="K359" s="494"/>
      <c r="L359" s="494"/>
      <c r="M359" s="494"/>
      <c r="N359" s="494"/>
      <c r="O359" s="494"/>
      <c r="P359" s="494"/>
      <c r="Q359" s="494"/>
      <c r="R359" s="494"/>
      <c r="S359" s="494"/>
      <c r="T359" s="494"/>
      <c r="U359" s="494"/>
      <c r="V359" s="494"/>
      <c r="W359" s="494"/>
      <c r="X359" s="494"/>
      <c r="Y359" s="494"/>
      <c r="Z359" s="494"/>
    </row>
    <row r="360" spans="3:47">
      <c r="C360" s="494"/>
      <c r="D360" s="494"/>
      <c r="E360" s="494"/>
      <c r="F360" s="494"/>
      <c r="G360" s="494"/>
      <c r="H360" s="494"/>
      <c r="I360" s="494"/>
      <c r="J360" s="494"/>
      <c r="K360" s="494"/>
      <c r="L360" s="494"/>
      <c r="M360" s="494"/>
      <c r="N360" s="494"/>
      <c r="O360" s="494"/>
      <c r="P360" s="494"/>
      <c r="Q360" s="494"/>
      <c r="R360" s="494"/>
      <c r="S360" s="494"/>
      <c r="T360" s="494"/>
      <c r="U360" s="494"/>
      <c r="V360" s="494"/>
      <c r="W360" s="494"/>
      <c r="X360" s="494"/>
      <c r="Y360" s="494"/>
      <c r="Z360" s="494"/>
    </row>
    <row r="361" spans="3:47">
      <c r="C361" s="494"/>
      <c r="D361" s="494"/>
      <c r="E361" s="494"/>
      <c r="F361" s="494"/>
      <c r="G361" s="494"/>
      <c r="H361" s="494"/>
      <c r="I361" s="494"/>
      <c r="J361" s="494"/>
      <c r="K361" s="494"/>
      <c r="L361" s="494"/>
      <c r="M361" s="494"/>
      <c r="N361" s="494"/>
      <c r="O361" s="494"/>
      <c r="P361" s="494"/>
      <c r="Q361" s="494"/>
      <c r="R361" s="494"/>
      <c r="S361" s="494"/>
      <c r="T361" s="494"/>
      <c r="U361" s="494"/>
      <c r="V361" s="494"/>
      <c r="W361" s="494"/>
      <c r="X361" s="494"/>
      <c r="Y361" s="494"/>
      <c r="Z361" s="494"/>
      <c r="AL361" s="381"/>
      <c r="AM361" s="381"/>
    </row>
    <row r="362" spans="3:47">
      <c r="C362" s="494"/>
      <c r="D362" s="494"/>
      <c r="E362" s="494"/>
      <c r="F362" s="494"/>
      <c r="G362" s="494"/>
      <c r="H362" s="494"/>
      <c r="I362" s="494"/>
      <c r="J362" s="494"/>
      <c r="K362" s="494"/>
      <c r="L362" s="494"/>
      <c r="M362" s="494"/>
      <c r="N362" s="494"/>
      <c r="O362" s="494"/>
      <c r="P362" s="494"/>
      <c r="Q362" s="494"/>
      <c r="R362" s="494"/>
      <c r="S362" s="494"/>
      <c r="T362" s="494"/>
      <c r="U362" s="494"/>
      <c r="V362" s="494"/>
      <c r="W362" s="494"/>
      <c r="X362" s="494"/>
      <c r="Y362" s="494"/>
      <c r="Z362" s="494"/>
      <c r="AC362" s="483"/>
      <c r="AD362" s="483"/>
      <c r="AE362" s="483"/>
      <c r="AF362" s="483"/>
      <c r="AG362" s="483"/>
      <c r="AH362" s="483"/>
      <c r="AI362" s="483"/>
      <c r="AJ362" s="483"/>
      <c r="AK362" s="483"/>
      <c r="AL362" s="483"/>
      <c r="AM362" s="483"/>
      <c r="AN362" s="483"/>
      <c r="AO362" s="483"/>
      <c r="AP362" s="483"/>
      <c r="AQ362" s="483"/>
      <c r="AR362" s="483"/>
      <c r="AS362" s="483"/>
      <c r="AT362" s="483"/>
    </row>
    <row r="363" spans="3:47">
      <c r="C363" s="494"/>
      <c r="D363" s="494"/>
      <c r="E363" s="494"/>
      <c r="F363" s="494"/>
      <c r="G363" s="494"/>
      <c r="H363" s="494"/>
      <c r="I363" s="494"/>
      <c r="J363" s="494"/>
      <c r="K363" s="494"/>
      <c r="L363" s="494"/>
      <c r="M363" s="494"/>
      <c r="N363" s="494"/>
      <c r="O363" s="494"/>
      <c r="P363" s="494"/>
      <c r="Q363" s="494"/>
      <c r="R363" s="494"/>
      <c r="S363" s="494"/>
      <c r="T363" s="494"/>
      <c r="U363" s="494"/>
      <c r="V363" s="494"/>
      <c r="W363" s="494"/>
      <c r="X363" s="494"/>
      <c r="Y363" s="494"/>
      <c r="Z363" s="494"/>
      <c r="AC363" s="677"/>
      <c r="AD363" s="677"/>
      <c r="AE363" s="677"/>
      <c r="AF363" s="677"/>
      <c r="AG363" s="677"/>
      <c r="AH363" s="677"/>
      <c r="AI363" s="677"/>
      <c r="AJ363" s="677"/>
      <c r="AK363" s="677"/>
      <c r="AL363" s="677"/>
      <c r="AM363" s="677"/>
      <c r="AN363" s="677"/>
      <c r="AO363" s="677"/>
      <c r="AP363" s="677"/>
      <c r="AQ363" s="677"/>
      <c r="AR363" s="677"/>
      <c r="AS363" s="677"/>
      <c r="AT363" s="677"/>
    </row>
    <row r="364" spans="3:47">
      <c r="C364" s="494"/>
      <c r="D364" s="494"/>
      <c r="E364" s="494"/>
      <c r="F364" s="494"/>
      <c r="G364" s="494"/>
      <c r="H364" s="494"/>
      <c r="I364" s="494"/>
      <c r="J364" s="494"/>
      <c r="K364" s="494"/>
      <c r="L364" s="494"/>
      <c r="M364" s="494"/>
      <c r="N364" s="494"/>
      <c r="O364" s="494"/>
      <c r="P364" s="494"/>
      <c r="Q364" s="494"/>
      <c r="R364" s="494"/>
      <c r="S364" s="494"/>
      <c r="T364" s="494"/>
      <c r="U364" s="494"/>
      <c r="V364" s="494"/>
      <c r="W364" s="494"/>
      <c r="X364" s="494"/>
      <c r="Y364" s="494"/>
      <c r="Z364" s="494"/>
      <c r="AS364" s="677"/>
      <c r="AT364" s="677"/>
    </row>
    <row r="365" spans="3:47">
      <c r="C365" s="494"/>
      <c r="D365" s="494"/>
      <c r="E365" s="494"/>
      <c r="F365" s="494"/>
      <c r="G365" s="494"/>
      <c r="H365" s="494"/>
      <c r="I365" s="494"/>
      <c r="J365" s="494"/>
      <c r="K365" s="494"/>
      <c r="L365" s="494"/>
      <c r="M365" s="494"/>
      <c r="N365" s="494"/>
      <c r="O365" s="494"/>
      <c r="P365" s="494"/>
      <c r="Q365" s="494"/>
      <c r="R365" s="494"/>
      <c r="S365" s="494"/>
      <c r="T365" s="494"/>
      <c r="U365" s="494"/>
      <c r="V365" s="494"/>
      <c r="W365" s="494"/>
      <c r="X365" s="494"/>
      <c r="Y365" s="494"/>
      <c r="Z365" s="494"/>
    </row>
    <row r="366" spans="3:47">
      <c r="C366" s="494"/>
      <c r="D366" s="494"/>
      <c r="E366" s="494"/>
      <c r="F366" s="494"/>
      <c r="G366" s="494"/>
      <c r="H366" s="494"/>
      <c r="I366" s="494"/>
      <c r="J366" s="494"/>
      <c r="K366" s="494"/>
      <c r="L366" s="494"/>
      <c r="M366" s="494"/>
      <c r="N366" s="494"/>
      <c r="O366" s="494"/>
      <c r="P366" s="494"/>
      <c r="Q366" s="494"/>
      <c r="R366" s="494"/>
      <c r="S366" s="494"/>
      <c r="T366" s="494"/>
      <c r="U366" s="494"/>
      <c r="V366" s="494"/>
      <c r="W366" s="494"/>
      <c r="X366" s="494"/>
      <c r="Y366" s="494"/>
      <c r="Z366" s="494"/>
      <c r="AC366" s="311"/>
      <c r="AF366" s="311"/>
      <c r="AG366" s="311"/>
      <c r="AH366" s="311"/>
      <c r="AI366" s="311"/>
      <c r="AJ366" s="311"/>
      <c r="AK366" s="311"/>
      <c r="AL366" s="311"/>
      <c r="AM366" s="311"/>
      <c r="AN366" s="311"/>
      <c r="AO366" s="311"/>
      <c r="AP366" s="311"/>
      <c r="AQ366" s="311"/>
      <c r="AR366" s="311"/>
      <c r="AS366" s="311"/>
      <c r="AT366" s="311"/>
    </row>
    <row r="367" spans="3:47">
      <c r="C367" s="494"/>
      <c r="D367" s="494"/>
      <c r="E367" s="494"/>
      <c r="F367" s="494"/>
      <c r="G367" s="494"/>
      <c r="H367" s="494"/>
      <c r="I367" s="494"/>
      <c r="J367" s="494"/>
      <c r="K367" s="494"/>
      <c r="L367" s="494"/>
      <c r="M367" s="494"/>
      <c r="N367" s="494"/>
      <c r="O367" s="494"/>
      <c r="P367" s="494"/>
      <c r="Q367" s="494"/>
      <c r="R367" s="494"/>
      <c r="S367" s="494"/>
      <c r="T367" s="494"/>
      <c r="U367" s="494"/>
      <c r="V367" s="494"/>
      <c r="W367" s="494"/>
      <c r="X367" s="494"/>
      <c r="Y367" s="494"/>
      <c r="Z367" s="494"/>
    </row>
    <row r="368" spans="3:47">
      <c r="C368" s="494"/>
      <c r="D368" s="494"/>
      <c r="E368" s="494"/>
      <c r="F368" s="494"/>
      <c r="G368" s="494"/>
      <c r="H368" s="494"/>
      <c r="I368" s="494"/>
      <c r="J368" s="494"/>
      <c r="K368" s="494"/>
      <c r="L368" s="494"/>
      <c r="M368" s="494"/>
      <c r="N368" s="494"/>
      <c r="O368" s="494"/>
      <c r="P368" s="494"/>
      <c r="Q368" s="494"/>
      <c r="R368" s="494"/>
      <c r="S368" s="494"/>
      <c r="T368" s="494"/>
      <c r="U368" s="494"/>
      <c r="V368" s="494"/>
      <c r="W368" s="494"/>
      <c r="X368" s="494"/>
      <c r="Y368" s="494"/>
      <c r="Z368" s="494"/>
    </row>
    <row r="369" spans="3:46">
      <c r="C369" s="494"/>
      <c r="D369" s="494"/>
      <c r="E369" s="494"/>
      <c r="F369" s="494"/>
      <c r="G369" s="494"/>
      <c r="H369" s="494"/>
      <c r="I369" s="494"/>
      <c r="J369" s="494"/>
      <c r="K369" s="494"/>
      <c r="L369" s="494"/>
      <c r="M369" s="494"/>
      <c r="N369" s="494"/>
      <c r="O369" s="494"/>
      <c r="P369" s="494"/>
      <c r="Q369" s="494"/>
      <c r="R369" s="494"/>
      <c r="S369" s="494"/>
      <c r="T369" s="494"/>
      <c r="U369" s="494"/>
      <c r="V369" s="494"/>
      <c r="W369" s="494"/>
      <c r="X369" s="494"/>
      <c r="Y369" s="494"/>
      <c r="Z369" s="494"/>
      <c r="AS369" s="483"/>
      <c r="AT369" s="483"/>
    </row>
    <row r="370" spans="3:46">
      <c r="C370" s="494"/>
      <c r="D370" s="494"/>
      <c r="E370" s="494"/>
      <c r="F370" s="494"/>
      <c r="G370" s="494"/>
      <c r="H370" s="494"/>
      <c r="I370" s="494"/>
      <c r="J370" s="494"/>
      <c r="K370" s="494"/>
      <c r="L370" s="494"/>
      <c r="M370" s="494"/>
      <c r="N370" s="494"/>
      <c r="O370" s="494"/>
      <c r="P370" s="494"/>
      <c r="Q370" s="494"/>
      <c r="R370" s="494"/>
      <c r="S370" s="494"/>
      <c r="T370" s="494"/>
      <c r="U370" s="494"/>
      <c r="V370" s="494"/>
      <c r="W370" s="494"/>
      <c r="X370" s="494"/>
      <c r="Y370" s="494"/>
      <c r="Z370" s="494"/>
    </row>
    <row r="371" spans="3:46">
      <c r="C371" s="494"/>
      <c r="D371" s="494"/>
      <c r="E371" s="494"/>
      <c r="F371" s="494"/>
      <c r="G371" s="494"/>
      <c r="H371" s="494"/>
      <c r="I371" s="494"/>
      <c r="J371" s="494"/>
      <c r="K371" s="494"/>
      <c r="L371" s="494"/>
      <c r="M371" s="494"/>
      <c r="N371" s="494"/>
      <c r="O371" s="494"/>
      <c r="P371" s="494"/>
      <c r="Q371" s="494"/>
      <c r="R371" s="494"/>
      <c r="S371" s="494"/>
      <c r="T371" s="494"/>
      <c r="U371" s="494"/>
      <c r="V371" s="494"/>
      <c r="W371" s="494"/>
      <c r="X371" s="494"/>
      <c r="Y371" s="494"/>
      <c r="Z371" s="494"/>
    </row>
    <row r="372" spans="3:46">
      <c r="C372" s="494"/>
      <c r="D372" s="494"/>
      <c r="E372" s="494"/>
      <c r="F372" s="494"/>
      <c r="G372" s="494"/>
      <c r="H372" s="494"/>
      <c r="I372" s="494"/>
      <c r="J372" s="494"/>
      <c r="K372" s="494"/>
      <c r="L372" s="494"/>
      <c r="M372" s="494"/>
      <c r="N372" s="494"/>
      <c r="O372" s="494"/>
      <c r="P372" s="494"/>
      <c r="Q372" s="494"/>
      <c r="R372" s="494"/>
      <c r="S372" s="494"/>
      <c r="T372" s="494"/>
      <c r="U372" s="494"/>
      <c r="V372" s="494"/>
      <c r="W372" s="494"/>
      <c r="X372" s="494"/>
      <c r="Y372" s="494"/>
      <c r="Z372" s="494"/>
    </row>
    <row r="373" spans="3:46">
      <c r="C373" s="494"/>
      <c r="D373" s="494"/>
      <c r="E373" s="494"/>
      <c r="F373" s="494"/>
      <c r="G373" s="494"/>
      <c r="H373" s="494"/>
      <c r="I373" s="494"/>
      <c r="J373" s="494"/>
      <c r="K373" s="494"/>
      <c r="L373" s="494"/>
      <c r="M373" s="494"/>
      <c r="N373" s="494"/>
      <c r="O373" s="494"/>
      <c r="P373" s="494"/>
      <c r="Q373" s="494"/>
      <c r="R373" s="494"/>
      <c r="S373" s="494"/>
      <c r="T373" s="494"/>
      <c r="U373" s="494"/>
      <c r="V373" s="494"/>
      <c r="W373" s="494"/>
      <c r="X373" s="494"/>
      <c r="Y373" s="494"/>
      <c r="Z373" s="494"/>
    </row>
    <row r="374" spans="3:46">
      <c r="C374" s="494"/>
      <c r="D374" s="494"/>
      <c r="E374" s="494"/>
      <c r="F374" s="494"/>
      <c r="G374" s="494"/>
      <c r="H374" s="494"/>
      <c r="I374" s="494"/>
      <c r="J374" s="494"/>
      <c r="K374" s="494"/>
      <c r="L374" s="494"/>
      <c r="M374" s="494"/>
      <c r="N374" s="494"/>
      <c r="O374" s="494"/>
      <c r="P374" s="494"/>
      <c r="Q374" s="494"/>
      <c r="R374" s="494"/>
      <c r="S374" s="494"/>
      <c r="T374" s="494"/>
      <c r="U374" s="494"/>
      <c r="V374" s="494"/>
      <c r="W374" s="494"/>
      <c r="X374" s="494"/>
      <c r="Y374" s="494"/>
      <c r="Z374" s="494"/>
    </row>
    <row r="375" spans="3:46">
      <c r="C375" s="494"/>
      <c r="D375" s="494"/>
      <c r="E375" s="494"/>
      <c r="F375" s="494"/>
      <c r="G375" s="494"/>
      <c r="H375" s="494"/>
      <c r="I375" s="494"/>
      <c r="J375" s="494"/>
      <c r="K375" s="494"/>
      <c r="L375" s="494"/>
      <c r="M375" s="494"/>
      <c r="N375" s="494"/>
      <c r="O375" s="494"/>
      <c r="P375" s="494"/>
      <c r="Q375" s="494"/>
      <c r="R375" s="494"/>
      <c r="S375" s="494"/>
      <c r="T375" s="494"/>
      <c r="U375" s="494"/>
      <c r="V375" s="494"/>
      <c r="W375" s="494"/>
      <c r="X375" s="494"/>
      <c r="Y375" s="494"/>
      <c r="Z375" s="494"/>
    </row>
    <row r="376" spans="3:46">
      <c r="C376" s="494"/>
      <c r="D376" s="494"/>
      <c r="E376" s="494"/>
      <c r="F376" s="494"/>
      <c r="G376" s="494"/>
      <c r="H376" s="494"/>
      <c r="I376" s="494"/>
      <c r="J376" s="494"/>
      <c r="K376" s="494"/>
      <c r="L376" s="494"/>
      <c r="M376" s="494"/>
      <c r="N376" s="494"/>
      <c r="O376" s="494"/>
      <c r="P376" s="494"/>
      <c r="Q376" s="494"/>
      <c r="R376" s="494"/>
      <c r="S376" s="494"/>
      <c r="T376" s="494"/>
      <c r="U376" s="494"/>
      <c r="V376" s="494"/>
      <c r="W376" s="494"/>
      <c r="X376" s="494"/>
      <c r="Y376" s="494"/>
      <c r="Z376" s="494"/>
    </row>
    <row r="377" spans="3:46">
      <c r="C377" s="494"/>
      <c r="D377" s="494"/>
      <c r="E377" s="494"/>
      <c r="F377" s="494"/>
      <c r="G377" s="494"/>
      <c r="H377" s="494"/>
      <c r="I377" s="494"/>
      <c r="J377" s="494"/>
      <c r="K377" s="494"/>
      <c r="L377" s="494"/>
      <c r="M377" s="494"/>
      <c r="N377" s="494"/>
      <c r="O377" s="494"/>
      <c r="P377" s="494"/>
      <c r="Q377" s="494"/>
      <c r="R377" s="494"/>
      <c r="S377" s="494"/>
      <c r="T377" s="494"/>
      <c r="U377" s="494"/>
      <c r="V377" s="494"/>
      <c r="W377" s="494"/>
      <c r="X377" s="494"/>
      <c r="Y377" s="494"/>
      <c r="Z377" s="494"/>
    </row>
    <row r="378" spans="3:46">
      <c r="C378" s="494"/>
      <c r="D378" s="494"/>
      <c r="E378" s="494"/>
      <c r="F378" s="494"/>
      <c r="G378" s="494"/>
      <c r="H378" s="494"/>
      <c r="I378" s="494"/>
      <c r="J378" s="494"/>
      <c r="K378" s="494"/>
      <c r="L378" s="494"/>
      <c r="M378" s="494"/>
      <c r="N378" s="494"/>
      <c r="O378" s="494"/>
      <c r="P378" s="494"/>
      <c r="Q378" s="494"/>
      <c r="R378" s="494"/>
      <c r="S378" s="494"/>
      <c r="T378" s="494"/>
      <c r="U378" s="494"/>
      <c r="V378" s="494"/>
      <c r="W378" s="494"/>
      <c r="X378" s="494"/>
      <c r="Y378" s="494"/>
      <c r="Z378" s="494"/>
    </row>
    <row r="379" spans="3:46">
      <c r="C379" s="494"/>
      <c r="D379" s="494"/>
      <c r="E379" s="494"/>
      <c r="F379" s="494"/>
      <c r="G379" s="494"/>
      <c r="H379" s="494"/>
      <c r="I379" s="494"/>
      <c r="J379" s="494"/>
      <c r="K379" s="494"/>
      <c r="L379" s="494"/>
      <c r="M379" s="494"/>
      <c r="N379" s="494"/>
      <c r="O379" s="494"/>
      <c r="P379" s="494"/>
      <c r="Q379" s="494"/>
      <c r="R379" s="494"/>
      <c r="S379" s="494"/>
      <c r="T379" s="494"/>
      <c r="U379" s="494"/>
      <c r="V379" s="494"/>
      <c r="W379" s="494"/>
      <c r="X379" s="494"/>
      <c r="Y379" s="494"/>
      <c r="Z379" s="494"/>
    </row>
    <row r="380" spans="3:46">
      <c r="C380" s="494"/>
      <c r="D380" s="494"/>
      <c r="E380" s="494"/>
      <c r="F380" s="494"/>
      <c r="G380" s="494"/>
      <c r="H380" s="494"/>
      <c r="I380" s="494"/>
      <c r="J380" s="494"/>
      <c r="K380" s="494"/>
      <c r="L380" s="494"/>
      <c r="M380" s="494"/>
      <c r="N380" s="494"/>
      <c r="O380" s="494"/>
      <c r="P380" s="494"/>
      <c r="Q380" s="494"/>
      <c r="R380" s="494"/>
      <c r="S380" s="494"/>
      <c r="T380" s="494"/>
      <c r="U380" s="494"/>
      <c r="V380" s="494"/>
      <c r="W380" s="494"/>
      <c r="X380" s="494"/>
      <c r="Y380" s="494"/>
      <c r="Z380" s="494"/>
    </row>
    <row r="381" spans="3:46">
      <c r="C381" s="494"/>
      <c r="D381" s="494"/>
      <c r="E381" s="494"/>
      <c r="F381" s="494"/>
      <c r="G381" s="494"/>
      <c r="H381" s="494"/>
      <c r="I381" s="494"/>
      <c r="J381" s="494"/>
      <c r="K381" s="494"/>
      <c r="L381" s="494"/>
      <c r="M381" s="494"/>
      <c r="N381" s="494"/>
      <c r="O381" s="494"/>
      <c r="P381" s="494"/>
      <c r="Q381" s="494"/>
      <c r="R381" s="494"/>
      <c r="S381" s="494"/>
      <c r="T381" s="494"/>
      <c r="U381" s="494"/>
      <c r="V381" s="494"/>
      <c r="W381" s="494"/>
      <c r="X381" s="494"/>
      <c r="Y381" s="494"/>
      <c r="Z381" s="494"/>
    </row>
    <row r="382" spans="3:46">
      <c r="C382" s="494"/>
      <c r="D382" s="494"/>
      <c r="E382" s="494"/>
      <c r="F382" s="494"/>
      <c r="G382" s="494"/>
      <c r="H382" s="494"/>
      <c r="I382" s="494"/>
      <c r="J382" s="494"/>
      <c r="K382" s="494"/>
      <c r="L382" s="494"/>
      <c r="M382" s="494"/>
      <c r="N382" s="494"/>
      <c r="O382" s="494"/>
      <c r="P382" s="494"/>
      <c r="Q382" s="494"/>
      <c r="R382" s="494"/>
      <c r="S382" s="494"/>
      <c r="T382" s="494"/>
      <c r="U382" s="494"/>
      <c r="V382" s="494"/>
      <c r="W382" s="494"/>
      <c r="X382" s="494"/>
      <c r="Y382" s="494"/>
      <c r="Z382" s="494"/>
    </row>
    <row r="383" spans="3:46">
      <c r="C383" s="494"/>
      <c r="D383" s="494"/>
      <c r="E383" s="494"/>
      <c r="F383" s="494"/>
      <c r="G383" s="494"/>
      <c r="H383" s="494"/>
      <c r="I383" s="494"/>
      <c r="J383" s="494"/>
      <c r="K383" s="494"/>
      <c r="L383" s="494"/>
      <c r="M383" s="494"/>
      <c r="N383" s="494"/>
      <c r="O383" s="494"/>
      <c r="P383" s="494"/>
      <c r="Q383" s="494"/>
      <c r="R383" s="494"/>
      <c r="S383" s="494"/>
      <c r="T383" s="494"/>
      <c r="U383" s="494"/>
      <c r="V383" s="494"/>
      <c r="W383" s="494"/>
      <c r="X383" s="494"/>
      <c r="Y383" s="494"/>
      <c r="Z383" s="494"/>
    </row>
    <row r="384" spans="3:46">
      <c r="C384" s="494"/>
      <c r="D384" s="494"/>
      <c r="E384" s="494"/>
      <c r="F384" s="494"/>
      <c r="G384" s="494"/>
      <c r="H384" s="494"/>
      <c r="I384" s="494"/>
      <c r="J384" s="494"/>
      <c r="K384" s="494"/>
      <c r="L384" s="494"/>
      <c r="M384" s="494"/>
      <c r="N384" s="494"/>
      <c r="O384" s="494"/>
      <c r="P384" s="494"/>
      <c r="Q384" s="494"/>
      <c r="R384" s="494"/>
      <c r="S384" s="494"/>
      <c r="T384" s="494"/>
      <c r="U384" s="494"/>
      <c r="V384" s="494"/>
      <c r="W384" s="494"/>
      <c r="X384" s="494"/>
      <c r="Y384" s="494"/>
      <c r="Z384" s="494"/>
    </row>
    <row r="385" spans="3:26">
      <c r="C385" s="494"/>
      <c r="D385" s="494"/>
      <c r="E385" s="494"/>
      <c r="F385" s="494"/>
      <c r="G385" s="494"/>
      <c r="H385" s="494"/>
      <c r="I385" s="494"/>
      <c r="J385" s="494"/>
      <c r="K385" s="494"/>
      <c r="L385" s="494"/>
      <c r="M385" s="494"/>
      <c r="N385" s="494"/>
      <c r="O385" s="494"/>
      <c r="P385" s="494"/>
      <c r="Q385" s="494"/>
      <c r="R385" s="494"/>
      <c r="S385" s="494"/>
      <c r="T385" s="494"/>
      <c r="U385" s="494"/>
      <c r="V385" s="494"/>
      <c r="W385" s="494"/>
      <c r="X385" s="494"/>
      <c r="Y385" s="494"/>
      <c r="Z385" s="494"/>
    </row>
    <row r="386" spans="3:26">
      <c r="C386" s="494"/>
      <c r="D386" s="494"/>
      <c r="E386" s="494"/>
      <c r="F386" s="494"/>
      <c r="G386" s="494"/>
      <c r="H386" s="494"/>
      <c r="I386" s="494"/>
      <c r="J386" s="494"/>
      <c r="K386" s="494"/>
      <c r="L386" s="494"/>
      <c r="M386" s="494"/>
      <c r="N386" s="494"/>
      <c r="O386" s="494"/>
      <c r="P386" s="494"/>
      <c r="Q386" s="494"/>
      <c r="R386" s="494"/>
      <c r="S386" s="494"/>
      <c r="T386" s="494"/>
      <c r="U386" s="494"/>
      <c r="V386" s="494"/>
      <c r="W386" s="494"/>
      <c r="X386" s="494"/>
      <c r="Y386" s="494"/>
      <c r="Z386" s="494"/>
    </row>
    <row r="387" spans="3:26">
      <c r="C387" s="494"/>
      <c r="D387" s="494"/>
      <c r="E387" s="494"/>
      <c r="F387" s="494"/>
      <c r="G387" s="494"/>
      <c r="H387" s="494"/>
      <c r="I387" s="494"/>
      <c r="J387" s="494"/>
      <c r="K387" s="494"/>
      <c r="L387" s="494"/>
      <c r="M387" s="494"/>
      <c r="N387" s="494"/>
      <c r="O387" s="494"/>
      <c r="P387" s="494"/>
      <c r="Q387" s="494"/>
      <c r="R387" s="494"/>
      <c r="S387" s="494"/>
      <c r="T387" s="494"/>
      <c r="U387" s="494"/>
      <c r="V387" s="494"/>
      <c r="W387" s="494"/>
      <c r="X387" s="494"/>
      <c r="Y387" s="494"/>
      <c r="Z387" s="494"/>
    </row>
    <row r="388" spans="3:26">
      <c r="C388" s="494"/>
      <c r="D388" s="494"/>
      <c r="E388" s="494"/>
      <c r="F388" s="494"/>
      <c r="G388" s="494"/>
      <c r="H388" s="494"/>
      <c r="I388" s="494"/>
      <c r="J388" s="494"/>
      <c r="K388" s="494"/>
      <c r="L388" s="494"/>
      <c r="M388" s="494"/>
      <c r="N388" s="494"/>
      <c r="O388" s="494"/>
      <c r="P388" s="494"/>
      <c r="Q388" s="494"/>
      <c r="R388" s="494"/>
      <c r="S388" s="494"/>
      <c r="T388" s="494"/>
      <c r="U388" s="494"/>
      <c r="V388" s="494"/>
      <c r="W388" s="494"/>
      <c r="X388" s="494"/>
      <c r="Y388" s="494"/>
      <c r="Z388" s="494"/>
    </row>
    <row r="389" spans="3:26">
      <c r="C389" s="494"/>
      <c r="D389" s="494"/>
      <c r="E389" s="494"/>
      <c r="F389" s="494"/>
      <c r="G389" s="494"/>
      <c r="H389" s="494"/>
      <c r="I389" s="494"/>
      <c r="J389" s="494"/>
      <c r="K389" s="494"/>
      <c r="L389" s="494"/>
      <c r="M389" s="494"/>
      <c r="N389" s="494"/>
      <c r="O389" s="494"/>
      <c r="P389" s="494"/>
      <c r="Q389" s="494"/>
      <c r="R389" s="494"/>
      <c r="S389" s="494"/>
      <c r="T389" s="494"/>
      <c r="U389" s="494"/>
      <c r="V389" s="494"/>
      <c r="W389" s="494"/>
      <c r="X389" s="494"/>
      <c r="Y389" s="494"/>
      <c r="Z389" s="494"/>
    </row>
    <row r="390" spans="3:26">
      <c r="C390" s="494"/>
      <c r="D390" s="494"/>
      <c r="E390" s="494"/>
      <c r="F390" s="494"/>
      <c r="G390" s="494"/>
      <c r="H390" s="494"/>
      <c r="I390" s="494"/>
      <c r="J390" s="494"/>
      <c r="K390" s="494"/>
      <c r="L390" s="494"/>
      <c r="M390" s="494"/>
      <c r="N390" s="494"/>
      <c r="O390" s="494"/>
      <c r="P390" s="494"/>
      <c r="Q390" s="494"/>
      <c r="R390" s="494"/>
      <c r="S390" s="494"/>
      <c r="T390" s="494"/>
      <c r="U390" s="494"/>
      <c r="V390" s="494"/>
      <c r="W390" s="494"/>
      <c r="X390" s="494"/>
      <c r="Y390" s="494"/>
      <c r="Z390" s="494"/>
    </row>
    <row r="391" spans="3:26">
      <c r="C391" s="494"/>
      <c r="D391" s="494"/>
      <c r="E391" s="494"/>
      <c r="F391" s="494"/>
      <c r="G391" s="494"/>
      <c r="H391" s="494"/>
      <c r="I391" s="494"/>
      <c r="J391" s="494"/>
      <c r="K391" s="494"/>
      <c r="L391" s="494"/>
      <c r="M391" s="494"/>
      <c r="N391" s="494"/>
      <c r="O391" s="494"/>
      <c r="P391" s="494"/>
      <c r="Q391" s="494"/>
      <c r="R391" s="494"/>
      <c r="S391" s="494"/>
      <c r="T391" s="494"/>
      <c r="U391" s="494"/>
      <c r="V391" s="494"/>
      <c r="W391" s="494"/>
      <c r="X391" s="494"/>
      <c r="Y391" s="494"/>
      <c r="Z391" s="494"/>
    </row>
    <row r="392" spans="3:26">
      <c r="C392" s="494"/>
      <c r="D392" s="494"/>
      <c r="E392" s="494"/>
      <c r="F392" s="494"/>
      <c r="G392" s="494"/>
      <c r="H392" s="494"/>
      <c r="I392" s="494"/>
      <c r="J392" s="494"/>
      <c r="K392" s="494"/>
      <c r="L392" s="494"/>
      <c r="M392" s="494"/>
      <c r="N392" s="494"/>
      <c r="O392" s="494"/>
      <c r="P392" s="494"/>
      <c r="Q392" s="494"/>
      <c r="R392" s="494"/>
      <c r="S392" s="494"/>
      <c r="T392" s="494"/>
      <c r="U392" s="494"/>
      <c r="V392" s="494"/>
      <c r="W392" s="494"/>
      <c r="X392" s="494"/>
      <c r="Y392" s="494"/>
      <c r="Z392" s="494"/>
    </row>
    <row r="393" spans="3:26">
      <c r="C393" s="494"/>
      <c r="D393" s="494"/>
      <c r="E393" s="494"/>
      <c r="F393" s="494"/>
      <c r="G393" s="494"/>
      <c r="H393" s="494"/>
      <c r="I393" s="494"/>
      <c r="J393" s="494"/>
      <c r="K393" s="494"/>
      <c r="L393" s="494"/>
      <c r="M393" s="494"/>
      <c r="N393" s="494"/>
      <c r="O393" s="494"/>
      <c r="P393" s="494"/>
      <c r="Q393" s="494"/>
      <c r="R393" s="494"/>
      <c r="S393" s="494"/>
      <c r="T393" s="494"/>
      <c r="U393" s="494"/>
      <c r="V393" s="494"/>
      <c r="W393" s="494"/>
      <c r="X393" s="494"/>
      <c r="Y393" s="494"/>
      <c r="Z393" s="494"/>
    </row>
    <row r="394" spans="3:26">
      <c r="C394" s="494"/>
      <c r="D394" s="494"/>
      <c r="E394" s="494"/>
      <c r="F394" s="494"/>
      <c r="G394" s="494"/>
      <c r="H394" s="494"/>
      <c r="I394" s="494"/>
      <c r="J394" s="494"/>
      <c r="K394" s="494"/>
      <c r="L394" s="494"/>
      <c r="M394" s="494"/>
      <c r="N394" s="494"/>
      <c r="O394" s="494"/>
      <c r="P394" s="494"/>
      <c r="Q394" s="494"/>
      <c r="R394" s="494"/>
      <c r="S394" s="494"/>
      <c r="T394" s="494"/>
      <c r="U394" s="494"/>
      <c r="V394" s="494"/>
      <c r="W394" s="494"/>
      <c r="X394" s="494"/>
      <c r="Y394" s="494"/>
      <c r="Z394" s="494"/>
    </row>
    <row r="395" spans="3:26">
      <c r="C395" s="494"/>
      <c r="D395" s="494"/>
      <c r="E395" s="494"/>
      <c r="F395" s="494"/>
      <c r="G395" s="494"/>
      <c r="H395" s="494"/>
      <c r="I395" s="494"/>
      <c r="J395" s="494"/>
      <c r="K395" s="494"/>
      <c r="L395" s="494"/>
      <c r="M395" s="494"/>
      <c r="N395" s="494"/>
      <c r="O395" s="494"/>
      <c r="P395" s="494"/>
      <c r="Q395" s="494"/>
      <c r="R395" s="494"/>
      <c r="S395" s="494"/>
      <c r="T395" s="494"/>
      <c r="U395" s="494"/>
      <c r="V395" s="494"/>
      <c r="W395" s="494"/>
      <c r="X395" s="494"/>
      <c r="Y395" s="494"/>
      <c r="Z395" s="494"/>
    </row>
    <row r="396" spans="3:26">
      <c r="C396" s="494"/>
      <c r="D396" s="494"/>
      <c r="E396" s="494"/>
      <c r="F396" s="494"/>
      <c r="G396" s="494"/>
      <c r="H396" s="494"/>
      <c r="I396" s="494"/>
      <c r="J396" s="494"/>
      <c r="K396" s="494"/>
      <c r="L396" s="494"/>
      <c r="M396" s="494"/>
      <c r="N396" s="494"/>
      <c r="O396" s="494"/>
      <c r="P396" s="494"/>
      <c r="Q396" s="494"/>
      <c r="R396" s="494"/>
      <c r="S396" s="494"/>
      <c r="T396" s="494"/>
      <c r="U396" s="494"/>
      <c r="V396" s="494"/>
      <c r="W396" s="494"/>
      <c r="X396" s="494"/>
      <c r="Y396" s="494"/>
      <c r="Z396" s="494"/>
    </row>
    <row r="397" spans="3:26">
      <c r="C397" s="494"/>
      <c r="D397" s="494"/>
      <c r="E397" s="494"/>
      <c r="F397" s="494"/>
      <c r="G397" s="494"/>
      <c r="H397" s="494"/>
      <c r="I397" s="494"/>
      <c r="J397" s="494"/>
      <c r="K397" s="494"/>
      <c r="L397" s="494"/>
      <c r="M397" s="494"/>
      <c r="N397" s="494"/>
      <c r="O397" s="494"/>
      <c r="P397" s="494"/>
      <c r="Q397" s="494"/>
      <c r="R397" s="494"/>
      <c r="S397" s="494"/>
      <c r="T397" s="494"/>
      <c r="U397" s="494"/>
      <c r="V397" s="494"/>
      <c r="W397" s="494"/>
      <c r="X397" s="494"/>
      <c r="Y397" s="494"/>
      <c r="Z397" s="494"/>
    </row>
    <row r="398" spans="3:26">
      <c r="C398" s="494"/>
      <c r="D398" s="494"/>
      <c r="E398" s="494"/>
      <c r="F398" s="494"/>
      <c r="G398" s="494"/>
      <c r="H398" s="494"/>
      <c r="I398" s="494"/>
      <c r="J398" s="494"/>
      <c r="K398" s="494"/>
      <c r="L398" s="494"/>
      <c r="M398" s="494"/>
      <c r="N398" s="494"/>
      <c r="O398" s="494"/>
      <c r="P398" s="494"/>
      <c r="Q398" s="494"/>
      <c r="R398" s="494"/>
      <c r="S398" s="494"/>
      <c r="T398" s="494"/>
      <c r="U398" s="494"/>
      <c r="V398" s="494"/>
      <c r="W398" s="494"/>
      <c r="X398" s="494"/>
      <c r="Y398" s="494"/>
      <c r="Z398" s="494"/>
    </row>
    <row r="399" spans="3:26">
      <c r="C399" s="494"/>
      <c r="D399" s="494"/>
      <c r="E399" s="494"/>
      <c r="F399" s="494"/>
      <c r="G399" s="494"/>
      <c r="H399" s="494"/>
      <c r="I399" s="494"/>
      <c r="J399" s="494"/>
      <c r="K399" s="494"/>
      <c r="L399" s="494"/>
      <c r="M399" s="494"/>
      <c r="N399" s="494"/>
      <c r="O399" s="494"/>
      <c r="P399" s="494"/>
      <c r="Q399" s="494"/>
      <c r="R399" s="494"/>
      <c r="S399" s="494"/>
      <c r="T399" s="494"/>
      <c r="U399" s="494"/>
      <c r="V399" s="494"/>
      <c r="W399" s="494"/>
      <c r="X399" s="494"/>
      <c r="Y399" s="494"/>
      <c r="Z399" s="494"/>
    </row>
    <row r="400" spans="3:26">
      <c r="C400" s="494"/>
      <c r="D400" s="494"/>
      <c r="E400" s="494"/>
      <c r="F400" s="494"/>
      <c r="G400" s="494"/>
      <c r="H400" s="494"/>
      <c r="I400" s="494"/>
      <c r="J400" s="494"/>
      <c r="K400" s="494"/>
      <c r="L400" s="494"/>
      <c r="M400" s="494"/>
      <c r="N400" s="494"/>
      <c r="O400" s="494"/>
      <c r="P400" s="494"/>
      <c r="Q400" s="494"/>
      <c r="R400" s="494"/>
      <c r="S400" s="494"/>
      <c r="T400" s="494"/>
      <c r="U400" s="494"/>
      <c r="V400" s="494"/>
      <c r="W400" s="494"/>
      <c r="X400" s="494"/>
      <c r="Y400" s="494"/>
      <c r="Z400" s="494"/>
    </row>
    <row r="401" spans="3:26">
      <c r="C401" s="494"/>
      <c r="D401" s="494"/>
      <c r="E401" s="494"/>
      <c r="F401" s="494"/>
      <c r="G401" s="494"/>
      <c r="H401" s="494"/>
      <c r="I401" s="494"/>
      <c r="J401" s="494"/>
      <c r="K401" s="494"/>
      <c r="L401" s="494"/>
      <c r="M401" s="494"/>
      <c r="N401" s="494"/>
      <c r="O401" s="494"/>
      <c r="P401" s="494"/>
      <c r="Q401" s="494"/>
      <c r="R401" s="494"/>
      <c r="S401" s="494"/>
      <c r="T401" s="494"/>
      <c r="U401" s="494"/>
      <c r="V401" s="494"/>
      <c r="W401" s="494"/>
      <c r="X401" s="494"/>
      <c r="Y401" s="494"/>
      <c r="Z401" s="494"/>
    </row>
    <row r="402" spans="3:26">
      <c r="C402" s="494"/>
      <c r="D402" s="494"/>
      <c r="E402" s="494"/>
      <c r="F402" s="494"/>
      <c r="G402" s="494"/>
      <c r="H402" s="494"/>
      <c r="I402" s="494"/>
      <c r="J402" s="494"/>
      <c r="K402" s="494"/>
      <c r="L402" s="494"/>
      <c r="M402" s="494"/>
      <c r="N402" s="494"/>
      <c r="O402" s="494"/>
      <c r="P402" s="494"/>
      <c r="Q402" s="494"/>
      <c r="R402" s="494"/>
      <c r="S402" s="494"/>
      <c r="T402" s="494"/>
      <c r="U402" s="494"/>
      <c r="V402" s="494"/>
      <c r="W402" s="494"/>
      <c r="X402" s="494"/>
      <c r="Y402" s="494"/>
      <c r="Z402" s="494"/>
    </row>
    <row r="403" spans="3:26">
      <c r="C403" s="494"/>
      <c r="D403" s="494"/>
      <c r="E403" s="494"/>
      <c r="F403" s="494"/>
      <c r="G403" s="494"/>
      <c r="H403" s="494"/>
      <c r="I403" s="494"/>
      <c r="J403" s="494"/>
      <c r="K403" s="494"/>
      <c r="L403" s="494"/>
      <c r="M403" s="494"/>
      <c r="N403" s="494"/>
      <c r="O403" s="494"/>
      <c r="P403" s="494"/>
      <c r="Q403" s="494"/>
      <c r="R403" s="494"/>
      <c r="S403" s="494"/>
      <c r="T403" s="494"/>
      <c r="U403" s="494"/>
      <c r="V403" s="494"/>
      <c r="W403" s="494"/>
      <c r="X403" s="494"/>
      <c r="Y403" s="494"/>
      <c r="Z403" s="494"/>
    </row>
    <row r="404" spans="3:26">
      <c r="C404" s="494"/>
      <c r="D404" s="494"/>
      <c r="E404" s="494"/>
      <c r="F404" s="494"/>
      <c r="G404" s="494"/>
      <c r="H404" s="494"/>
      <c r="I404" s="494"/>
      <c r="J404" s="494"/>
      <c r="K404" s="494"/>
      <c r="L404" s="494"/>
      <c r="M404" s="494"/>
      <c r="N404" s="494"/>
      <c r="O404" s="494"/>
      <c r="P404" s="494"/>
      <c r="Q404" s="494"/>
      <c r="R404" s="494"/>
      <c r="S404" s="494"/>
      <c r="T404" s="494"/>
      <c r="U404" s="494"/>
      <c r="V404" s="494"/>
      <c r="W404" s="494"/>
      <c r="X404" s="494"/>
      <c r="Y404" s="494"/>
      <c r="Z404" s="494"/>
    </row>
    <row r="405" spans="3:26">
      <c r="C405" s="494"/>
      <c r="D405" s="494"/>
      <c r="E405" s="494"/>
      <c r="F405" s="494"/>
      <c r="G405" s="494"/>
      <c r="H405" s="494"/>
      <c r="I405" s="494"/>
      <c r="J405" s="494"/>
      <c r="K405" s="494"/>
      <c r="L405" s="494"/>
      <c r="M405" s="494"/>
      <c r="N405" s="494"/>
      <c r="O405" s="494"/>
      <c r="P405" s="494"/>
      <c r="Q405" s="494"/>
      <c r="R405" s="494"/>
      <c r="S405" s="494"/>
      <c r="T405" s="494"/>
      <c r="U405" s="494"/>
      <c r="V405" s="494"/>
      <c r="W405" s="494"/>
      <c r="X405" s="494"/>
      <c r="Y405" s="494"/>
      <c r="Z405" s="494"/>
    </row>
    <row r="406" spans="3:26">
      <c r="C406" s="494"/>
      <c r="D406" s="494"/>
      <c r="E406" s="494"/>
      <c r="F406" s="494"/>
      <c r="G406" s="494"/>
      <c r="H406" s="494"/>
      <c r="I406" s="494"/>
      <c r="J406" s="494"/>
      <c r="K406" s="494"/>
      <c r="L406" s="494"/>
      <c r="M406" s="494"/>
      <c r="N406" s="494"/>
      <c r="O406" s="494"/>
      <c r="P406" s="494"/>
      <c r="Q406" s="494"/>
      <c r="R406" s="494"/>
      <c r="S406" s="494"/>
      <c r="T406" s="494"/>
      <c r="U406" s="494"/>
      <c r="V406" s="494"/>
      <c r="W406" s="494"/>
      <c r="X406" s="494"/>
      <c r="Y406" s="494"/>
      <c r="Z406" s="494"/>
    </row>
    <row r="407" spans="3:26">
      <c r="C407" s="494"/>
      <c r="D407" s="494"/>
      <c r="E407" s="494"/>
      <c r="F407" s="494"/>
      <c r="G407" s="494"/>
      <c r="H407" s="494"/>
      <c r="I407" s="494"/>
      <c r="J407" s="494"/>
      <c r="K407" s="494"/>
      <c r="L407" s="494"/>
      <c r="M407" s="494"/>
      <c r="N407" s="494"/>
      <c r="O407" s="494"/>
      <c r="P407" s="494"/>
      <c r="Q407" s="494"/>
      <c r="R407" s="494"/>
      <c r="S407" s="494"/>
      <c r="T407" s="494"/>
      <c r="U407" s="494"/>
      <c r="V407" s="494"/>
      <c r="W407" s="494"/>
      <c r="X407" s="494"/>
      <c r="Y407" s="494"/>
      <c r="Z407" s="494"/>
    </row>
    <row r="408" spans="3:26">
      <c r="C408" s="494"/>
      <c r="D408" s="494"/>
      <c r="E408" s="494"/>
      <c r="F408" s="494"/>
      <c r="G408" s="494"/>
      <c r="H408" s="494"/>
      <c r="I408" s="494"/>
      <c r="J408" s="494"/>
      <c r="K408" s="494"/>
      <c r="L408" s="494"/>
      <c r="M408" s="494"/>
      <c r="N408" s="494"/>
      <c r="O408" s="494"/>
      <c r="P408" s="494"/>
      <c r="Q408" s="494"/>
      <c r="R408" s="494"/>
      <c r="S408" s="494"/>
      <c r="T408" s="494"/>
      <c r="U408" s="494"/>
      <c r="V408" s="494"/>
      <c r="W408" s="494"/>
      <c r="X408" s="494"/>
      <c r="Y408" s="494"/>
      <c r="Z408" s="494"/>
    </row>
    <row r="409" spans="3:26">
      <c r="C409" s="494"/>
      <c r="D409" s="494"/>
      <c r="E409" s="494"/>
      <c r="F409" s="494"/>
      <c r="G409" s="494"/>
      <c r="H409" s="494"/>
      <c r="I409" s="494"/>
      <c r="J409" s="494"/>
      <c r="K409" s="494"/>
      <c r="L409" s="494"/>
      <c r="M409" s="494"/>
      <c r="N409" s="494"/>
      <c r="O409" s="494"/>
      <c r="P409" s="494"/>
      <c r="Q409" s="494"/>
      <c r="R409" s="494"/>
      <c r="S409" s="494"/>
      <c r="T409" s="494"/>
      <c r="U409" s="494"/>
      <c r="V409" s="494"/>
      <c r="W409" s="494"/>
      <c r="X409" s="494"/>
      <c r="Y409" s="494"/>
      <c r="Z409" s="494"/>
    </row>
  </sheetData>
  <customSheetViews>
    <customSheetView guid="{92309AA4-604A-11D5-9E55-00508BC944B9}" scale="80" showPageBreaks="1" printArea="1" hiddenRows="1" hiddenColumns="1" showRuler="0">
      <pane xSplit="1" ySplit="2" topLeftCell="B17" activePane="bottomRight" state="frozen"/>
      <selection pane="bottomRight" activeCell="T20" sqref="T20"/>
      <rowBreaks count="2" manualBreakCount="2">
        <brk id="107" max="16383" man="1"/>
        <brk id="208" max="16383" man="1"/>
      </rowBreaks>
      <pageMargins left="0" right="0" top="0" bottom="0" header="0" footer="0"/>
      <printOptions horizontalCentered="1"/>
      <pageSetup paperSize="9" scale="55" orientation="portrait" blackAndWhite="1" verticalDpi="0" r:id="rId1"/>
      <headerFooter alignWithMargins="0">
        <oddHeader>&amp;R&amp;"Verdana,Bold"&amp;12JBWere</oddHeader>
        <oddFooter>&amp;L&amp;12Updated: &amp;D&amp;C&amp;12Analyst: Lou Capparelli</oddFooter>
      </headerFooter>
    </customSheetView>
    <customSheetView guid="{92309AA5-604A-11D5-9E55-00508BC944B9}" scale="80" showPageBreaks="1" printArea="1" hiddenRows="1" hiddenColumns="1" showRuler="0">
      <pane xSplit="1" ySplit="2" topLeftCell="B17" activePane="bottomRight" state="frozen"/>
      <selection pane="bottomRight" activeCell="I1" sqref="I1"/>
      <rowBreaks count="2" manualBreakCount="2">
        <brk id="107" max="16383" man="1"/>
        <brk id="208" max="16383" man="1"/>
      </rowBreaks>
      <pageMargins left="0" right="0" top="0" bottom="0" header="0" footer="0"/>
      <printOptions horizontalCentered="1"/>
      <pageSetup paperSize="9" scale="45" orientation="portrait" blackAndWhite="1" verticalDpi="0" r:id="rId2"/>
      <headerFooter alignWithMargins="0">
        <oddHeader>&amp;R&amp;"Verdana,Bold"&amp;12JBWere</oddHeader>
        <oddFooter>&amp;L&amp;12Updated: &amp;D&amp;C&amp;12Analyst: Lou Capparelli</oddFooter>
      </headerFooter>
    </customSheetView>
  </customSheetViews>
  <phoneticPr fontId="0" type="noConversion"/>
  <pageMargins left="0.74803149606299202" right="0.74803149606299202" top="0.39370078740157499" bottom="0.98425196850393704" header="0.35433070866141703" footer="0.511811023622047"/>
  <pageSetup paperSize="187" scale="48" fitToHeight="2" orientation="landscape" r:id="rId3"/>
  <headerFooter alignWithMargins="0">
    <oddFooter>&amp;L&amp;"Verdana,Bold"Goldman Sachs
CME Research&amp;R&amp;"Verdana,Bold"Christian Guerra
+613-9679-1302
christian.guerra@gs.com
Page &amp;P of &amp;N</oddFooter>
  </headerFooter>
  <rowBreaks count="1" manualBreakCount="1">
    <brk id="80" min="1" max="33" man="1"/>
  </rowBreaks>
  <customProperties>
    <customPr name="Qube.Worksheet.Visibility" r:id="rId4"/>
    <customPr name="QXL_SHEET_ID" r:id="rId5"/>
  </customProperties>
  <drawing r:id="rId6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4"/>
    <pageSetUpPr fitToPage="1"/>
  </sheetPr>
  <dimension ref="A1:BK197"/>
  <sheetViews>
    <sheetView zoomScaleNormal="100" workbookViewId="0">
      <pane xSplit="2" ySplit="2" topLeftCell="AA3" activePane="bottomRight" state="frozen"/>
      <selection activeCell="G51" sqref="G51"/>
      <selection pane="topRight" activeCell="G51" sqref="G51"/>
      <selection pane="bottomLeft" activeCell="G51" sqref="G51"/>
      <selection pane="bottomRight" activeCell="B1" sqref="B1"/>
    </sheetView>
  </sheetViews>
  <sheetFormatPr defaultColWidth="9.140625" defaultRowHeight="12.75" outlineLevelRow="1" outlineLevelCol="2"/>
  <cols>
    <col min="1" max="1" width="9" style="290" hidden="1" customWidth="1" outlineLevel="1"/>
    <col min="2" max="2" width="28" style="129" customWidth="1" collapsed="1"/>
    <col min="3" max="26" width="10.7109375" style="129" hidden="1" customWidth="1"/>
    <col min="27" max="27" width="12.85546875" style="129" customWidth="1"/>
    <col min="28" max="29" width="10.7109375" style="129" hidden="1" customWidth="1" outlineLevel="1"/>
    <col min="30" max="30" width="10.7109375" style="129" customWidth="1" collapsed="1"/>
    <col min="31" max="31" width="11.7109375" style="129" hidden="1" customWidth="1" outlineLevel="1"/>
    <col min="32" max="32" width="10.7109375" style="129" hidden="1" customWidth="1" outlineLevel="1"/>
    <col min="33" max="33" width="10.7109375" style="129" customWidth="1" collapsed="1"/>
    <col min="34" max="34" width="10.7109375" style="129" hidden="1" customWidth="1" outlineLevel="1"/>
    <col min="35" max="35" width="10.7109375" style="129" hidden="1" customWidth="1" outlineLevel="2"/>
    <col min="36" max="36" width="10.7109375" style="129" customWidth="1" collapsed="1"/>
    <col min="37" max="37" width="10.7109375" style="129" hidden="1" customWidth="1" outlineLevel="1"/>
    <col min="38" max="38" width="10.7109375" style="129" hidden="1" customWidth="1" outlineLevel="2"/>
    <col min="39" max="39" width="10.7109375" style="129" customWidth="1" collapsed="1"/>
    <col min="40" max="41" width="10.7109375" style="129" hidden="1" customWidth="1" outlineLevel="1"/>
    <col min="42" max="42" width="10.7109375" style="129" customWidth="1" collapsed="1"/>
    <col min="43" max="44" width="10.7109375" style="129" hidden="1" customWidth="1" outlineLevel="1"/>
    <col min="45" max="45" width="10.7109375" style="129" customWidth="1" collapsed="1"/>
    <col min="46" max="47" width="10.7109375" style="129" hidden="1" customWidth="1" outlineLevel="1"/>
    <col min="48" max="48" width="10.7109375" style="129" customWidth="1" collapsed="1"/>
    <col min="49" max="50" width="10.7109375" style="129" hidden="1" customWidth="1" outlineLevel="1"/>
    <col min="51" max="51" width="10.7109375" style="129" customWidth="1" collapsed="1"/>
    <col min="52" max="53" width="10.7109375" style="129" hidden="1" customWidth="1" outlineLevel="1"/>
    <col min="54" max="54" width="10.7109375" style="129" customWidth="1" collapsed="1"/>
    <col min="55" max="56" width="10.7109375" style="129" hidden="1" customWidth="1" outlineLevel="1"/>
    <col min="57" max="57" width="10.7109375" style="129" customWidth="1" collapsed="1"/>
    <col min="58" max="60" width="10.7109375" style="129" customWidth="1"/>
    <col min="61" max="16384" width="9.140625" style="129"/>
  </cols>
  <sheetData>
    <row r="1" spans="1:62" s="261" customFormat="1" ht="30" customHeight="1">
      <c r="A1" s="290"/>
      <c r="B1" s="357" t="s">
        <v>330</v>
      </c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1"/>
      <c r="P1" s="291"/>
      <c r="Q1" s="291"/>
      <c r="R1" s="291"/>
      <c r="S1" s="291"/>
      <c r="T1" s="291"/>
      <c r="U1" s="291"/>
      <c r="V1" s="291"/>
      <c r="W1" s="291"/>
      <c r="X1" s="291"/>
      <c r="Y1" s="291"/>
      <c r="Z1" s="291"/>
      <c r="AA1" s="292"/>
      <c r="AB1" s="291"/>
      <c r="AC1" s="291"/>
      <c r="AD1" s="293"/>
      <c r="AE1" s="293"/>
      <c r="AF1" s="294"/>
      <c r="AG1" s="293"/>
      <c r="AH1" s="293"/>
      <c r="AI1" s="294"/>
      <c r="AJ1" s="295"/>
      <c r="AK1" s="295"/>
      <c r="AL1" s="294"/>
      <c r="AM1" s="516" t="s">
        <v>690</v>
      </c>
      <c r="AN1" s="295"/>
      <c r="AO1" s="295"/>
      <c r="AP1" s="295"/>
      <c r="AQ1" s="295"/>
      <c r="AR1" s="295"/>
      <c r="AS1" s="295"/>
      <c r="AT1" s="295"/>
      <c r="AU1" s="295"/>
      <c r="AV1" s="295"/>
      <c r="AW1" s="295"/>
      <c r="AX1" s="295"/>
      <c r="AY1" s="295"/>
      <c r="AZ1" s="295"/>
      <c r="BA1" s="295"/>
      <c r="BB1" s="295"/>
      <c r="BC1" s="1069"/>
      <c r="BD1" s="1069"/>
      <c r="BE1" s="295"/>
      <c r="BF1" s="295"/>
      <c r="BG1" s="295"/>
      <c r="BH1" s="295"/>
    </row>
    <row r="2" spans="1:62">
      <c r="A2" s="198"/>
      <c r="B2" s="296" t="s">
        <v>129</v>
      </c>
      <c r="C2" s="610">
        <v>2007</v>
      </c>
      <c r="D2" s="611" t="s">
        <v>216</v>
      </c>
      <c r="E2" s="611" t="s">
        <v>215</v>
      </c>
      <c r="F2" s="610">
        <v>2008</v>
      </c>
      <c r="G2" s="611" t="s">
        <v>216</v>
      </c>
      <c r="H2" s="611" t="s">
        <v>215</v>
      </c>
      <c r="I2" s="610">
        <v>2009</v>
      </c>
      <c r="J2" s="611" t="s">
        <v>216</v>
      </c>
      <c r="K2" s="611" t="s">
        <v>215</v>
      </c>
      <c r="L2" s="610">
        <v>2010</v>
      </c>
      <c r="M2" s="611" t="s">
        <v>216</v>
      </c>
      <c r="N2" s="611" t="s">
        <v>215</v>
      </c>
      <c r="O2" s="610">
        <v>2011</v>
      </c>
      <c r="P2" s="611" t="s">
        <v>216</v>
      </c>
      <c r="Q2" s="611" t="s">
        <v>215</v>
      </c>
      <c r="R2" s="610">
        <v>2012</v>
      </c>
      <c r="S2" s="611" t="s">
        <v>216</v>
      </c>
      <c r="T2" s="611" t="s">
        <v>215</v>
      </c>
      <c r="U2" s="610">
        <v>2013</v>
      </c>
      <c r="V2" s="611" t="s">
        <v>216</v>
      </c>
      <c r="W2" s="611" t="s">
        <v>215</v>
      </c>
      <c r="X2" s="610">
        <v>2014</v>
      </c>
      <c r="Y2" s="611" t="s">
        <v>216</v>
      </c>
      <c r="Z2" s="611" t="s">
        <v>215</v>
      </c>
      <c r="AA2" s="610">
        <v>2015</v>
      </c>
      <c r="AB2" s="611" t="str">
        <f>"1H"&amp;RIGHT(AD2,2)</f>
        <v>1H16</v>
      </c>
      <c r="AC2" s="611" t="str">
        <f>"2H"&amp;RIGHT(AD2,2)</f>
        <v>2H16</v>
      </c>
      <c r="AD2" s="610">
        <v>2016</v>
      </c>
      <c r="AE2" s="611" t="str">
        <f>"1H"&amp;RIGHT(AG2,2)</f>
        <v>1H17</v>
      </c>
      <c r="AF2" s="611" t="str">
        <f>"2H"&amp;RIGHT(AG2,2)</f>
        <v>2H17</v>
      </c>
      <c r="AG2" s="610">
        <v>2017</v>
      </c>
      <c r="AH2" s="611" t="str">
        <f>"1H"&amp;RIGHT(AJ2,2)</f>
        <v>1H18</v>
      </c>
      <c r="AI2" s="611" t="str">
        <f>"2H"&amp;RIGHT(AJ2,2)</f>
        <v>2H18</v>
      </c>
      <c r="AJ2" s="610">
        <v>2018</v>
      </c>
      <c r="AK2" s="611" t="str">
        <f>"1H"&amp;RIGHT(AM2,2)</f>
        <v>1H19</v>
      </c>
      <c r="AL2" s="611" t="str">
        <f>"2H"&amp;RIGHT(AM2,2)</f>
        <v>2H19</v>
      </c>
      <c r="AM2" s="610">
        <v>2019</v>
      </c>
      <c r="AN2" s="299" t="str">
        <f>"1H"&amp;RIGHT(AP2,2)</f>
        <v>1H20</v>
      </c>
      <c r="AO2" s="299" t="str">
        <f>"2H"&amp;RIGHT(AP2,2)</f>
        <v>2H20</v>
      </c>
      <c r="AP2" s="300">
        <v>2020</v>
      </c>
      <c r="AQ2" s="299" t="str">
        <f>"1H"&amp;RIGHT(AS2,2)</f>
        <v>1H21</v>
      </c>
      <c r="AR2" s="299" t="str">
        <f>"2H"&amp;RIGHT(AS2,2)</f>
        <v>2H21</v>
      </c>
      <c r="AS2" s="297">
        <v>2021</v>
      </c>
      <c r="AT2" s="299" t="s">
        <v>566</v>
      </c>
      <c r="AU2" s="299" t="s">
        <v>625</v>
      </c>
      <c r="AV2" s="297">
        <v>2022</v>
      </c>
      <c r="AW2" s="298" t="s">
        <v>626</v>
      </c>
      <c r="AX2" s="298" t="s">
        <v>657</v>
      </c>
      <c r="AY2" s="297">
        <v>2023</v>
      </c>
      <c r="AZ2" s="298" t="s">
        <v>660</v>
      </c>
      <c r="BA2" s="298" t="s">
        <v>661</v>
      </c>
      <c r="BB2" s="297">
        <v>2024</v>
      </c>
      <c r="BC2" s="298" t="s">
        <v>712</v>
      </c>
      <c r="BD2" s="298" t="s">
        <v>1064</v>
      </c>
      <c r="BE2" s="297">
        <v>2025</v>
      </c>
      <c r="BF2" s="297" t="s">
        <v>240</v>
      </c>
      <c r="BG2" s="297" t="s">
        <v>241</v>
      </c>
      <c r="BH2" s="297" t="s">
        <v>345</v>
      </c>
    </row>
    <row r="3" spans="1:62" s="305" customFormat="1">
      <c r="A3" s="290"/>
      <c r="B3" s="301" t="s">
        <v>676</v>
      </c>
      <c r="C3" s="302"/>
      <c r="D3" s="302"/>
      <c r="E3" s="302"/>
      <c r="F3" s="302"/>
      <c r="G3" s="302"/>
      <c r="H3" s="302"/>
      <c r="I3" s="302"/>
      <c r="J3" s="302"/>
      <c r="K3" s="302"/>
      <c r="L3" s="302"/>
      <c r="M3" s="302"/>
      <c r="N3" s="302"/>
      <c r="O3" s="302"/>
      <c r="P3" s="302"/>
      <c r="Q3" s="302"/>
      <c r="R3" s="302"/>
      <c r="S3" s="302"/>
      <c r="T3" s="302"/>
      <c r="U3" s="302"/>
      <c r="V3" s="302"/>
      <c r="W3" s="302"/>
      <c r="X3" s="302"/>
      <c r="Y3" s="302"/>
      <c r="Z3" s="302"/>
      <c r="AA3" s="302"/>
      <c r="AB3" s="302"/>
      <c r="AC3" s="302"/>
      <c r="AD3" s="303"/>
      <c r="AE3" s="303"/>
      <c r="AF3" s="303"/>
      <c r="AG3" s="303"/>
      <c r="AH3" s="303"/>
      <c r="AI3" s="303"/>
      <c r="AJ3" s="303"/>
      <c r="AK3" s="303"/>
      <c r="AL3" s="303"/>
      <c r="AM3" s="303"/>
      <c r="AN3" s="303"/>
      <c r="AO3" s="303"/>
      <c r="AP3" s="303"/>
      <c r="AQ3" s="303"/>
      <c r="AR3" s="303"/>
      <c r="AS3" s="302"/>
      <c r="AT3" s="303"/>
      <c r="AU3" s="303"/>
      <c r="AV3" s="302"/>
      <c r="AW3" s="302"/>
      <c r="AX3" s="302"/>
      <c r="AY3" s="302"/>
      <c r="AZ3" s="302"/>
      <c r="BA3" s="302"/>
      <c r="BB3" s="302"/>
      <c r="BC3" s="302"/>
      <c r="BD3" s="302"/>
      <c r="BE3" s="302"/>
      <c r="BF3" s="302"/>
      <c r="BG3" s="302"/>
      <c r="BH3" s="304"/>
    </row>
    <row r="4" spans="1:62" hidden="1" outlineLevel="1">
      <c r="B4" s="306"/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07"/>
      <c r="Z4" s="307"/>
      <c r="AA4" s="308"/>
      <c r="AB4" s="309"/>
      <c r="AC4" s="307"/>
      <c r="AD4" s="308"/>
      <c r="AE4" s="309"/>
      <c r="AF4" s="307"/>
      <c r="AG4" s="308"/>
      <c r="AH4" s="308"/>
      <c r="AI4" s="307"/>
      <c r="AJ4" s="308"/>
      <c r="AK4" s="308"/>
      <c r="AL4" s="307"/>
      <c r="AM4" s="308"/>
      <c r="AN4" s="308"/>
      <c r="AO4" s="310"/>
      <c r="AP4" s="308"/>
      <c r="AQ4" s="308"/>
      <c r="AR4" s="310"/>
      <c r="AS4" s="308"/>
      <c r="AT4" s="310"/>
      <c r="AU4" s="310"/>
      <c r="AV4" s="310"/>
      <c r="AW4" s="310"/>
      <c r="AX4" s="310"/>
      <c r="AY4" s="310"/>
      <c r="AZ4" s="310"/>
      <c r="BA4" s="310"/>
      <c r="BB4" s="310"/>
      <c r="BC4" s="310"/>
      <c r="BD4" s="310"/>
      <c r="BE4" s="310"/>
      <c r="BF4" s="310"/>
      <c r="BG4" s="310"/>
      <c r="BH4" s="310"/>
    </row>
    <row r="5" spans="1:62" hidden="1" outlineLevel="1">
      <c r="B5" s="616" t="s">
        <v>692</v>
      </c>
      <c r="C5" s="511"/>
      <c r="D5" s="511"/>
      <c r="E5" s="511"/>
      <c r="F5" s="511"/>
      <c r="G5" s="511"/>
      <c r="H5" s="511"/>
      <c r="I5" s="511"/>
      <c r="J5" s="511"/>
      <c r="K5" s="511"/>
      <c r="L5" s="511"/>
      <c r="M5" s="511"/>
      <c r="N5" s="511"/>
      <c r="O5" s="511"/>
      <c r="P5" s="511"/>
      <c r="Q5" s="511"/>
      <c r="R5" s="511"/>
      <c r="S5" s="511"/>
      <c r="T5" s="511"/>
      <c r="U5" s="511"/>
      <c r="V5" s="511"/>
      <c r="W5" s="511"/>
      <c r="X5" s="511"/>
      <c r="Y5" s="511"/>
      <c r="Z5" s="511"/>
      <c r="AA5" s="514">
        <v>56.9</v>
      </c>
      <c r="AB5" s="514">
        <v>38.9</v>
      </c>
      <c r="AC5" s="511">
        <f>AD5-AB5</f>
        <v>47.300000000000004</v>
      </c>
      <c r="AD5" s="514">
        <v>86.2</v>
      </c>
      <c r="AE5" s="514">
        <v>58.6</v>
      </c>
      <c r="AF5" s="511">
        <f>AG5-AE5</f>
        <v>68.699999999999989</v>
      </c>
      <c r="AG5" s="514">
        <v>127.3</v>
      </c>
      <c r="AH5" s="514">
        <v>76.2</v>
      </c>
      <c r="AI5" s="511">
        <f>AJ5-AH5</f>
        <v>94.8</v>
      </c>
      <c r="AJ5" s="514">
        <v>171</v>
      </c>
      <c r="AK5" s="514">
        <v>114.1</v>
      </c>
      <c r="AL5" s="511">
        <f>AM5-AK5</f>
        <v>135.70000000000002</v>
      </c>
      <c r="AM5" s="514">
        <v>249.8</v>
      </c>
      <c r="AN5" s="514">
        <v>151.80000000000001</v>
      </c>
      <c r="AO5" s="511">
        <f>AP5-AN5</f>
        <v>157.39999999999998</v>
      </c>
      <c r="AP5" s="514">
        <v>309.2</v>
      </c>
      <c r="AQ5" s="514">
        <v>179.4</v>
      </c>
      <c r="AR5" s="511">
        <f>AS5-AQ5</f>
        <v>203.6</v>
      </c>
      <c r="AS5" s="514">
        <v>383</v>
      </c>
      <c r="AT5" s="514">
        <v>225</v>
      </c>
      <c r="AU5" s="511">
        <f>AV5-AT5</f>
        <v>266.60000000000002</v>
      </c>
      <c r="AV5" s="514">
        <v>491.6</v>
      </c>
      <c r="AW5" s="514">
        <v>324.3</v>
      </c>
      <c r="AX5" s="511">
        <f>AY5-AW5</f>
        <v>358.7</v>
      </c>
      <c r="AY5" s="514">
        <v>683</v>
      </c>
      <c r="AZ5" s="514">
        <v>429.3</v>
      </c>
      <c r="BA5" s="511">
        <f>BB5-AZ5</f>
        <v>465.59999999999997</v>
      </c>
      <c r="BB5" s="514">
        <v>894.9</v>
      </c>
      <c r="BC5" s="312"/>
      <c r="BD5" s="312"/>
      <c r="BE5" s="295"/>
      <c r="BF5" s="295"/>
      <c r="BG5" s="295"/>
      <c r="BH5" s="295"/>
    </row>
    <row r="6" spans="1:62" s="314" customFormat="1" hidden="1" outlineLevel="1">
      <c r="A6" s="1097"/>
      <c r="B6" s="617" t="s">
        <v>693</v>
      </c>
      <c r="C6" s="511"/>
      <c r="D6" s="511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511"/>
      <c r="P6" s="511"/>
      <c r="Q6" s="511"/>
      <c r="R6" s="511"/>
      <c r="S6" s="511"/>
      <c r="T6" s="511"/>
      <c r="U6" s="511"/>
      <c r="V6" s="511"/>
      <c r="W6" s="511"/>
      <c r="X6" s="511"/>
      <c r="Y6" s="511"/>
      <c r="Z6" s="511"/>
      <c r="AA6" s="514">
        <v>20</v>
      </c>
      <c r="AB6" s="514">
        <v>9.4</v>
      </c>
      <c r="AC6" s="511">
        <f>AD6-AB6</f>
        <v>6</v>
      </c>
      <c r="AD6" s="514">
        <v>15.4</v>
      </c>
      <c r="AE6" s="514">
        <v>7.6</v>
      </c>
      <c r="AF6" s="511">
        <f>AG6-AE6</f>
        <v>7.5</v>
      </c>
      <c r="AG6" s="514">
        <v>15.1</v>
      </c>
      <c r="AH6" s="514">
        <v>11.3</v>
      </c>
      <c r="AI6" s="511">
        <f>AJ6-AH6</f>
        <v>16.399999999999999</v>
      </c>
      <c r="AJ6" s="514">
        <v>27.7</v>
      </c>
      <c r="AK6" s="514">
        <v>25</v>
      </c>
      <c r="AL6" s="511">
        <f>AM6-AK6</f>
        <v>32.799999999999997</v>
      </c>
      <c r="AM6" s="514">
        <v>57.8</v>
      </c>
      <c r="AN6" s="514">
        <v>34.1</v>
      </c>
      <c r="AO6" s="511">
        <f>AP6-AN6</f>
        <v>38.699999999999996</v>
      </c>
      <c r="AP6" s="514">
        <v>72.8</v>
      </c>
      <c r="AQ6" s="514">
        <v>39</v>
      </c>
      <c r="AR6" s="511">
        <f>AS6-AQ6</f>
        <v>36.099999999999994</v>
      </c>
      <c r="AS6" s="514">
        <v>75.099999999999994</v>
      </c>
      <c r="AT6" s="514">
        <v>37.1</v>
      </c>
      <c r="AU6" s="511">
        <f>AV6-AT6</f>
        <v>37.1</v>
      </c>
      <c r="AV6" s="514">
        <v>74.2</v>
      </c>
      <c r="AW6" s="514">
        <v>39.4</v>
      </c>
      <c r="AX6" s="511">
        <f>AY6-AW6</f>
        <v>62.1</v>
      </c>
      <c r="AY6" s="514">
        <v>101.5</v>
      </c>
      <c r="AZ6" s="514">
        <v>56.3</v>
      </c>
      <c r="BA6" s="511">
        <f>BB6-AZ6</f>
        <v>57.900000000000006</v>
      </c>
      <c r="BB6" s="514">
        <v>114.2</v>
      </c>
      <c r="BC6" s="316"/>
      <c r="BD6" s="316"/>
      <c r="BE6" s="318"/>
      <c r="BF6" s="318"/>
      <c r="BG6" s="318"/>
      <c r="BH6" s="318"/>
      <c r="BI6" s="1154"/>
      <c r="BJ6" s="1154"/>
    </row>
    <row r="7" spans="1:62" s="314" customFormat="1" hidden="1" outlineLevel="1">
      <c r="A7" s="1097"/>
      <c r="B7" s="617" t="s">
        <v>694</v>
      </c>
      <c r="C7" s="511"/>
      <c r="D7" s="511"/>
      <c r="E7" s="511"/>
      <c r="F7" s="511"/>
      <c r="G7" s="511"/>
      <c r="H7" s="511"/>
      <c r="I7" s="511"/>
      <c r="J7" s="511"/>
      <c r="K7" s="511"/>
      <c r="L7" s="511"/>
      <c r="M7" s="511"/>
      <c r="N7" s="511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511"/>
      <c r="Z7" s="511"/>
      <c r="AA7" s="514">
        <v>2.7</v>
      </c>
      <c r="AB7" s="514">
        <v>1</v>
      </c>
      <c r="AC7" s="511">
        <f>AD7-AB7</f>
        <v>0.7</v>
      </c>
      <c r="AD7" s="514">
        <v>1.7</v>
      </c>
      <c r="AE7" s="514">
        <v>4.9000000000000004</v>
      </c>
      <c r="AF7" s="511">
        <f>AG7-AE7</f>
        <v>6.5</v>
      </c>
      <c r="AG7" s="514">
        <v>11.4</v>
      </c>
      <c r="AH7" s="514">
        <v>5.8</v>
      </c>
      <c r="AI7" s="511">
        <f>AJ7-AH7</f>
        <v>17.099999999999998</v>
      </c>
      <c r="AJ7" s="514">
        <v>22.9</v>
      </c>
      <c r="AK7" s="514">
        <v>17.7</v>
      </c>
      <c r="AL7" s="511">
        <f>AM7-AK7</f>
        <v>23.000000000000004</v>
      </c>
      <c r="AM7" s="514">
        <v>40.700000000000003</v>
      </c>
      <c r="AN7" s="514">
        <v>19.899999999999999</v>
      </c>
      <c r="AO7" s="511">
        <f>AP7-AN7</f>
        <v>27.5</v>
      </c>
      <c r="AP7" s="514">
        <v>47.4</v>
      </c>
      <c r="AQ7" s="514">
        <v>20.3</v>
      </c>
      <c r="AR7" s="511">
        <f>AS7-AQ7</f>
        <v>29.099999999999998</v>
      </c>
      <c r="AS7" s="514">
        <v>49.4</v>
      </c>
      <c r="AT7" s="514">
        <f>18.8+0.1</f>
        <v>18.900000000000002</v>
      </c>
      <c r="AU7" s="511">
        <f>AV7-AT7</f>
        <v>47.599999999999994</v>
      </c>
      <c r="AV7" s="514">
        <v>66.5</v>
      </c>
      <c r="AW7" s="514">
        <v>14.5</v>
      </c>
      <c r="AX7" s="511">
        <f>AY7-AW7</f>
        <v>17.899999999999999</v>
      </c>
      <c r="AY7" s="514">
        <v>32.4</v>
      </c>
      <c r="AZ7" s="514">
        <v>14.8</v>
      </c>
      <c r="BA7" s="511">
        <f>BB7-AZ7</f>
        <v>17.8</v>
      </c>
      <c r="BB7" s="514">
        <v>32.6</v>
      </c>
      <c r="BC7" s="316"/>
      <c r="BD7" s="316"/>
      <c r="BE7" s="318"/>
      <c r="BF7" s="318"/>
      <c r="BG7" s="318"/>
      <c r="BH7" s="318"/>
      <c r="BI7" s="1154"/>
      <c r="BJ7" s="1154"/>
    </row>
    <row r="8" spans="1:62" s="314" customFormat="1" hidden="1" outlineLevel="1">
      <c r="A8" s="1097"/>
      <c r="B8" s="618" t="s">
        <v>106</v>
      </c>
      <c r="C8" s="516"/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  <c r="S8" s="516"/>
      <c r="T8" s="516"/>
      <c r="U8" s="516"/>
      <c r="V8" s="516"/>
      <c r="W8" s="516"/>
      <c r="X8" s="516"/>
      <c r="Y8" s="516"/>
      <c r="Z8" s="516"/>
      <c r="AA8" s="516">
        <f>SUM(AA5:AA7)</f>
        <v>79.600000000000009</v>
      </c>
      <c r="AB8" s="516">
        <f>SUM(AB5:AB7)</f>
        <v>49.3</v>
      </c>
      <c r="AC8" s="516">
        <f>AD8-AB8</f>
        <v>54.000000000000014</v>
      </c>
      <c r="AD8" s="516">
        <f>SUM(AD5:AD7)</f>
        <v>103.30000000000001</v>
      </c>
      <c r="AE8" s="516">
        <f>SUM(AE5:AE7)</f>
        <v>71.100000000000009</v>
      </c>
      <c r="AF8" s="516">
        <f>AG8-AE8</f>
        <v>82.7</v>
      </c>
      <c r="AG8" s="516">
        <f>SUM(AG5:AG7)</f>
        <v>153.80000000000001</v>
      </c>
      <c r="AH8" s="516">
        <f>SUM(AH5:AH7)</f>
        <v>93.3</v>
      </c>
      <c r="AI8" s="516">
        <f>AJ8-AH8</f>
        <v>128.30000000000001</v>
      </c>
      <c r="AJ8" s="516">
        <f>SUM(AJ5:AJ7)</f>
        <v>221.6</v>
      </c>
      <c r="AK8" s="516">
        <f>SUM(AK5:AK7)</f>
        <v>156.79999999999998</v>
      </c>
      <c r="AL8" s="516">
        <f>AM8-AK8</f>
        <v>191.50000000000003</v>
      </c>
      <c r="AM8" s="516">
        <f>SUM(AM5:AM7)</f>
        <v>348.3</v>
      </c>
      <c r="AN8" s="516">
        <f>SUM(AN5:AN7)</f>
        <v>205.8</v>
      </c>
      <c r="AO8" s="516">
        <f>SUM(AO5:AO7)</f>
        <v>223.59999999999997</v>
      </c>
      <c r="AP8" s="516">
        <f>SUM(AP5:AP7)</f>
        <v>429.4</v>
      </c>
      <c r="AQ8" s="516">
        <f>SUM(AQ5:AQ7)</f>
        <v>238.70000000000002</v>
      </c>
      <c r="AR8" s="516">
        <f t="shared" ref="AR8:BB8" si="0">SUM(AR5:AR7)</f>
        <v>268.8</v>
      </c>
      <c r="AS8" s="516">
        <f t="shared" si="0"/>
        <v>507.5</v>
      </c>
      <c r="AT8" s="516">
        <f t="shared" si="0"/>
        <v>281</v>
      </c>
      <c r="AU8" s="516">
        <f t="shared" si="0"/>
        <v>351.30000000000007</v>
      </c>
      <c r="AV8" s="516">
        <f t="shared" si="0"/>
        <v>632.30000000000007</v>
      </c>
      <c r="AW8" s="516">
        <f t="shared" si="0"/>
        <v>378.2</v>
      </c>
      <c r="AX8" s="516">
        <f t="shared" si="0"/>
        <v>438.7</v>
      </c>
      <c r="AY8" s="516">
        <f t="shared" si="0"/>
        <v>816.9</v>
      </c>
      <c r="AZ8" s="516">
        <f t="shared" si="0"/>
        <v>500.40000000000003</v>
      </c>
      <c r="BA8" s="516">
        <f t="shared" si="0"/>
        <v>541.29999999999995</v>
      </c>
      <c r="BB8" s="516">
        <f t="shared" si="0"/>
        <v>1041.7</v>
      </c>
      <c r="BC8" s="321"/>
      <c r="BD8" s="321"/>
      <c r="BE8" s="321"/>
      <c r="BF8" s="321"/>
      <c r="BG8" s="321"/>
      <c r="BH8" s="321"/>
      <c r="BI8" s="1154"/>
      <c r="BJ8" s="1154"/>
    </row>
    <row r="9" spans="1:62" hidden="1" outlineLevel="1">
      <c r="B9" s="616"/>
      <c r="C9" s="616"/>
      <c r="D9" s="616"/>
      <c r="E9" s="616"/>
      <c r="F9" s="616"/>
      <c r="G9" s="616"/>
      <c r="H9" s="616"/>
      <c r="I9" s="616"/>
      <c r="J9" s="616"/>
      <c r="K9" s="616"/>
      <c r="L9" s="616"/>
      <c r="M9" s="616"/>
      <c r="N9" s="616"/>
      <c r="O9" s="616"/>
      <c r="P9" s="616"/>
      <c r="Q9" s="616"/>
      <c r="R9" s="616"/>
      <c r="S9" s="616"/>
      <c r="T9" s="616"/>
      <c r="U9" s="616"/>
      <c r="V9" s="616"/>
      <c r="W9" s="616"/>
      <c r="X9" s="616"/>
      <c r="Y9" s="616"/>
      <c r="Z9" s="616"/>
      <c r="AA9" s="616"/>
      <c r="AB9" s="616"/>
      <c r="AC9" s="616"/>
      <c r="AD9" s="616"/>
      <c r="AE9" s="616"/>
      <c r="AF9" s="616"/>
      <c r="AG9" s="616"/>
      <c r="AH9" s="616"/>
      <c r="AI9" s="616"/>
      <c r="AJ9" s="616"/>
      <c r="AK9" s="616"/>
      <c r="AL9" s="616"/>
      <c r="AM9" s="616"/>
      <c r="AN9" s="616"/>
      <c r="AO9" s="616"/>
      <c r="AP9" s="616"/>
      <c r="AQ9" s="616"/>
      <c r="AR9" s="616"/>
      <c r="AS9" s="616"/>
      <c r="AT9" s="616"/>
      <c r="AU9" s="616"/>
      <c r="AV9" s="616"/>
      <c r="AW9" s="616"/>
      <c r="AX9" s="616"/>
      <c r="AY9" s="616"/>
      <c r="AZ9" s="616"/>
      <c r="BA9" s="616"/>
      <c r="BB9" s="616"/>
      <c r="BI9" s="322"/>
    </row>
    <row r="10" spans="1:62" hidden="1" outlineLevel="1">
      <c r="B10" s="619" t="s">
        <v>230</v>
      </c>
      <c r="C10" s="616"/>
      <c r="D10" s="616"/>
      <c r="E10" s="616"/>
      <c r="F10" s="616"/>
      <c r="G10" s="616"/>
      <c r="H10" s="616"/>
      <c r="I10" s="616"/>
      <c r="J10" s="616"/>
      <c r="K10" s="616"/>
      <c r="L10" s="616"/>
      <c r="M10" s="616"/>
      <c r="N10" s="616"/>
      <c r="O10" s="616"/>
      <c r="P10" s="616"/>
      <c r="Q10" s="616"/>
      <c r="R10" s="616"/>
      <c r="S10" s="616"/>
      <c r="T10" s="616"/>
      <c r="U10" s="616"/>
      <c r="V10" s="616"/>
      <c r="W10" s="616"/>
      <c r="X10" s="616"/>
      <c r="Y10" s="616"/>
      <c r="Z10" s="616"/>
      <c r="AA10" s="616"/>
      <c r="AB10" s="616"/>
      <c r="AC10" s="616"/>
      <c r="AD10" s="616"/>
      <c r="AE10" s="616"/>
      <c r="AF10" s="616"/>
      <c r="AG10" s="616"/>
      <c r="AH10" s="616"/>
      <c r="AI10" s="616"/>
      <c r="AJ10" s="616"/>
      <c r="AK10" s="616"/>
      <c r="AL10" s="616"/>
      <c r="AM10" s="616"/>
      <c r="AN10" s="616"/>
      <c r="AO10" s="616"/>
      <c r="AP10" s="616"/>
      <c r="AQ10" s="616"/>
      <c r="AR10" s="616"/>
      <c r="AS10" s="616"/>
      <c r="AT10" s="616"/>
      <c r="AU10" s="616"/>
      <c r="AV10" s="616"/>
      <c r="AW10" s="616"/>
      <c r="AX10" s="616"/>
      <c r="AY10" s="616"/>
      <c r="AZ10" s="616"/>
      <c r="BA10" s="616"/>
      <c r="BB10" s="616"/>
      <c r="BC10" s="321"/>
      <c r="BD10" s="321"/>
      <c r="BE10" s="321"/>
      <c r="BF10" s="321"/>
      <c r="BG10" s="321"/>
      <c r="BI10" s="322"/>
    </row>
    <row r="11" spans="1:62" hidden="1" outlineLevel="1">
      <c r="B11" s="620" t="str">
        <f>B5&amp;" - growth"</f>
        <v>On-Demand - growth</v>
      </c>
      <c r="C11" s="616"/>
      <c r="D11" s="616"/>
      <c r="E11" s="616"/>
      <c r="F11" s="616"/>
      <c r="G11" s="616"/>
      <c r="H11" s="616"/>
      <c r="I11" s="616"/>
      <c r="J11" s="616"/>
      <c r="K11" s="616"/>
      <c r="L11" s="616"/>
      <c r="M11" s="616"/>
      <c r="N11" s="616"/>
      <c r="O11" s="616"/>
      <c r="P11" s="616"/>
      <c r="Q11" s="616"/>
      <c r="R11" s="616"/>
      <c r="S11" s="616"/>
      <c r="T11" s="616"/>
      <c r="U11" s="616"/>
      <c r="V11" s="616"/>
      <c r="W11" s="616"/>
      <c r="X11" s="616"/>
      <c r="Y11" s="616"/>
      <c r="Z11" s="616"/>
      <c r="AA11" s="616"/>
      <c r="AB11" s="616"/>
      <c r="AC11" s="616"/>
      <c r="AD11" s="534">
        <f t="shared" ref="AD11:AS12" si="1">AD5/AA5-1</f>
        <v>0.51493848857645008</v>
      </c>
      <c r="AE11" s="534">
        <f t="shared" si="1"/>
        <v>0.50642673521850901</v>
      </c>
      <c r="AF11" s="534">
        <f t="shared" si="1"/>
        <v>0.45243128964059154</v>
      </c>
      <c r="AG11" s="534">
        <f t="shared" si="1"/>
        <v>0.47679814385150809</v>
      </c>
      <c r="AH11" s="534">
        <f t="shared" si="1"/>
        <v>0.30034129692832767</v>
      </c>
      <c r="AI11" s="534">
        <f t="shared" si="1"/>
        <v>0.37991266375545862</v>
      </c>
      <c r="AJ11" s="534">
        <f t="shared" si="1"/>
        <v>0.34328358208955234</v>
      </c>
      <c r="AK11" s="534">
        <f t="shared" si="1"/>
        <v>0.49737532808398943</v>
      </c>
      <c r="AL11" s="534">
        <f t="shared" si="1"/>
        <v>0.43143459915611837</v>
      </c>
      <c r="AM11" s="534">
        <f t="shared" si="1"/>
        <v>0.46081871345029257</v>
      </c>
      <c r="AN11" s="534">
        <f t="shared" si="1"/>
        <v>0.33041191936897474</v>
      </c>
      <c r="AO11" s="534">
        <f t="shared" si="1"/>
        <v>0.15991156963890907</v>
      </c>
      <c r="AP11" s="534">
        <f t="shared" si="1"/>
        <v>0.23779023218574857</v>
      </c>
      <c r="AQ11" s="534">
        <f t="shared" si="1"/>
        <v>0.18181818181818166</v>
      </c>
      <c r="AR11" s="534">
        <f t="shared" si="1"/>
        <v>0.29351969504447273</v>
      </c>
      <c r="AS11" s="534">
        <f t="shared" si="1"/>
        <v>0.23868046571798196</v>
      </c>
      <c r="AT11" s="534">
        <f t="shared" ref="AN11:BB12" si="2">AT5/AQ5-1</f>
        <v>0.25418060200668902</v>
      </c>
      <c r="AU11" s="534">
        <f t="shared" si="2"/>
        <v>0.3094302554027506</v>
      </c>
      <c r="AV11" s="534">
        <f t="shared" si="2"/>
        <v>0.28355091383812026</v>
      </c>
      <c r="AW11" s="534">
        <f t="shared" si="2"/>
        <v>0.44133333333333336</v>
      </c>
      <c r="AX11" s="534">
        <f t="shared" si="2"/>
        <v>0.3454613653413352</v>
      </c>
      <c r="AY11" s="534">
        <f t="shared" si="2"/>
        <v>0.389340927583401</v>
      </c>
      <c r="AZ11" s="534">
        <f t="shared" si="2"/>
        <v>0.32377428307123024</v>
      </c>
      <c r="BA11" s="534">
        <f t="shared" si="2"/>
        <v>0.29802063005296908</v>
      </c>
      <c r="BB11" s="534">
        <f t="shared" si="2"/>
        <v>0.3102489019033674</v>
      </c>
      <c r="BH11" s="276"/>
      <c r="BI11" s="322"/>
    </row>
    <row r="12" spans="1:62" hidden="1" outlineLevel="1">
      <c r="B12" s="620" t="str">
        <f>B6&amp;" - growth"</f>
        <v>OTL maintenance - growth</v>
      </c>
      <c r="C12" s="616"/>
      <c r="D12" s="616"/>
      <c r="E12" s="616"/>
      <c r="F12" s="616"/>
      <c r="G12" s="616"/>
      <c r="H12" s="616"/>
      <c r="I12" s="616"/>
      <c r="J12" s="616"/>
      <c r="K12" s="616"/>
      <c r="L12" s="616"/>
      <c r="M12" s="616"/>
      <c r="N12" s="616"/>
      <c r="O12" s="616"/>
      <c r="P12" s="616"/>
      <c r="Q12" s="616"/>
      <c r="R12" s="616"/>
      <c r="S12" s="616"/>
      <c r="T12" s="616"/>
      <c r="U12" s="616"/>
      <c r="V12" s="616"/>
      <c r="W12" s="616"/>
      <c r="X12" s="616"/>
      <c r="Y12" s="616"/>
      <c r="Z12" s="616"/>
      <c r="AA12" s="616"/>
      <c r="AB12" s="616"/>
      <c r="AC12" s="616"/>
      <c r="AD12" s="534">
        <f t="shared" si="1"/>
        <v>-0.22999999999999998</v>
      </c>
      <c r="AE12" s="534">
        <f t="shared" si="1"/>
        <v>-0.19148936170212771</v>
      </c>
      <c r="AF12" s="534">
        <f t="shared" si="1"/>
        <v>0.25</v>
      </c>
      <c r="AG12" s="534">
        <f t="shared" si="1"/>
        <v>-1.9480519480519543E-2</v>
      </c>
      <c r="AH12" s="534">
        <f t="shared" si="1"/>
        <v>0.48684210526315796</v>
      </c>
      <c r="AI12" s="534">
        <f t="shared" si="1"/>
        <v>1.1866666666666665</v>
      </c>
      <c r="AJ12" s="534">
        <f t="shared" si="1"/>
        <v>0.83443708609271527</v>
      </c>
      <c r="AK12" s="534">
        <f t="shared" si="1"/>
        <v>1.2123893805309733</v>
      </c>
      <c r="AL12" s="534">
        <f t="shared" si="1"/>
        <v>1</v>
      </c>
      <c r="AM12" s="534">
        <f t="shared" si="1"/>
        <v>1.0866425992779782</v>
      </c>
      <c r="AN12" s="534">
        <f t="shared" si="2"/>
        <v>0.3640000000000001</v>
      </c>
      <c r="AO12" s="534">
        <f t="shared" si="2"/>
        <v>0.17987804878048785</v>
      </c>
      <c r="AP12" s="534">
        <f t="shared" si="2"/>
        <v>0.25951557093425603</v>
      </c>
      <c r="AQ12" s="534">
        <f t="shared" si="2"/>
        <v>0.14369501466275647</v>
      </c>
      <c r="AR12" s="534">
        <f t="shared" si="2"/>
        <v>-6.7183462532299787E-2</v>
      </c>
      <c r="AS12" s="534">
        <f t="shared" si="2"/>
        <v>3.1593406593406481E-2</v>
      </c>
      <c r="AT12" s="534">
        <f t="shared" si="2"/>
        <v>-4.8717948717948656E-2</v>
      </c>
      <c r="AU12" s="534">
        <f t="shared" si="2"/>
        <v>2.7700831024930928E-2</v>
      </c>
      <c r="AV12" s="534">
        <f t="shared" si="2"/>
        <v>-1.1984021304926706E-2</v>
      </c>
      <c r="AW12" s="534">
        <f t="shared" si="2"/>
        <v>6.1994609164420345E-2</v>
      </c>
      <c r="AX12" s="534">
        <f t="shared" si="2"/>
        <v>0.67385444743935308</v>
      </c>
      <c r="AY12" s="534">
        <f t="shared" si="2"/>
        <v>0.36792452830188682</v>
      </c>
      <c r="AZ12" s="534">
        <f t="shared" si="2"/>
        <v>0.42893401015228427</v>
      </c>
      <c r="BA12" s="534">
        <f t="shared" si="2"/>
        <v>-6.7632850241545861E-2</v>
      </c>
      <c r="BB12" s="534">
        <f t="shared" si="2"/>
        <v>0.1251231527093597</v>
      </c>
      <c r="BC12" s="325"/>
      <c r="BD12" s="276"/>
      <c r="BE12" s="325"/>
      <c r="BF12" s="325"/>
      <c r="BG12" s="325"/>
      <c r="BH12" s="325"/>
      <c r="BI12" s="636"/>
    </row>
    <row r="13" spans="1:62" hidden="1" outlineLevel="1">
      <c r="B13" s="616" t="s">
        <v>695</v>
      </c>
      <c r="C13" s="616"/>
      <c r="D13" s="616"/>
      <c r="E13" s="616"/>
      <c r="F13" s="616"/>
      <c r="G13" s="616"/>
      <c r="H13" s="616"/>
      <c r="I13" s="616"/>
      <c r="J13" s="616"/>
      <c r="K13" s="616"/>
      <c r="L13" s="616"/>
      <c r="M13" s="616"/>
      <c r="N13" s="616"/>
      <c r="O13" s="616"/>
      <c r="P13" s="616"/>
      <c r="Q13" s="616"/>
      <c r="R13" s="616"/>
      <c r="S13" s="616"/>
      <c r="T13" s="616"/>
      <c r="U13" s="616"/>
      <c r="V13" s="616"/>
      <c r="W13" s="616"/>
      <c r="X13" s="616"/>
      <c r="Y13" s="616"/>
      <c r="Z13" s="616"/>
      <c r="AA13" s="616"/>
      <c r="AB13" s="616"/>
      <c r="AC13" s="616"/>
      <c r="AD13" s="534">
        <f t="shared" ref="AD13:AW13" si="3">SUM(AD5:AD6)/SUM(AA5:AA6)-1</f>
        <v>0.32119635890767229</v>
      </c>
      <c r="AE13" s="534">
        <f t="shared" si="3"/>
        <v>0.37060041407867517</v>
      </c>
      <c r="AF13" s="534">
        <f t="shared" si="3"/>
        <v>0.4296435272045025</v>
      </c>
      <c r="AG13" s="534">
        <f t="shared" si="3"/>
        <v>0.40157480314960625</v>
      </c>
      <c r="AH13" s="534">
        <f t="shared" si="3"/>
        <v>0.32175226586102723</v>
      </c>
      <c r="AI13" s="534">
        <f t="shared" si="3"/>
        <v>0.45931758530183742</v>
      </c>
      <c r="AJ13" s="534">
        <f t="shared" si="3"/>
        <v>0.3953651685393258</v>
      </c>
      <c r="AK13" s="534">
        <f t="shared" si="3"/>
        <v>0.58971428571428564</v>
      </c>
      <c r="AL13" s="534">
        <f t="shared" si="3"/>
        <v>0.5152877697841729</v>
      </c>
      <c r="AM13" s="534">
        <f t="shared" si="3"/>
        <v>0.54806240563663833</v>
      </c>
      <c r="AN13" s="534">
        <f t="shared" si="3"/>
        <v>0.33644859813084116</v>
      </c>
      <c r="AO13" s="534">
        <f t="shared" si="3"/>
        <v>0.16379821958456953</v>
      </c>
      <c r="AP13" s="534">
        <f t="shared" si="3"/>
        <v>0.24187256176853045</v>
      </c>
      <c r="AQ13" s="534">
        <f t="shared" si="3"/>
        <v>0.17482517482517479</v>
      </c>
      <c r="AR13" s="534">
        <f t="shared" si="3"/>
        <v>0.22233554309026027</v>
      </c>
      <c r="AS13" s="534">
        <f t="shared" si="3"/>
        <v>0.19921465968586394</v>
      </c>
      <c r="AT13" s="534">
        <f t="shared" si="3"/>
        <v>0.20009157509157527</v>
      </c>
      <c r="AU13" s="534">
        <f t="shared" si="3"/>
        <v>0.26700041718815215</v>
      </c>
      <c r="AV13" s="534">
        <f t="shared" si="3"/>
        <v>0.23510150622134907</v>
      </c>
      <c r="AW13" s="534">
        <f t="shared" si="3"/>
        <v>0.38763830599007987</v>
      </c>
      <c r="AX13" s="534">
        <f t="shared" ref="AX13" si="4">SUM(AX5:AX6)/SUM(AU5:AU6)-1</f>
        <v>0.38557787290088896</v>
      </c>
      <c r="AY13" s="534">
        <f t="shared" ref="AY13:BB13" si="5">SUM(AY5:AY6)/SUM(AV5:AV6)-1</f>
        <v>0.38653234358430533</v>
      </c>
      <c r="AZ13" s="534">
        <f t="shared" si="5"/>
        <v>0.33516634588946936</v>
      </c>
      <c r="BA13" s="534">
        <f t="shared" si="5"/>
        <v>0.24405893536121659</v>
      </c>
      <c r="BB13" s="534">
        <f t="shared" si="5"/>
        <v>0.28629700446144035</v>
      </c>
      <c r="BC13" s="276"/>
      <c r="BD13" s="276"/>
      <c r="BE13" s="276"/>
      <c r="BF13" s="276"/>
      <c r="BG13" s="276"/>
      <c r="BH13" s="276"/>
      <c r="BI13" s="636"/>
    </row>
    <row r="14" spans="1:62" hidden="1" outlineLevel="1">
      <c r="B14" s="616" t="str">
        <f>B7&amp;" - growth"</f>
        <v>OTL &amp; support services (non-recurring) - growth</v>
      </c>
      <c r="C14" s="616"/>
      <c r="D14" s="616"/>
      <c r="E14" s="616"/>
      <c r="F14" s="616"/>
      <c r="G14" s="616"/>
      <c r="H14" s="616"/>
      <c r="I14" s="616"/>
      <c r="J14" s="616"/>
      <c r="K14" s="616"/>
      <c r="L14" s="616"/>
      <c r="M14" s="616"/>
      <c r="N14" s="616"/>
      <c r="O14" s="616"/>
      <c r="P14" s="616"/>
      <c r="Q14" s="616"/>
      <c r="R14" s="616"/>
      <c r="S14" s="616"/>
      <c r="T14" s="616"/>
      <c r="U14" s="616"/>
      <c r="V14" s="616"/>
      <c r="W14" s="616"/>
      <c r="X14" s="616"/>
      <c r="Y14" s="616"/>
      <c r="Z14" s="616"/>
      <c r="AA14" s="616"/>
      <c r="AB14" s="616"/>
      <c r="AC14" s="616"/>
      <c r="AD14" s="534">
        <f t="shared" ref="AD14:AS15" si="6">AD7/AA7-1</f>
        <v>-0.37037037037037046</v>
      </c>
      <c r="AE14" s="534">
        <f t="shared" si="6"/>
        <v>3.9000000000000004</v>
      </c>
      <c r="AF14" s="534">
        <f t="shared" si="6"/>
        <v>8.2857142857142865</v>
      </c>
      <c r="AG14" s="534">
        <f t="shared" si="6"/>
        <v>5.7058823529411766</v>
      </c>
      <c r="AH14" s="534">
        <f t="shared" si="6"/>
        <v>0.18367346938775508</v>
      </c>
      <c r="AI14" s="534">
        <f t="shared" si="6"/>
        <v>1.6307692307692303</v>
      </c>
      <c r="AJ14" s="534">
        <f t="shared" si="6"/>
        <v>1.0087719298245612</v>
      </c>
      <c r="AK14" s="534">
        <f t="shared" si="6"/>
        <v>2.0517241379310343</v>
      </c>
      <c r="AL14" s="534">
        <f t="shared" si="6"/>
        <v>0.34502923976608235</v>
      </c>
      <c r="AM14" s="534">
        <f t="shared" si="6"/>
        <v>0.77729257641921423</v>
      </c>
      <c r="AN14" s="534">
        <f t="shared" si="6"/>
        <v>0.12429378531073443</v>
      </c>
      <c r="AO14" s="534">
        <f t="shared" si="6"/>
        <v>0.19565217391304324</v>
      </c>
      <c r="AP14" s="534">
        <f t="shared" si="6"/>
        <v>0.16461916461916459</v>
      </c>
      <c r="AQ14" s="534">
        <f t="shared" si="6"/>
        <v>2.0100502512562901E-2</v>
      </c>
      <c r="AR14" s="534">
        <f t="shared" si="6"/>
        <v>5.8181818181818112E-2</v>
      </c>
      <c r="AS14" s="534">
        <f t="shared" si="6"/>
        <v>4.2194092827004148E-2</v>
      </c>
      <c r="AT14" s="534">
        <f t="shared" ref="AN14:BB15" si="7">AT7/AQ7-1</f>
        <v>-6.8965517241379226E-2</v>
      </c>
      <c r="AU14" s="534">
        <f t="shared" si="7"/>
        <v>0.63573883161512024</v>
      </c>
      <c r="AV14" s="534">
        <f t="shared" si="7"/>
        <v>0.34615384615384626</v>
      </c>
      <c r="AW14" s="534">
        <f t="shared" si="7"/>
        <v>-0.2328042328042329</v>
      </c>
      <c r="AX14" s="534">
        <f t="shared" si="7"/>
        <v>-0.62394957983193278</v>
      </c>
      <c r="AY14" s="534">
        <f t="shared" si="7"/>
        <v>-0.51278195488721812</v>
      </c>
      <c r="AZ14" s="534">
        <f t="shared" si="7"/>
        <v>2.0689655172413834E-2</v>
      </c>
      <c r="BA14" s="534">
        <f t="shared" si="7"/>
        <v>-5.5865921787707773E-3</v>
      </c>
      <c r="BB14" s="534">
        <f t="shared" si="7"/>
        <v>6.1728395061728669E-3</v>
      </c>
      <c r="BC14" s="276"/>
      <c r="BD14" s="276"/>
      <c r="BE14" s="276"/>
      <c r="BF14" s="276"/>
      <c r="BG14" s="276"/>
      <c r="BH14" s="276"/>
      <c r="BI14" s="322"/>
    </row>
    <row r="15" spans="1:62" s="327" customFormat="1" hidden="1" outlineLevel="1">
      <c r="A15" s="326"/>
      <c r="B15" s="619" t="str">
        <f>B8&amp;" - growth"</f>
        <v>Total Revenue - growth</v>
      </c>
      <c r="C15" s="619"/>
      <c r="D15" s="619"/>
      <c r="E15" s="619"/>
      <c r="F15" s="619"/>
      <c r="G15" s="619"/>
      <c r="H15" s="619"/>
      <c r="I15" s="619"/>
      <c r="J15" s="619"/>
      <c r="K15" s="619"/>
      <c r="L15" s="616"/>
      <c r="M15" s="619"/>
      <c r="N15" s="619"/>
      <c r="O15" s="619"/>
      <c r="P15" s="619"/>
      <c r="Q15" s="619"/>
      <c r="R15" s="619"/>
      <c r="S15" s="619"/>
      <c r="T15" s="619"/>
      <c r="U15" s="619"/>
      <c r="V15" s="619"/>
      <c r="W15" s="619"/>
      <c r="X15" s="619"/>
      <c r="Y15" s="619"/>
      <c r="Z15" s="619"/>
      <c r="AA15" s="619"/>
      <c r="AB15" s="619"/>
      <c r="AC15" s="619"/>
      <c r="AD15" s="621">
        <f t="shared" si="6"/>
        <v>0.29773869346733672</v>
      </c>
      <c r="AE15" s="621">
        <f t="shared" si="6"/>
        <v>0.442190669371197</v>
      </c>
      <c r="AF15" s="621">
        <f t="shared" si="6"/>
        <v>0.53148148148148122</v>
      </c>
      <c r="AG15" s="621">
        <f t="shared" si="6"/>
        <v>0.48886737657308799</v>
      </c>
      <c r="AH15" s="621">
        <f t="shared" si="6"/>
        <v>0.31223628691983096</v>
      </c>
      <c r="AI15" s="621">
        <f t="shared" si="6"/>
        <v>0.55139056831922617</v>
      </c>
      <c r="AJ15" s="621">
        <f t="shared" si="6"/>
        <v>0.44083224967490242</v>
      </c>
      <c r="AK15" s="621">
        <f t="shared" si="6"/>
        <v>0.68060021436227203</v>
      </c>
      <c r="AL15" s="621">
        <f t="shared" si="6"/>
        <v>0.49259547934528447</v>
      </c>
      <c r="AM15" s="621">
        <f t="shared" si="6"/>
        <v>0.57175090252707594</v>
      </c>
      <c r="AN15" s="621">
        <f t="shared" si="7"/>
        <v>0.31250000000000022</v>
      </c>
      <c r="AO15" s="621">
        <f t="shared" si="7"/>
        <v>0.16762402088772821</v>
      </c>
      <c r="AP15" s="621">
        <f t="shared" si="7"/>
        <v>0.23284524834912412</v>
      </c>
      <c r="AQ15" s="621">
        <f t="shared" si="7"/>
        <v>0.15986394557823136</v>
      </c>
      <c r="AR15" s="621">
        <f t="shared" si="7"/>
        <v>0.20214669051878387</v>
      </c>
      <c r="AS15" s="621">
        <f t="shared" si="7"/>
        <v>0.18188169538891485</v>
      </c>
      <c r="AT15" s="621">
        <f t="shared" si="7"/>
        <v>0.17720988688730621</v>
      </c>
      <c r="AU15" s="621">
        <f t="shared" si="7"/>
        <v>0.30691964285714302</v>
      </c>
      <c r="AV15" s="621">
        <f t="shared" si="7"/>
        <v>0.24591133004926125</v>
      </c>
      <c r="AW15" s="621">
        <f t="shared" si="7"/>
        <v>0.34590747330960858</v>
      </c>
      <c r="AX15" s="621">
        <f t="shared" si="7"/>
        <v>0.24879020779960115</v>
      </c>
      <c r="AY15" s="621">
        <f t="shared" si="7"/>
        <v>0.29195002372291623</v>
      </c>
      <c r="AZ15" s="621">
        <f t="shared" si="7"/>
        <v>0.32310946589106315</v>
      </c>
      <c r="BA15" s="621">
        <f t="shared" si="7"/>
        <v>0.23387280601777971</v>
      </c>
      <c r="BB15" s="621">
        <f t="shared" si="7"/>
        <v>0.27518668135634727</v>
      </c>
      <c r="BC15" s="329"/>
      <c r="BD15" s="329"/>
      <c r="BE15" s="329"/>
      <c r="BF15" s="329"/>
      <c r="BG15" s="329"/>
      <c r="BH15" s="329"/>
      <c r="BI15" s="328"/>
      <c r="BJ15" s="328"/>
    </row>
    <row r="16" spans="1:62" hidden="1" outlineLevel="1">
      <c r="B16" s="616"/>
      <c r="C16" s="616"/>
      <c r="D16" s="616"/>
      <c r="E16" s="616"/>
      <c r="F16" s="616"/>
      <c r="G16" s="616"/>
      <c r="H16" s="616"/>
      <c r="I16" s="616"/>
      <c r="J16" s="616"/>
      <c r="K16" s="616"/>
      <c r="L16" s="616"/>
      <c r="M16" s="616"/>
      <c r="N16" s="616"/>
      <c r="O16" s="616"/>
      <c r="P16" s="616"/>
      <c r="Q16" s="616"/>
      <c r="R16" s="616"/>
      <c r="S16" s="616"/>
      <c r="T16" s="616"/>
      <c r="U16" s="616"/>
      <c r="V16" s="616"/>
      <c r="W16" s="616"/>
      <c r="X16" s="616"/>
      <c r="Y16" s="616"/>
      <c r="Z16" s="616"/>
      <c r="AA16" s="616"/>
      <c r="AB16" s="616"/>
      <c r="AC16" s="616"/>
      <c r="AD16" s="616"/>
      <c r="AE16" s="616"/>
      <c r="AF16" s="616"/>
      <c r="AG16" s="616"/>
      <c r="AH16" s="616"/>
      <c r="AI16" s="616"/>
      <c r="AJ16" s="616"/>
      <c r="AK16" s="616"/>
      <c r="AL16" s="616"/>
      <c r="AM16" s="616"/>
      <c r="AN16" s="616"/>
      <c r="AO16" s="616"/>
      <c r="AP16" s="616"/>
      <c r="AQ16" s="616"/>
      <c r="AR16" s="616"/>
      <c r="AS16" s="616"/>
      <c r="AT16" s="616"/>
      <c r="AU16" s="616"/>
      <c r="AV16" s="616"/>
      <c r="AW16" s="616"/>
      <c r="AX16" s="616"/>
      <c r="AY16" s="616"/>
      <c r="AZ16" s="616"/>
      <c r="BA16" s="616"/>
      <c r="BB16" s="616"/>
      <c r="BI16" s="322"/>
    </row>
    <row r="17" spans="2:62" hidden="1" outlineLevel="1">
      <c r="B17" s="619" t="s">
        <v>696</v>
      </c>
      <c r="C17" s="616"/>
      <c r="D17" s="616"/>
      <c r="E17" s="616"/>
      <c r="F17" s="616"/>
      <c r="G17" s="616"/>
      <c r="H17" s="616"/>
      <c r="I17" s="616"/>
      <c r="J17" s="616"/>
      <c r="K17" s="616"/>
      <c r="L17" s="616"/>
      <c r="M17" s="616"/>
      <c r="N17" s="616"/>
      <c r="O17" s="616"/>
      <c r="P17" s="616"/>
      <c r="Q17" s="616"/>
      <c r="R17" s="616"/>
      <c r="S17" s="616"/>
      <c r="T17" s="616"/>
      <c r="U17" s="616"/>
      <c r="V17" s="616"/>
      <c r="W17" s="616"/>
      <c r="X17" s="616"/>
      <c r="Y17" s="616"/>
      <c r="Z17" s="616"/>
      <c r="AA17" s="616"/>
      <c r="AB17" s="616"/>
      <c r="AC17" s="616"/>
      <c r="AD17" s="616"/>
      <c r="AE17" s="616"/>
      <c r="AF17" s="616"/>
      <c r="AG17" s="616"/>
      <c r="AH17" s="616"/>
      <c r="AI17" s="616"/>
      <c r="AJ17" s="616"/>
      <c r="AK17" s="616"/>
      <c r="AL17" s="616"/>
      <c r="AM17" s="616"/>
      <c r="AN17" s="616"/>
      <c r="AO17" s="616"/>
      <c r="AP17" s="616"/>
      <c r="AQ17" s="616"/>
      <c r="AR17" s="616"/>
      <c r="AS17" s="616"/>
      <c r="AT17" s="616"/>
      <c r="AU17" s="616"/>
      <c r="AV17" s="616"/>
      <c r="AW17" s="616"/>
      <c r="AX17" s="616"/>
      <c r="AY17" s="616"/>
      <c r="AZ17" s="616"/>
      <c r="BA17" s="616"/>
      <c r="BB17" s="616"/>
      <c r="BI17" s="637"/>
      <c r="BJ17" s="637"/>
    </row>
    <row r="18" spans="2:62" hidden="1" outlineLevel="1">
      <c r="B18" s="616" t="s">
        <v>697</v>
      </c>
      <c r="C18" s="616"/>
      <c r="D18" s="616"/>
      <c r="E18" s="616"/>
      <c r="F18" s="616"/>
      <c r="G18" s="616"/>
      <c r="H18" s="616"/>
      <c r="I18" s="616"/>
      <c r="J18" s="616"/>
      <c r="K18" s="616"/>
      <c r="L18" s="616"/>
      <c r="M18" s="616"/>
      <c r="N18" s="616"/>
      <c r="O18" s="616"/>
      <c r="P18" s="616"/>
      <c r="Q18" s="616"/>
      <c r="R18" s="616"/>
      <c r="S18" s="616"/>
      <c r="T18" s="616"/>
      <c r="U18" s="616"/>
      <c r="V18" s="616"/>
      <c r="W18" s="616"/>
      <c r="X18" s="616"/>
      <c r="Y18" s="616"/>
      <c r="Z18" s="616"/>
      <c r="AA18" s="616"/>
      <c r="AB18" s="616"/>
      <c r="AC18" s="616"/>
      <c r="AD18" s="616"/>
      <c r="AE18" s="616"/>
      <c r="AF18" s="616"/>
      <c r="AG18" s="616"/>
      <c r="AH18" s="616"/>
      <c r="AI18" s="616"/>
      <c r="AJ18" s="616"/>
      <c r="AK18" s="616"/>
      <c r="AL18" s="616"/>
      <c r="AM18" s="616"/>
      <c r="AN18" s="616"/>
      <c r="AO18" s="616"/>
      <c r="AP18" s="616"/>
      <c r="AQ18" s="616"/>
      <c r="AR18" s="616"/>
      <c r="AS18" s="660">
        <v>0.25</v>
      </c>
      <c r="AT18" s="660">
        <v>0.24</v>
      </c>
      <c r="AU18" s="616"/>
      <c r="AV18" s="660">
        <v>0.25</v>
      </c>
      <c r="AW18" s="660"/>
      <c r="AX18" s="616"/>
      <c r="AY18" s="660"/>
      <c r="AZ18" s="660"/>
      <c r="BA18" s="616"/>
      <c r="BB18" s="660"/>
      <c r="BD18" s="325"/>
    </row>
    <row r="19" spans="2:62" hidden="1" outlineLevel="1">
      <c r="B19" s="616" t="s">
        <v>698</v>
      </c>
      <c r="C19" s="616"/>
      <c r="D19" s="616"/>
      <c r="E19" s="616"/>
      <c r="F19" s="616"/>
      <c r="G19" s="616"/>
      <c r="H19" s="616"/>
      <c r="I19" s="616"/>
      <c r="J19" s="616"/>
      <c r="K19" s="616"/>
      <c r="L19" s="616"/>
      <c r="M19" s="616"/>
      <c r="N19" s="616"/>
      <c r="O19" s="616"/>
      <c r="P19" s="616"/>
      <c r="Q19" s="616"/>
      <c r="R19" s="616"/>
      <c r="S19" s="616"/>
      <c r="T19" s="616"/>
      <c r="U19" s="616"/>
      <c r="V19" s="616"/>
      <c r="W19" s="616"/>
      <c r="X19" s="616"/>
      <c r="Y19" s="616"/>
      <c r="Z19" s="616"/>
      <c r="AA19" s="616"/>
      <c r="AB19" s="616"/>
      <c r="AC19" s="616"/>
      <c r="AD19" s="616"/>
      <c r="AE19" s="616"/>
      <c r="AF19" s="616"/>
      <c r="AG19" s="616"/>
      <c r="AH19" s="616"/>
      <c r="AI19" s="616"/>
      <c r="AJ19" s="616"/>
      <c r="AK19" s="616"/>
      <c r="AL19" s="616"/>
      <c r="AM19" s="616"/>
      <c r="AN19" s="616"/>
      <c r="AO19" s="616"/>
      <c r="AP19" s="616"/>
      <c r="AQ19" s="616"/>
      <c r="AR19" s="616"/>
      <c r="AS19" s="660">
        <v>0.09</v>
      </c>
      <c r="AT19" s="660">
        <v>-0.04</v>
      </c>
      <c r="AU19" s="616"/>
      <c r="AV19" s="660">
        <v>0.36</v>
      </c>
      <c r="AW19" s="660"/>
      <c r="AX19" s="616"/>
      <c r="AY19" s="660"/>
      <c r="AZ19" s="660"/>
      <c r="BA19" s="616"/>
      <c r="BB19" s="660"/>
      <c r="BD19" s="325"/>
    </row>
    <row r="20" spans="2:62" hidden="1" outlineLevel="1">
      <c r="B20" s="619" t="str">
        <f>B8&amp;" - growth"</f>
        <v>Total Revenue - growth</v>
      </c>
      <c r="C20" s="616"/>
      <c r="D20" s="616"/>
      <c r="E20" s="616"/>
      <c r="F20" s="616"/>
      <c r="G20" s="616"/>
      <c r="H20" s="616"/>
      <c r="I20" s="616"/>
      <c r="J20" s="616"/>
      <c r="K20" s="616"/>
      <c r="L20" s="616"/>
      <c r="M20" s="616"/>
      <c r="N20" s="616"/>
      <c r="O20" s="616"/>
      <c r="P20" s="616"/>
      <c r="Q20" s="616"/>
      <c r="R20" s="616"/>
      <c r="S20" s="616"/>
      <c r="T20" s="616"/>
      <c r="U20" s="616"/>
      <c r="V20" s="616"/>
      <c r="W20" s="616"/>
      <c r="X20" s="616"/>
      <c r="Y20" s="616"/>
      <c r="Z20" s="616"/>
      <c r="AA20" s="616"/>
      <c r="AB20" s="616"/>
      <c r="AC20" s="616"/>
      <c r="AD20" s="616"/>
      <c r="AE20" s="616"/>
      <c r="AF20" s="616"/>
      <c r="AG20" s="616"/>
      <c r="AH20" s="616"/>
      <c r="AI20" s="616"/>
      <c r="AJ20" s="616"/>
      <c r="AK20" s="616"/>
      <c r="AL20" s="616"/>
      <c r="AM20" s="616"/>
      <c r="AN20" s="616"/>
      <c r="AO20" s="616"/>
      <c r="AP20" s="616"/>
      <c r="AQ20" s="616"/>
      <c r="AR20" s="616"/>
      <c r="AS20" s="616"/>
      <c r="AT20" s="661">
        <f>(AT8-AT65)/AQ8-1</f>
        <v>0.17720988688730621</v>
      </c>
      <c r="AU20" s="661">
        <f>(AU8-AU65)/AR8-1</f>
        <v>0.30691964285714302</v>
      </c>
      <c r="AV20" s="660">
        <v>0.26</v>
      </c>
      <c r="AW20" s="661"/>
      <c r="AX20" s="661">
        <f>(AX8-AX65)/AU8-1</f>
        <v>0.24879020779960115</v>
      </c>
      <c r="AY20" s="660"/>
      <c r="AZ20" s="661">
        <f>(AZ8-AZ65)/AW8-1</f>
        <v>0.32310946589106315</v>
      </c>
      <c r="BA20" s="661">
        <f>(BA8-BA65)/AX8-1</f>
        <v>0.23387280601777971</v>
      </c>
      <c r="BB20" s="660"/>
      <c r="BC20" s="672">
        <v>0.2</v>
      </c>
      <c r="BD20" s="325"/>
      <c r="BE20" s="325">
        <v>0.17</v>
      </c>
    </row>
    <row r="21" spans="2:62" hidden="1" outlineLevel="1">
      <c r="B21" s="616"/>
      <c r="C21" s="616"/>
      <c r="D21" s="616"/>
      <c r="E21" s="616"/>
      <c r="F21" s="616"/>
      <c r="G21" s="616"/>
      <c r="H21" s="616"/>
      <c r="I21" s="616"/>
      <c r="J21" s="616"/>
      <c r="K21" s="616"/>
      <c r="L21" s="616"/>
      <c r="M21" s="616"/>
      <c r="N21" s="616"/>
      <c r="O21" s="616"/>
      <c r="P21" s="616"/>
      <c r="Q21" s="616"/>
      <c r="R21" s="616"/>
      <c r="S21" s="616"/>
      <c r="T21" s="616"/>
      <c r="U21" s="616"/>
      <c r="V21" s="616"/>
      <c r="W21" s="616"/>
      <c r="X21" s="616"/>
      <c r="Y21" s="616"/>
      <c r="Z21" s="616"/>
      <c r="AA21" s="616"/>
      <c r="AB21" s="616"/>
      <c r="AC21" s="616"/>
      <c r="AD21" s="616"/>
      <c r="AE21" s="616"/>
      <c r="AF21" s="616"/>
      <c r="AG21" s="616"/>
      <c r="AH21" s="616"/>
      <c r="AI21" s="616"/>
      <c r="AJ21" s="616"/>
      <c r="AK21" s="616"/>
      <c r="AL21" s="616"/>
      <c r="AM21" s="616"/>
      <c r="AN21" s="616"/>
      <c r="AO21" s="616"/>
      <c r="AP21" s="616"/>
      <c r="AQ21" s="616"/>
      <c r="AR21" s="616"/>
      <c r="AS21" s="616"/>
      <c r="AT21" s="616"/>
      <c r="AU21" s="616"/>
      <c r="AV21" s="616"/>
      <c r="AW21" s="616"/>
      <c r="AX21" s="616"/>
      <c r="AY21" s="616"/>
      <c r="AZ21" s="616"/>
      <c r="BA21" s="616"/>
      <c r="BB21" s="616"/>
    </row>
    <row r="22" spans="2:62" hidden="1" outlineLevel="1">
      <c r="B22" s="619" t="s">
        <v>699</v>
      </c>
      <c r="C22" s="616"/>
      <c r="D22" s="616"/>
      <c r="E22" s="616"/>
      <c r="F22" s="616"/>
      <c r="G22" s="616"/>
      <c r="H22" s="616"/>
      <c r="I22" s="616"/>
      <c r="J22" s="616"/>
      <c r="K22" s="616"/>
      <c r="L22" s="616"/>
      <c r="M22" s="616"/>
      <c r="N22" s="616"/>
      <c r="O22" s="616"/>
      <c r="P22" s="616"/>
      <c r="Q22" s="616"/>
      <c r="R22" s="616"/>
      <c r="S22" s="616"/>
      <c r="T22" s="616"/>
      <c r="U22" s="616"/>
      <c r="V22" s="616"/>
      <c r="W22" s="616"/>
      <c r="X22" s="616"/>
      <c r="Y22" s="616"/>
      <c r="Z22" s="616"/>
      <c r="AA22" s="616"/>
      <c r="AB22" s="616"/>
      <c r="AC22" s="616"/>
      <c r="AD22" s="616"/>
      <c r="AE22" s="616"/>
      <c r="AF22" s="616"/>
      <c r="AG22" s="616"/>
      <c r="AH22" s="616"/>
      <c r="AI22" s="616"/>
      <c r="AJ22" s="616"/>
      <c r="AK22" s="616"/>
      <c r="AL22" s="616"/>
      <c r="AM22" s="616"/>
      <c r="AN22" s="616"/>
      <c r="AO22" s="616"/>
      <c r="AP22" s="616"/>
      <c r="AQ22" s="616"/>
      <c r="AR22" s="616"/>
      <c r="AS22" s="616"/>
      <c r="AT22" s="616"/>
      <c r="AU22" s="616"/>
      <c r="AV22" s="616"/>
      <c r="AW22" s="616"/>
      <c r="AX22" s="616"/>
      <c r="AY22" s="616"/>
      <c r="AZ22" s="616"/>
      <c r="BA22" s="616"/>
      <c r="BB22" s="616"/>
    </row>
    <row r="23" spans="2:62" hidden="1" outlineLevel="1">
      <c r="B23" s="616" t="s">
        <v>692</v>
      </c>
      <c r="C23" s="616"/>
      <c r="D23" s="616"/>
      <c r="E23" s="616"/>
      <c r="F23" s="616"/>
      <c r="G23" s="616"/>
      <c r="H23" s="616"/>
      <c r="I23" s="616"/>
      <c r="J23" s="616"/>
      <c r="K23" s="616"/>
      <c r="L23" s="616"/>
      <c r="M23" s="616"/>
      <c r="N23" s="616"/>
      <c r="O23" s="616"/>
      <c r="P23" s="616"/>
      <c r="Q23" s="616"/>
      <c r="R23" s="616"/>
      <c r="S23" s="616"/>
      <c r="T23" s="616"/>
      <c r="U23" s="616"/>
      <c r="V23" s="616"/>
      <c r="W23" s="616"/>
      <c r="X23" s="616"/>
      <c r="Y23" s="616"/>
      <c r="Z23" s="616"/>
      <c r="AA23" s="534">
        <f>AA5/AA$8</f>
        <v>0.71482412060301503</v>
      </c>
      <c r="AB23" s="534">
        <f t="shared" ref="AB23:AI25" si="8">AB5/AB$8</f>
        <v>0.78904665314401623</v>
      </c>
      <c r="AC23" s="534">
        <f t="shared" si="8"/>
        <v>0.87592592592592577</v>
      </c>
      <c r="AD23" s="534">
        <f t="shared" si="8"/>
        <v>0.83446272991287507</v>
      </c>
      <c r="AE23" s="534">
        <f t="shared" si="8"/>
        <v>0.82419127988748231</v>
      </c>
      <c r="AF23" s="534">
        <f t="shared" si="8"/>
        <v>0.83071342200725495</v>
      </c>
      <c r="AG23" s="534">
        <f t="shared" si="8"/>
        <v>0.82769830949284773</v>
      </c>
      <c r="AH23" s="534">
        <f t="shared" si="8"/>
        <v>0.81672025723472674</v>
      </c>
      <c r="AI23" s="534">
        <f t="shared" si="8"/>
        <v>0.73889321901792659</v>
      </c>
      <c r="AJ23" s="534">
        <f>AJ5/AJ$8</f>
        <v>0.77166064981949456</v>
      </c>
      <c r="AK23" s="534">
        <f t="shared" ref="AK23:AR25" si="9">AK5/AK$8</f>
        <v>0.72767857142857151</v>
      </c>
      <c r="AL23" s="534">
        <f t="shared" si="9"/>
        <v>0.70861618798955617</v>
      </c>
      <c r="AM23" s="534">
        <f t="shared" si="9"/>
        <v>0.71719781797301174</v>
      </c>
      <c r="AN23" s="534">
        <f t="shared" si="9"/>
        <v>0.73760932944606417</v>
      </c>
      <c r="AO23" s="534">
        <f t="shared" si="9"/>
        <v>0.7039355992844365</v>
      </c>
      <c r="AP23" s="534">
        <f t="shared" si="9"/>
        <v>0.72007452258965998</v>
      </c>
      <c r="AQ23" s="534">
        <f t="shared" si="9"/>
        <v>0.7515710096355257</v>
      </c>
      <c r="AR23" s="534">
        <f t="shared" si="9"/>
        <v>0.75744047619047616</v>
      </c>
      <c r="AS23" s="534">
        <f>AS5/AS$8</f>
        <v>0.75467980295566506</v>
      </c>
      <c r="AT23" s="616"/>
      <c r="AU23" s="616"/>
      <c r="AV23" s="534">
        <f>AV5/AV$8</f>
        <v>0.77747904475723539</v>
      </c>
      <c r="AW23" s="616"/>
      <c r="AX23" s="616"/>
      <c r="AY23" s="534">
        <f t="shared" ref="AY23:AZ25" si="10">AY5/AY$8</f>
        <v>0.83608764842698002</v>
      </c>
      <c r="AZ23" s="534">
        <f t="shared" si="10"/>
        <v>0.8579136690647482</v>
      </c>
      <c r="BA23" s="616"/>
      <c r="BB23" s="534">
        <f t="shared" ref="BB23:BB25" si="11">BB5/BB$8</f>
        <v>0.85907650955169423</v>
      </c>
      <c r="BD23" s="276"/>
    </row>
    <row r="24" spans="2:62" hidden="1" outlineLevel="1">
      <c r="B24" s="616" t="s">
        <v>693</v>
      </c>
      <c r="C24" s="616"/>
      <c r="D24" s="616"/>
      <c r="E24" s="616"/>
      <c r="F24" s="616"/>
      <c r="G24" s="616"/>
      <c r="H24" s="616"/>
      <c r="I24" s="616"/>
      <c r="J24" s="616"/>
      <c r="K24" s="616"/>
      <c r="L24" s="616"/>
      <c r="M24" s="616"/>
      <c r="N24" s="616"/>
      <c r="O24" s="616"/>
      <c r="P24" s="616"/>
      <c r="Q24" s="616"/>
      <c r="R24" s="616"/>
      <c r="S24" s="616"/>
      <c r="T24" s="616"/>
      <c r="U24" s="616"/>
      <c r="V24" s="616"/>
      <c r="W24" s="616"/>
      <c r="X24" s="616"/>
      <c r="Y24" s="616"/>
      <c r="Z24" s="616"/>
      <c r="AA24" s="534">
        <f>AA6/AA$8</f>
        <v>0.25125628140703515</v>
      </c>
      <c r="AB24" s="534">
        <f t="shared" si="8"/>
        <v>0.19066937119675459</v>
      </c>
      <c r="AC24" s="534">
        <f t="shared" si="8"/>
        <v>0.11111111111111108</v>
      </c>
      <c r="AD24" s="534">
        <f t="shared" si="8"/>
        <v>0.14908034849951596</v>
      </c>
      <c r="AE24" s="534">
        <f t="shared" si="8"/>
        <v>0.10689170182841067</v>
      </c>
      <c r="AF24" s="534">
        <f t="shared" si="8"/>
        <v>9.0689238210399023E-2</v>
      </c>
      <c r="AG24" s="534">
        <f t="shared" si="8"/>
        <v>9.8179453836150829E-2</v>
      </c>
      <c r="AH24" s="534">
        <f t="shared" si="8"/>
        <v>0.12111468381564845</v>
      </c>
      <c r="AI24" s="534">
        <f t="shared" si="8"/>
        <v>0.12782540919719407</v>
      </c>
      <c r="AJ24" s="534">
        <f>AJ6/AJ$8</f>
        <v>0.125</v>
      </c>
      <c r="AK24" s="534">
        <f t="shared" si="9"/>
        <v>0.15943877551020411</v>
      </c>
      <c r="AL24" s="534">
        <f t="shared" si="9"/>
        <v>0.17127937336814616</v>
      </c>
      <c r="AM24" s="534">
        <f t="shared" si="9"/>
        <v>0.16594889463106516</v>
      </c>
      <c r="AN24" s="534">
        <f t="shared" si="9"/>
        <v>0.16569484936831874</v>
      </c>
      <c r="AO24" s="534">
        <f t="shared" si="9"/>
        <v>0.17307692307692307</v>
      </c>
      <c r="AP24" s="534">
        <f t="shared" si="9"/>
        <v>0.1695388914764788</v>
      </c>
      <c r="AQ24" s="534">
        <f t="shared" si="9"/>
        <v>0.16338500209467952</v>
      </c>
      <c r="AR24" s="534">
        <f t="shared" si="9"/>
        <v>0.13430059523809521</v>
      </c>
      <c r="AS24" s="534">
        <f>AS6/AS$8</f>
        <v>0.14798029556650244</v>
      </c>
      <c r="AT24" s="616"/>
      <c r="AU24" s="616"/>
      <c r="AV24" s="534">
        <f>AV6/AV$8</f>
        <v>0.11734935948125889</v>
      </c>
      <c r="AW24" s="616"/>
      <c r="AX24" s="616"/>
      <c r="AY24" s="534">
        <f t="shared" si="10"/>
        <v>0.12425021422450729</v>
      </c>
      <c r="AZ24" s="534">
        <f t="shared" si="10"/>
        <v>0.11250999200639487</v>
      </c>
      <c r="BA24" s="616"/>
      <c r="BB24" s="534">
        <f t="shared" si="11"/>
        <v>0.10962849188825957</v>
      </c>
      <c r="BD24" s="276"/>
    </row>
    <row r="25" spans="2:62" hidden="1" outlineLevel="1">
      <c r="B25" s="616" t="s">
        <v>694</v>
      </c>
      <c r="C25" s="616"/>
      <c r="D25" s="616"/>
      <c r="E25" s="616"/>
      <c r="F25" s="616"/>
      <c r="G25" s="616"/>
      <c r="H25" s="616"/>
      <c r="I25" s="616"/>
      <c r="J25" s="616"/>
      <c r="K25" s="616"/>
      <c r="L25" s="616"/>
      <c r="M25" s="616"/>
      <c r="N25" s="616"/>
      <c r="O25" s="616"/>
      <c r="P25" s="616"/>
      <c r="Q25" s="616"/>
      <c r="R25" s="616"/>
      <c r="S25" s="616"/>
      <c r="T25" s="616"/>
      <c r="U25" s="616"/>
      <c r="V25" s="616"/>
      <c r="W25" s="616"/>
      <c r="X25" s="616"/>
      <c r="Y25" s="616"/>
      <c r="Z25" s="616"/>
      <c r="AA25" s="534">
        <f>AA7/AA$8</f>
        <v>3.391959798994975E-2</v>
      </c>
      <c r="AB25" s="534">
        <f t="shared" si="8"/>
        <v>2.0283975659229209E-2</v>
      </c>
      <c r="AC25" s="534">
        <f t="shared" si="8"/>
        <v>1.2962962962962959E-2</v>
      </c>
      <c r="AD25" s="534">
        <f t="shared" si="8"/>
        <v>1.6456921587608905E-2</v>
      </c>
      <c r="AE25" s="534">
        <f t="shared" si="8"/>
        <v>6.8917018284106887E-2</v>
      </c>
      <c r="AF25" s="534">
        <f t="shared" si="8"/>
        <v>7.8597339782345829E-2</v>
      </c>
      <c r="AG25" s="534">
        <f t="shared" si="8"/>
        <v>7.412223667100129E-2</v>
      </c>
      <c r="AH25" s="534">
        <f t="shared" si="8"/>
        <v>6.2165058949624867E-2</v>
      </c>
      <c r="AI25" s="534">
        <f t="shared" si="8"/>
        <v>0.13328137178487917</v>
      </c>
      <c r="AJ25" s="534">
        <f>AJ7/AJ$8</f>
        <v>0.10333935018050541</v>
      </c>
      <c r="AK25" s="534">
        <f t="shared" si="9"/>
        <v>0.1128826530612245</v>
      </c>
      <c r="AL25" s="534">
        <f t="shared" si="9"/>
        <v>0.12010443864229765</v>
      </c>
      <c r="AM25" s="534">
        <f t="shared" si="9"/>
        <v>0.11685328739592306</v>
      </c>
      <c r="AN25" s="534">
        <f t="shared" si="9"/>
        <v>9.6695821185617092E-2</v>
      </c>
      <c r="AO25" s="534">
        <f t="shared" si="9"/>
        <v>0.12298747763864044</v>
      </c>
      <c r="AP25" s="534">
        <f t="shared" si="9"/>
        <v>0.11038658593386121</v>
      </c>
      <c r="AQ25" s="534">
        <f t="shared" si="9"/>
        <v>8.5043988269794715E-2</v>
      </c>
      <c r="AR25" s="534">
        <f t="shared" si="9"/>
        <v>0.10825892857142856</v>
      </c>
      <c r="AS25" s="534">
        <f>AS7/AS$8</f>
        <v>9.7339901477832516E-2</v>
      </c>
      <c r="AT25" s="616"/>
      <c r="AU25" s="616"/>
      <c r="AV25" s="534">
        <f>AV7/AV$8</f>
        <v>0.1051715957615056</v>
      </c>
      <c r="AW25" s="616"/>
      <c r="AX25" s="616"/>
      <c r="AY25" s="534">
        <f t="shared" si="10"/>
        <v>3.966213734851267E-2</v>
      </c>
      <c r="AZ25" s="534">
        <f t="shared" si="10"/>
        <v>2.9576338928856912E-2</v>
      </c>
      <c r="BA25" s="616"/>
      <c r="BB25" s="534">
        <f t="shared" si="11"/>
        <v>3.1294998560046076E-2</v>
      </c>
      <c r="BD25" s="276"/>
    </row>
    <row r="26" spans="2:62" hidden="1" outlineLevel="1">
      <c r="B26" s="616"/>
      <c r="C26" s="616"/>
      <c r="D26" s="616"/>
      <c r="E26" s="616"/>
      <c r="F26" s="616"/>
      <c r="G26" s="616"/>
      <c r="H26" s="616"/>
      <c r="I26" s="616"/>
      <c r="J26" s="616"/>
      <c r="K26" s="616"/>
      <c r="L26" s="616"/>
      <c r="M26" s="616"/>
      <c r="N26" s="616"/>
      <c r="O26" s="616"/>
      <c r="P26" s="616"/>
      <c r="Q26" s="616"/>
      <c r="R26" s="616"/>
      <c r="S26" s="616"/>
      <c r="T26" s="616"/>
      <c r="U26" s="616"/>
      <c r="V26" s="616"/>
      <c r="W26" s="616"/>
      <c r="X26" s="616"/>
      <c r="Y26" s="616"/>
      <c r="Z26" s="616"/>
      <c r="AA26" s="616"/>
      <c r="AB26" s="616"/>
      <c r="AC26" s="616"/>
      <c r="AD26" s="616"/>
      <c r="AE26" s="616"/>
      <c r="AF26" s="616"/>
      <c r="AG26" s="616"/>
      <c r="AH26" s="616"/>
      <c r="AI26" s="616"/>
      <c r="AJ26" s="616"/>
      <c r="AK26" s="616"/>
      <c r="AL26" s="616"/>
      <c r="AM26" s="616"/>
      <c r="AN26" s="616"/>
      <c r="AO26" s="616"/>
      <c r="AP26" s="616"/>
      <c r="AQ26" s="616"/>
      <c r="AR26" s="616"/>
      <c r="AS26" s="616"/>
      <c r="AT26" s="616"/>
      <c r="AU26" s="616"/>
      <c r="AV26" s="616"/>
      <c r="AW26" s="616"/>
      <c r="AX26" s="616"/>
      <c r="AY26" s="616"/>
      <c r="AZ26" s="616"/>
      <c r="BA26" s="616"/>
      <c r="BB26" s="616"/>
    </row>
    <row r="27" spans="2:62" hidden="1" outlineLevel="1">
      <c r="B27" s="622" t="s">
        <v>700</v>
      </c>
      <c r="C27" s="612"/>
      <c r="D27" s="612"/>
      <c r="E27" s="612"/>
      <c r="F27" s="612"/>
      <c r="G27" s="612"/>
      <c r="H27" s="612"/>
      <c r="I27" s="612"/>
      <c r="J27" s="612"/>
      <c r="K27" s="612"/>
      <c r="L27" s="612"/>
      <c r="M27" s="612"/>
      <c r="N27" s="612"/>
      <c r="O27" s="612"/>
      <c r="P27" s="612"/>
      <c r="Q27" s="612"/>
      <c r="R27" s="612"/>
      <c r="S27" s="612"/>
      <c r="T27" s="612"/>
      <c r="U27" s="612"/>
      <c r="V27" s="612"/>
      <c r="W27" s="612"/>
      <c r="X27" s="612"/>
      <c r="Y27" s="612"/>
      <c r="Z27" s="612"/>
      <c r="AA27" s="613"/>
      <c r="AB27" s="613"/>
      <c r="AC27" s="612"/>
      <c r="AD27" s="613"/>
      <c r="AE27" s="613"/>
      <c r="AF27" s="612"/>
      <c r="AG27" s="613"/>
      <c r="AH27" s="613"/>
      <c r="AI27" s="612"/>
      <c r="AJ27" s="613"/>
      <c r="AK27" s="613"/>
      <c r="AL27" s="612"/>
      <c r="AM27" s="613"/>
      <c r="AN27" s="613"/>
      <c r="AO27" s="613"/>
      <c r="AP27" s="613"/>
      <c r="AQ27" s="613"/>
      <c r="AR27" s="613"/>
      <c r="AS27" s="613"/>
      <c r="AT27" s="613"/>
      <c r="AU27" s="613"/>
      <c r="AV27" s="613"/>
      <c r="AW27" s="613"/>
      <c r="AX27" s="613"/>
      <c r="AY27" s="613"/>
      <c r="AZ27" s="613"/>
      <c r="BA27" s="613"/>
      <c r="BB27" s="613"/>
    </row>
    <row r="28" spans="2:62" hidden="1" outlineLevel="1">
      <c r="B28" s="620" t="s">
        <v>701</v>
      </c>
      <c r="C28" s="511"/>
      <c r="D28" s="511"/>
      <c r="E28" s="511"/>
      <c r="F28" s="511"/>
      <c r="G28" s="511"/>
      <c r="H28" s="511"/>
      <c r="I28" s="511"/>
      <c r="J28" s="511"/>
      <c r="K28" s="511"/>
      <c r="L28" s="511"/>
      <c r="M28" s="511"/>
      <c r="N28" s="511"/>
      <c r="O28" s="511"/>
      <c r="P28" s="511"/>
      <c r="Q28" s="511"/>
      <c r="R28" s="511"/>
      <c r="S28" s="511"/>
      <c r="T28" s="511"/>
      <c r="U28" s="511"/>
      <c r="V28" s="511"/>
      <c r="W28" s="511"/>
      <c r="X28" s="511"/>
      <c r="Y28" s="511"/>
      <c r="Z28" s="511"/>
      <c r="AA28" s="517">
        <f>AD28-SUM(AD73:AD74)</f>
        <v>120.5</v>
      </c>
      <c r="AB28" s="517"/>
      <c r="AC28" s="516"/>
      <c r="AD28" s="517">
        <f>AG30-SUM(AG73:AG74)</f>
        <v>120.5</v>
      </c>
      <c r="AE28" s="517"/>
      <c r="AF28" s="516"/>
      <c r="AG28" s="517">
        <v>120.5</v>
      </c>
      <c r="AH28" s="517">
        <v>71.7</v>
      </c>
      <c r="AI28" s="516">
        <f>AJ28-AH28</f>
        <v>93.399999999999991</v>
      </c>
      <c r="AJ28" s="517">
        <v>165.1</v>
      </c>
      <c r="AK28" s="514">
        <v>102.3</v>
      </c>
      <c r="AL28" s="511">
        <f>AM28-AK28</f>
        <v>117.3</v>
      </c>
      <c r="AM28" s="514">
        <v>219.6</v>
      </c>
      <c r="AN28" s="514">
        <v>126.5</v>
      </c>
      <c r="AO28" s="511">
        <f>AP28-AN28</f>
        <v>136.5</v>
      </c>
      <c r="AP28" s="514">
        <v>263</v>
      </c>
      <c r="AQ28" s="514">
        <v>150</v>
      </c>
      <c r="AR28" s="511">
        <f>+AS28-AQ28</f>
        <v>181.60000000000002</v>
      </c>
      <c r="AS28" s="514">
        <v>331.6</v>
      </c>
      <c r="AT28" s="514">
        <v>193</v>
      </c>
      <c r="AU28" s="511">
        <f>AV28-AT28</f>
        <v>254.89999999999998</v>
      </c>
      <c r="AV28" s="514">
        <v>447.9</v>
      </c>
      <c r="AW28" s="514">
        <v>289.2</v>
      </c>
      <c r="AX28" s="511"/>
      <c r="AY28" s="514"/>
      <c r="AZ28" s="514"/>
      <c r="BA28" s="511"/>
      <c r="BB28" s="514"/>
    </row>
    <row r="29" spans="2:62" hidden="1" outlineLevel="1">
      <c r="B29" s="620" t="s">
        <v>492</v>
      </c>
      <c r="C29" s="511"/>
      <c r="D29" s="511"/>
      <c r="E29" s="511"/>
      <c r="F29" s="511"/>
      <c r="G29" s="511"/>
      <c r="H29" s="511"/>
      <c r="I29" s="511"/>
      <c r="J29" s="511"/>
      <c r="K29" s="511"/>
      <c r="L29" s="511"/>
      <c r="M29" s="511"/>
      <c r="N29" s="511"/>
      <c r="O29" s="511"/>
      <c r="P29" s="511"/>
      <c r="Q29" s="511"/>
      <c r="R29" s="511"/>
      <c r="S29" s="511"/>
      <c r="T29" s="511"/>
      <c r="U29" s="511"/>
      <c r="V29" s="511"/>
      <c r="W29" s="511"/>
      <c r="X29" s="511"/>
      <c r="Y29" s="511"/>
      <c r="Z29" s="511"/>
      <c r="AA29" s="514"/>
      <c r="AB29" s="514"/>
      <c r="AC29" s="511"/>
      <c r="AD29" s="514"/>
      <c r="AE29" s="514"/>
      <c r="AF29" s="511"/>
      <c r="AG29" s="514"/>
      <c r="AH29" s="514"/>
      <c r="AI29" s="511"/>
      <c r="AJ29" s="514"/>
      <c r="AK29" s="514">
        <v>3.4</v>
      </c>
      <c r="AL29" s="511">
        <f>AM29-AK29</f>
        <v>7.1</v>
      </c>
      <c r="AM29" s="514">
        <v>10.5</v>
      </c>
      <c r="AN29" s="514">
        <v>7.2</v>
      </c>
      <c r="AO29" s="511">
        <f>AP29-AN29</f>
        <v>7.9999999999999991</v>
      </c>
      <c r="AP29" s="514">
        <v>15.2</v>
      </c>
      <c r="AQ29" s="514">
        <v>8.1</v>
      </c>
      <c r="AR29" s="511">
        <f>AS29-AQ29</f>
        <v>8.2999999999999989</v>
      </c>
      <c r="AS29" s="514">
        <v>16.399999999999999</v>
      </c>
      <c r="AT29" s="514">
        <v>8.8000000000000007</v>
      </c>
      <c r="AU29" s="511">
        <f>AV29-AT29</f>
        <v>10.599999999999998</v>
      </c>
      <c r="AV29" s="514">
        <v>19.399999999999999</v>
      </c>
      <c r="AW29" s="514">
        <v>11.8</v>
      </c>
      <c r="AX29" s="511"/>
      <c r="AY29" s="514"/>
      <c r="AZ29" s="514"/>
      <c r="BA29" s="511"/>
      <c r="BB29" s="514"/>
    </row>
    <row r="30" spans="2:62" hidden="1" outlineLevel="1">
      <c r="B30" s="619" t="s">
        <v>522</v>
      </c>
      <c r="C30" s="516"/>
      <c r="D30" s="516"/>
      <c r="E30" s="516"/>
      <c r="F30" s="516"/>
      <c r="G30" s="516"/>
      <c r="H30" s="516"/>
      <c r="I30" s="516"/>
      <c r="J30" s="516"/>
      <c r="K30" s="516"/>
      <c r="L30" s="516"/>
      <c r="M30" s="516"/>
      <c r="N30" s="516"/>
      <c r="O30" s="516"/>
      <c r="P30" s="516"/>
      <c r="Q30" s="516"/>
      <c r="R30" s="516"/>
      <c r="S30" s="516"/>
      <c r="T30" s="516"/>
      <c r="U30" s="516"/>
      <c r="V30" s="516"/>
      <c r="W30" s="516"/>
      <c r="X30" s="516"/>
      <c r="Y30" s="516"/>
      <c r="Z30" s="516"/>
      <c r="AA30" s="619"/>
      <c r="AB30" s="619"/>
      <c r="AC30" s="619"/>
      <c r="AD30" s="619"/>
      <c r="AE30" s="517"/>
      <c r="AF30" s="516"/>
      <c r="AG30" s="517">
        <v>120.5</v>
      </c>
      <c r="AH30" s="517">
        <v>71.7</v>
      </c>
      <c r="AI30" s="516">
        <f>AJ30-AH30</f>
        <v>93.399999999999991</v>
      </c>
      <c r="AJ30" s="517">
        <v>165.1</v>
      </c>
      <c r="AK30" s="517">
        <f>102.3+AK29</f>
        <v>105.7</v>
      </c>
      <c r="AL30" s="516">
        <f>AM30-AK30</f>
        <v>124.39999999999999</v>
      </c>
      <c r="AM30" s="517">
        <f>219.6+AM29</f>
        <v>230.1</v>
      </c>
      <c r="AN30" s="517">
        <f>126.5+AN29</f>
        <v>133.69999999999999</v>
      </c>
      <c r="AO30" s="516">
        <f>AP30-AN30</f>
        <v>144.5</v>
      </c>
      <c r="AP30" s="516">
        <f>SUM(AP28:AP29)</f>
        <v>278.2</v>
      </c>
      <c r="AQ30" s="516">
        <f>SUM(AQ28:AQ29)</f>
        <v>158.1</v>
      </c>
      <c r="AR30" s="516">
        <f>AS30-AQ30</f>
        <v>189.9</v>
      </c>
      <c r="AS30" s="516">
        <f>SUM(AS28:AS29)</f>
        <v>348</v>
      </c>
      <c r="AT30" s="516">
        <f>SUM(AT28:AT29)</f>
        <v>201.8</v>
      </c>
      <c r="AU30" s="516">
        <f>AV30-AT30</f>
        <v>265.49999999999994</v>
      </c>
      <c r="AV30" s="516">
        <f>SUM(AV28:AV29)</f>
        <v>467.29999999999995</v>
      </c>
      <c r="AW30" s="516">
        <f>SUM(AW28:AW29)</f>
        <v>301</v>
      </c>
      <c r="AX30" s="516">
        <f>AY30-AW30</f>
        <v>358.6</v>
      </c>
      <c r="AY30" s="517">
        <v>659.6</v>
      </c>
      <c r="AZ30" s="517">
        <v>420.7</v>
      </c>
      <c r="BA30" s="516">
        <f>BB30-AZ30</f>
        <v>459.59999999999997</v>
      </c>
      <c r="BB30" s="517">
        <v>880.3</v>
      </c>
    </row>
    <row r="31" spans="2:62" hidden="1" outlineLevel="1">
      <c r="B31" s="616"/>
      <c r="C31" s="511"/>
      <c r="D31" s="511"/>
      <c r="E31" s="511"/>
      <c r="F31" s="511"/>
      <c r="G31" s="511"/>
      <c r="H31" s="511"/>
      <c r="I31" s="511"/>
      <c r="J31" s="511"/>
      <c r="K31" s="511"/>
      <c r="L31" s="511"/>
      <c r="M31" s="511"/>
      <c r="N31" s="511"/>
      <c r="O31" s="511"/>
      <c r="P31" s="511"/>
      <c r="Q31" s="511"/>
      <c r="R31" s="511"/>
      <c r="S31" s="511"/>
      <c r="T31" s="511"/>
      <c r="U31" s="511"/>
      <c r="V31" s="511"/>
      <c r="W31" s="511"/>
      <c r="X31" s="511"/>
      <c r="Y31" s="511"/>
      <c r="Z31" s="511"/>
      <c r="AA31" s="514"/>
      <c r="AB31" s="514"/>
      <c r="AC31" s="511"/>
      <c r="AD31" s="514"/>
      <c r="AE31" s="514"/>
      <c r="AF31" s="511"/>
      <c r="AG31" s="514"/>
      <c r="AH31" s="514"/>
      <c r="AI31" s="511"/>
      <c r="AJ31" s="514"/>
      <c r="AK31" s="514"/>
      <c r="AL31" s="511"/>
      <c r="AM31" s="514"/>
      <c r="AN31" s="514"/>
      <c r="AO31" s="511"/>
      <c r="AP31" s="511"/>
      <c r="AQ31" s="514"/>
      <c r="AR31" s="511"/>
      <c r="AS31" s="511"/>
      <c r="AT31" s="511"/>
      <c r="AU31" s="511"/>
      <c r="AV31" s="511"/>
      <c r="AW31" s="511"/>
      <c r="AX31" s="511"/>
      <c r="AY31" s="511"/>
      <c r="AZ31" s="659"/>
      <c r="BA31" s="511"/>
      <c r="BB31" s="511"/>
    </row>
    <row r="32" spans="2:62" hidden="1" outlineLevel="1">
      <c r="B32" s="620" t="s">
        <v>702</v>
      </c>
      <c r="C32" s="511"/>
      <c r="D32" s="511"/>
      <c r="E32" s="511"/>
      <c r="F32" s="511"/>
      <c r="G32" s="511"/>
      <c r="H32" s="511"/>
      <c r="I32" s="511"/>
      <c r="J32" s="511"/>
      <c r="K32" s="511"/>
      <c r="L32" s="511"/>
      <c r="M32" s="511"/>
      <c r="N32" s="511"/>
      <c r="O32" s="511"/>
      <c r="P32" s="511"/>
      <c r="Q32" s="511"/>
      <c r="R32" s="511"/>
      <c r="S32" s="511"/>
      <c r="T32" s="511"/>
      <c r="U32" s="511"/>
      <c r="V32" s="511"/>
      <c r="W32" s="511"/>
      <c r="X32" s="511"/>
      <c r="Y32" s="511"/>
      <c r="Z32" s="511"/>
      <c r="AA32" s="517">
        <f>AD32-AD75</f>
        <v>33.299999999999997</v>
      </c>
      <c r="AB32" s="517"/>
      <c r="AC32" s="516"/>
      <c r="AD32" s="517">
        <f>AG34-AG75</f>
        <v>33.299999999999997</v>
      </c>
      <c r="AE32" s="514"/>
      <c r="AF32" s="511"/>
      <c r="AG32" s="514"/>
      <c r="AH32" s="514"/>
      <c r="AI32" s="511"/>
      <c r="AJ32" s="514"/>
      <c r="AK32" s="514"/>
      <c r="AL32" s="511"/>
      <c r="AM32" s="514"/>
      <c r="AN32" s="514"/>
      <c r="AO32" s="511"/>
      <c r="AP32" s="511">
        <f t="shared" ref="AP32:AU32" si="12">AP34-AP33</f>
        <v>113.00000000000001</v>
      </c>
      <c r="AQ32" s="511">
        <f t="shared" si="12"/>
        <v>61.499999999999993</v>
      </c>
      <c r="AR32" s="511">
        <f t="shared" si="12"/>
        <v>58.20000000000001</v>
      </c>
      <c r="AS32" s="511">
        <f t="shared" si="12"/>
        <v>119.7</v>
      </c>
      <c r="AT32" s="511">
        <f t="shared" si="12"/>
        <v>61.900000000000006</v>
      </c>
      <c r="AU32" s="511">
        <f t="shared" si="12"/>
        <v>62.100000000000009</v>
      </c>
      <c r="AV32" s="511">
        <f>AV34-AV33</f>
        <v>124</v>
      </c>
      <c r="AW32" s="511"/>
      <c r="AX32" s="511"/>
      <c r="AY32" s="511"/>
      <c r="AZ32" s="511"/>
      <c r="BA32" s="511"/>
      <c r="BB32" s="511"/>
    </row>
    <row r="33" spans="2:54" hidden="1" outlineLevel="1">
      <c r="B33" s="620" t="s">
        <v>703</v>
      </c>
      <c r="C33" s="511"/>
      <c r="D33" s="511"/>
      <c r="E33" s="511"/>
      <c r="F33" s="511"/>
      <c r="G33" s="511"/>
      <c r="H33" s="511"/>
      <c r="I33" s="511"/>
      <c r="J33" s="511"/>
      <c r="K33" s="511"/>
      <c r="L33" s="511"/>
      <c r="M33" s="511"/>
      <c r="N33" s="511"/>
      <c r="O33" s="511"/>
      <c r="P33" s="511"/>
      <c r="Q33" s="511"/>
      <c r="R33" s="511"/>
      <c r="S33" s="511"/>
      <c r="T33" s="511"/>
      <c r="U33" s="511"/>
      <c r="V33" s="511"/>
      <c r="W33" s="511"/>
      <c r="X33" s="511"/>
      <c r="Y33" s="511"/>
      <c r="Z33" s="511"/>
      <c r="AA33" s="514"/>
      <c r="AB33" s="514"/>
      <c r="AC33" s="511"/>
      <c r="AD33" s="514"/>
      <c r="AE33" s="514"/>
      <c r="AF33" s="511"/>
      <c r="AG33" s="514"/>
      <c r="AH33" s="514"/>
      <c r="AI33" s="511"/>
      <c r="AJ33" s="514"/>
      <c r="AK33" s="514"/>
      <c r="AL33" s="511"/>
      <c r="AM33" s="514"/>
      <c r="AN33" s="514"/>
      <c r="AO33" s="511"/>
      <c r="AP33" s="514">
        <v>38.299999999999997</v>
      </c>
      <c r="AQ33" s="514">
        <v>19.100000000000001</v>
      </c>
      <c r="AR33" s="511">
        <f>+AS33-AQ33</f>
        <v>20.699999999999996</v>
      </c>
      <c r="AS33" s="514">
        <v>39.799999999999997</v>
      </c>
      <c r="AT33" s="514">
        <v>17.3</v>
      </c>
      <c r="AU33" s="511">
        <f>AV33-AT33</f>
        <v>23.599999999999998</v>
      </c>
      <c r="AV33" s="514">
        <v>40.9</v>
      </c>
      <c r="AW33" s="514"/>
      <c r="AX33" s="511"/>
      <c r="AY33" s="514"/>
      <c r="AZ33" s="514"/>
      <c r="BA33" s="511"/>
      <c r="BB33" s="514"/>
    </row>
    <row r="34" spans="2:54" hidden="1" outlineLevel="1">
      <c r="B34" s="619" t="s">
        <v>704</v>
      </c>
      <c r="C34" s="516"/>
      <c r="D34" s="516"/>
      <c r="E34" s="516"/>
      <c r="F34" s="516"/>
      <c r="G34" s="516"/>
      <c r="H34" s="516"/>
      <c r="I34" s="516"/>
      <c r="J34" s="516"/>
      <c r="K34" s="516"/>
      <c r="L34" s="516"/>
      <c r="M34" s="516"/>
      <c r="N34" s="516"/>
      <c r="O34" s="516"/>
      <c r="P34" s="516"/>
      <c r="Q34" s="516"/>
      <c r="R34" s="516"/>
      <c r="S34" s="516"/>
      <c r="T34" s="516"/>
      <c r="U34" s="516"/>
      <c r="V34" s="516"/>
      <c r="W34" s="516"/>
      <c r="X34" s="516"/>
      <c r="Y34" s="516"/>
      <c r="Z34" s="516"/>
      <c r="AA34" s="619"/>
      <c r="AB34" s="619"/>
      <c r="AC34" s="619"/>
      <c r="AD34" s="619"/>
      <c r="AE34" s="517"/>
      <c r="AF34" s="516"/>
      <c r="AG34" s="517">
        <v>33.299999999999997</v>
      </c>
      <c r="AH34" s="517">
        <v>21.7</v>
      </c>
      <c r="AI34" s="516">
        <f>AJ34-AH34</f>
        <v>34.799999999999997</v>
      </c>
      <c r="AJ34" s="517">
        <v>56.5</v>
      </c>
      <c r="AK34" s="517">
        <v>51</v>
      </c>
      <c r="AL34" s="516">
        <f>AM34-AK34</f>
        <v>67.099999999999994</v>
      </c>
      <c r="AM34" s="517">
        <v>118.1</v>
      </c>
      <c r="AN34" s="517">
        <v>72.099999999999994</v>
      </c>
      <c r="AO34" s="516">
        <f>AP34-AN34</f>
        <v>79.200000000000017</v>
      </c>
      <c r="AP34" s="517">
        <v>151.30000000000001</v>
      </c>
      <c r="AQ34" s="517">
        <v>80.599999999999994</v>
      </c>
      <c r="AR34" s="516">
        <f>AS34-AQ34</f>
        <v>78.900000000000006</v>
      </c>
      <c r="AS34" s="517">
        <v>159.5</v>
      </c>
      <c r="AT34" s="517">
        <v>79.2</v>
      </c>
      <c r="AU34" s="516">
        <f>AV34-AT34</f>
        <v>85.7</v>
      </c>
      <c r="AV34" s="517">
        <v>164.9</v>
      </c>
      <c r="AW34" s="517">
        <v>77.3</v>
      </c>
      <c r="AX34" s="516">
        <f>AY34-AW34</f>
        <v>79.899999999999991</v>
      </c>
      <c r="AY34" s="517">
        <v>157.19999999999999</v>
      </c>
      <c r="AZ34" s="517">
        <v>79.7</v>
      </c>
      <c r="BA34" s="516">
        <f>BB34-AZ34</f>
        <v>81.7</v>
      </c>
      <c r="BB34" s="517">
        <v>161.4</v>
      </c>
    </row>
    <row r="35" spans="2:54" hidden="1" outlineLevel="1">
      <c r="B35" s="616"/>
      <c r="C35" s="511"/>
      <c r="D35" s="511"/>
      <c r="E35" s="511"/>
      <c r="F35" s="511"/>
      <c r="G35" s="511"/>
      <c r="H35" s="511"/>
      <c r="I35" s="511"/>
      <c r="J35" s="511"/>
      <c r="K35" s="511"/>
      <c r="L35" s="511"/>
      <c r="M35" s="511"/>
      <c r="N35" s="511"/>
      <c r="O35" s="511"/>
      <c r="P35" s="511"/>
      <c r="Q35" s="511"/>
      <c r="R35" s="511"/>
      <c r="S35" s="511"/>
      <c r="T35" s="511"/>
      <c r="U35" s="511"/>
      <c r="V35" s="511"/>
      <c r="W35" s="511"/>
      <c r="X35" s="511"/>
      <c r="Y35" s="511"/>
      <c r="Z35" s="511"/>
      <c r="AA35" s="514"/>
      <c r="AB35" s="514"/>
      <c r="AC35" s="511"/>
      <c r="AD35" s="514"/>
      <c r="AE35" s="514"/>
      <c r="AF35" s="511"/>
      <c r="AG35" s="514"/>
      <c r="AH35" s="514"/>
      <c r="AI35" s="511"/>
      <c r="AJ35" s="514"/>
      <c r="AK35" s="514"/>
      <c r="AL35" s="511"/>
      <c r="AM35" s="514"/>
      <c r="AN35" s="514"/>
      <c r="AO35" s="511"/>
      <c r="AP35" s="511"/>
      <c r="AQ35" s="514"/>
      <c r="AR35" s="511"/>
      <c r="AS35" s="534"/>
      <c r="AT35" s="511"/>
      <c r="AU35" s="511"/>
      <c r="AV35" s="534"/>
      <c r="AW35" s="511"/>
      <c r="AX35" s="511"/>
      <c r="AY35" s="534"/>
      <c r="AZ35" s="511"/>
      <c r="BA35" s="511"/>
      <c r="BB35" s="534"/>
    </row>
    <row r="36" spans="2:54" hidden="1" outlineLevel="1">
      <c r="B36" s="619" t="s">
        <v>106</v>
      </c>
      <c r="C36" s="516"/>
      <c r="D36" s="516"/>
      <c r="E36" s="516"/>
      <c r="F36" s="516"/>
      <c r="G36" s="516"/>
      <c r="H36" s="516"/>
      <c r="I36" s="516"/>
      <c r="J36" s="516"/>
      <c r="K36" s="516"/>
      <c r="L36" s="516"/>
      <c r="M36" s="516"/>
      <c r="N36" s="516"/>
      <c r="O36" s="516"/>
      <c r="P36" s="516"/>
      <c r="Q36" s="516"/>
      <c r="R36" s="516"/>
      <c r="S36" s="516"/>
      <c r="T36" s="516"/>
      <c r="U36" s="516"/>
      <c r="V36" s="516"/>
      <c r="W36" s="516"/>
      <c r="X36" s="516"/>
      <c r="Y36" s="516"/>
      <c r="Z36" s="516"/>
      <c r="AA36" s="516">
        <f>AA32+AA28</f>
        <v>153.80000000000001</v>
      </c>
      <c r="AB36" s="516"/>
      <c r="AC36" s="516"/>
      <c r="AD36" s="516">
        <f>AD32+AD28</f>
        <v>153.80000000000001</v>
      </c>
      <c r="AE36" s="516"/>
      <c r="AF36" s="516"/>
      <c r="AG36" s="516">
        <f t="shared" ref="AG36:AR36" si="13">AG34+AG30</f>
        <v>153.80000000000001</v>
      </c>
      <c r="AH36" s="516">
        <f t="shared" si="13"/>
        <v>93.4</v>
      </c>
      <c r="AI36" s="516">
        <f t="shared" si="13"/>
        <v>128.19999999999999</v>
      </c>
      <c r="AJ36" s="516">
        <f t="shared" si="13"/>
        <v>221.6</v>
      </c>
      <c r="AK36" s="516">
        <f t="shared" si="13"/>
        <v>156.69999999999999</v>
      </c>
      <c r="AL36" s="516">
        <f t="shared" si="13"/>
        <v>191.5</v>
      </c>
      <c r="AM36" s="516">
        <f t="shared" si="13"/>
        <v>348.2</v>
      </c>
      <c r="AN36" s="516">
        <f t="shared" si="13"/>
        <v>205.79999999999998</v>
      </c>
      <c r="AO36" s="516">
        <f t="shared" si="13"/>
        <v>223.70000000000002</v>
      </c>
      <c r="AP36" s="516">
        <f t="shared" si="13"/>
        <v>429.5</v>
      </c>
      <c r="AQ36" s="516">
        <f t="shared" si="13"/>
        <v>238.7</v>
      </c>
      <c r="AR36" s="516">
        <f t="shared" si="13"/>
        <v>268.8</v>
      </c>
      <c r="AS36" s="516">
        <f>AS34+AS30</f>
        <v>507.5</v>
      </c>
      <c r="AT36" s="516">
        <f t="shared" ref="AT36:AU36" si="14">AT34+AT30</f>
        <v>281</v>
      </c>
      <c r="AU36" s="516">
        <f t="shared" si="14"/>
        <v>351.19999999999993</v>
      </c>
      <c r="AV36" s="516">
        <f>AV34+AV30</f>
        <v>632.19999999999993</v>
      </c>
      <c r="AW36" s="516">
        <f>AW34+AW30</f>
        <v>378.3</v>
      </c>
      <c r="AX36" s="516">
        <f t="shared" ref="AX36" si="15">AX34+AX30</f>
        <v>438.5</v>
      </c>
      <c r="AY36" s="516">
        <f>AY34+AY30</f>
        <v>816.8</v>
      </c>
      <c r="AZ36" s="516">
        <f>AZ34+AZ30</f>
        <v>500.4</v>
      </c>
      <c r="BA36" s="516">
        <f t="shared" ref="BA36" si="16">BA34+BA30</f>
        <v>541.29999999999995</v>
      </c>
      <c r="BB36" s="516">
        <f>BB34+BB30</f>
        <v>1041.7</v>
      </c>
    </row>
    <row r="37" spans="2:54" hidden="1" outlineLevel="1">
      <c r="B37" s="616"/>
      <c r="C37" s="616"/>
      <c r="D37" s="616"/>
      <c r="E37" s="616"/>
      <c r="F37" s="616"/>
      <c r="G37" s="616"/>
      <c r="H37" s="616"/>
      <c r="I37" s="616"/>
      <c r="J37" s="616"/>
      <c r="K37" s="616"/>
      <c r="L37" s="616"/>
      <c r="M37" s="616"/>
      <c r="N37" s="616"/>
      <c r="O37" s="616"/>
      <c r="P37" s="616"/>
      <c r="Q37" s="616"/>
      <c r="R37" s="616"/>
      <c r="S37" s="616"/>
      <c r="T37" s="616"/>
      <c r="U37" s="616"/>
      <c r="V37" s="616"/>
      <c r="W37" s="616"/>
      <c r="X37" s="616"/>
      <c r="Y37" s="616"/>
      <c r="Z37" s="616"/>
      <c r="AA37" s="616"/>
      <c r="AB37" s="616"/>
      <c r="AC37" s="616"/>
      <c r="AD37" s="616"/>
      <c r="AE37" s="616"/>
      <c r="AF37" s="616"/>
      <c r="AG37" s="616"/>
      <c r="AH37" s="616"/>
      <c r="AI37" s="616"/>
      <c r="AJ37" s="616"/>
      <c r="AK37" s="616"/>
      <c r="AL37" s="616"/>
      <c r="AM37" s="616"/>
    </row>
    <row r="38" spans="2:54" hidden="1" outlineLevel="1">
      <c r="B38" s="616"/>
      <c r="C38" s="616"/>
      <c r="D38" s="616"/>
      <c r="E38" s="616"/>
      <c r="F38" s="616"/>
      <c r="G38" s="616"/>
      <c r="H38" s="616"/>
      <c r="I38" s="616"/>
      <c r="J38" s="616"/>
      <c r="K38" s="616"/>
      <c r="L38" s="616"/>
      <c r="M38" s="616"/>
      <c r="N38" s="616"/>
      <c r="O38" s="616"/>
      <c r="P38" s="616"/>
      <c r="Q38" s="616"/>
      <c r="R38" s="616"/>
      <c r="S38" s="616"/>
      <c r="T38" s="616"/>
      <c r="U38" s="616"/>
      <c r="V38" s="616"/>
      <c r="W38" s="616"/>
      <c r="X38" s="616"/>
      <c r="Y38" s="616"/>
      <c r="Z38" s="616"/>
      <c r="AA38" s="623"/>
      <c r="AB38" s="623"/>
      <c r="AC38" s="623"/>
      <c r="AD38" s="623"/>
      <c r="AE38" s="623"/>
      <c r="AF38" s="623"/>
      <c r="AG38" s="623"/>
      <c r="AH38" s="623"/>
      <c r="AI38" s="623"/>
      <c r="AJ38" s="623"/>
      <c r="AK38" s="623"/>
      <c r="AL38" s="623"/>
      <c r="AM38" s="623"/>
    </row>
    <row r="39" spans="2:54" hidden="1" outlineLevel="1">
      <c r="B39" s="616"/>
      <c r="C39" s="616"/>
      <c r="D39" s="616"/>
      <c r="E39" s="616"/>
      <c r="F39" s="616"/>
      <c r="G39" s="616"/>
      <c r="H39" s="616"/>
      <c r="I39" s="616"/>
      <c r="J39" s="616"/>
      <c r="K39" s="616"/>
      <c r="L39" s="616"/>
      <c r="M39" s="616"/>
      <c r="N39" s="616"/>
      <c r="O39" s="616"/>
      <c r="P39" s="616"/>
      <c r="Q39" s="616"/>
      <c r="R39" s="616"/>
      <c r="S39" s="616"/>
      <c r="T39" s="616"/>
      <c r="U39" s="616"/>
      <c r="V39" s="616"/>
      <c r="W39" s="616"/>
      <c r="X39" s="616"/>
      <c r="Y39" s="616"/>
      <c r="Z39" s="616"/>
      <c r="AA39" s="623"/>
      <c r="AB39" s="623"/>
      <c r="AC39" s="623"/>
      <c r="AD39" s="623"/>
      <c r="AE39" s="623"/>
      <c r="AF39" s="623"/>
      <c r="AG39" s="623"/>
      <c r="AH39" s="623"/>
      <c r="AI39" s="623"/>
      <c r="AJ39" s="623"/>
      <c r="AK39" s="623"/>
      <c r="AL39" s="623"/>
      <c r="AM39" s="623"/>
    </row>
    <row r="40" spans="2:54" hidden="1" outlineLevel="1">
      <c r="B40" s="616"/>
      <c r="C40" s="616"/>
      <c r="D40" s="616"/>
      <c r="E40" s="616"/>
      <c r="F40" s="616"/>
      <c r="G40" s="616"/>
      <c r="H40" s="616"/>
      <c r="I40" s="616"/>
      <c r="J40" s="616"/>
      <c r="K40" s="616"/>
      <c r="L40" s="616"/>
      <c r="M40" s="616"/>
      <c r="N40" s="616"/>
      <c r="O40" s="616"/>
      <c r="P40" s="616"/>
      <c r="Q40" s="616"/>
      <c r="R40" s="616"/>
      <c r="S40" s="616"/>
      <c r="T40" s="616"/>
      <c r="U40" s="616"/>
      <c r="V40" s="616"/>
      <c r="W40" s="616"/>
      <c r="X40" s="616"/>
      <c r="Y40" s="616"/>
      <c r="Z40" s="616"/>
      <c r="AA40" s="616"/>
      <c r="AB40" s="616"/>
      <c r="AC40" s="616"/>
      <c r="AD40" s="616"/>
      <c r="AE40" s="616"/>
      <c r="AF40" s="616"/>
      <c r="AG40" s="616"/>
      <c r="AH40" s="616"/>
      <c r="AI40" s="616"/>
      <c r="AJ40" s="616"/>
      <c r="AK40" s="616"/>
      <c r="AL40" s="616"/>
      <c r="AM40" s="616"/>
    </row>
    <row r="41" spans="2:54" hidden="1" outlineLevel="1">
      <c r="B41" s="616"/>
      <c r="C41" s="616"/>
      <c r="D41" s="616"/>
      <c r="E41" s="616"/>
      <c r="F41" s="616"/>
      <c r="G41" s="616"/>
      <c r="H41" s="616"/>
      <c r="I41" s="616"/>
      <c r="J41" s="616"/>
      <c r="K41" s="616"/>
      <c r="L41" s="616"/>
      <c r="M41" s="616"/>
      <c r="N41" s="616"/>
      <c r="O41" s="616"/>
      <c r="P41" s="616"/>
      <c r="Q41" s="616"/>
      <c r="R41" s="616"/>
      <c r="S41" s="616"/>
      <c r="T41" s="616"/>
      <c r="U41" s="616"/>
      <c r="V41" s="616"/>
      <c r="W41" s="616"/>
      <c r="X41" s="616"/>
      <c r="Y41" s="616"/>
      <c r="Z41" s="616"/>
      <c r="AA41" s="616"/>
      <c r="AB41" s="616"/>
      <c r="AC41" s="616"/>
      <c r="AD41" s="616"/>
      <c r="AE41" s="616"/>
      <c r="AF41" s="616"/>
      <c r="AG41" s="616"/>
      <c r="AH41" s="616"/>
      <c r="AI41" s="616"/>
      <c r="AJ41" s="616"/>
      <c r="AK41" s="616"/>
      <c r="AL41" s="616"/>
      <c r="AM41" s="616"/>
    </row>
    <row r="42" spans="2:54" hidden="1" outlineLevel="1">
      <c r="B42" s="619" t="s">
        <v>230</v>
      </c>
      <c r="C42" s="616"/>
      <c r="D42" s="616"/>
      <c r="E42" s="616"/>
      <c r="F42" s="616"/>
      <c r="G42" s="616"/>
      <c r="H42" s="616"/>
      <c r="I42" s="616"/>
      <c r="J42" s="616"/>
      <c r="K42" s="616"/>
      <c r="L42" s="616"/>
      <c r="M42" s="616"/>
      <c r="N42" s="616"/>
      <c r="O42" s="616"/>
      <c r="P42" s="616"/>
      <c r="Q42" s="616"/>
      <c r="R42" s="616"/>
      <c r="S42" s="616"/>
      <c r="T42" s="616"/>
      <c r="U42" s="616"/>
      <c r="V42" s="616"/>
      <c r="W42" s="616"/>
      <c r="X42" s="616"/>
      <c r="Y42" s="616"/>
      <c r="Z42" s="616"/>
      <c r="AA42" s="616"/>
      <c r="AB42" s="616"/>
      <c r="AC42" s="616"/>
      <c r="AD42" s="616"/>
      <c r="AE42" s="616"/>
      <c r="AF42" s="616"/>
      <c r="AG42" s="616"/>
      <c r="AH42" s="616"/>
      <c r="AI42" s="616"/>
      <c r="AJ42" s="616"/>
      <c r="AK42" s="616"/>
      <c r="AL42" s="616"/>
      <c r="AM42" s="616"/>
    </row>
    <row r="43" spans="2:54" hidden="1" outlineLevel="1">
      <c r="B43" s="620" t="str">
        <f>B28&amp;" - growth"</f>
        <v>CargoWise Underlying - growth</v>
      </c>
      <c r="C43" s="616"/>
      <c r="D43" s="616"/>
      <c r="E43" s="616"/>
      <c r="F43" s="616"/>
      <c r="G43" s="616"/>
      <c r="H43" s="616"/>
      <c r="I43" s="616"/>
      <c r="J43" s="616"/>
      <c r="K43" s="616"/>
      <c r="L43" s="616"/>
      <c r="M43" s="616"/>
      <c r="N43" s="616"/>
      <c r="O43" s="616"/>
      <c r="P43" s="616"/>
      <c r="Q43" s="616"/>
      <c r="R43" s="616"/>
      <c r="S43" s="616"/>
      <c r="T43" s="616"/>
      <c r="U43" s="616"/>
      <c r="V43" s="616"/>
      <c r="W43" s="616"/>
      <c r="X43" s="616"/>
      <c r="Y43" s="616"/>
      <c r="Z43" s="616"/>
      <c r="AA43" s="616"/>
      <c r="AB43" s="616"/>
      <c r="AC43" s="616"/>
      <c r="AD43" s="616"/>
      <c r="AE43" s="616"/>
      <c r="AF43" s="616"/>
      <c r="AG43" s="616"/>
      <c r="AH43" s="616"/>
      <c r="AI43" s="616"/>
      <c r="AJ43" s="534"/>
      <c r="AK43" s="616"/>
      <c r="AL43" s="616"/>
      <c r="AM43" s="534"/>
      <c r="AN43" s="534">
        <v>0.23655913978494625</v>
      </c>
      <c r="AO43" s="534">
        <v>0.16368286445012781</v>
      </c>
      <c r="AP43" s="534">
        <v>0.19763205828779595</v>
      </c>
    </row>
    <row r="44" spans="2:54" hidden="1" outlineLevel="1">
      <c r="B44" s="620" t="s">
        <v>492</v>
      </c>
      <c r="C44" s="616"/>
      <c r="D44" s="616"/>
      <c r="E44" s="616"/>
      <c r="F44" s="616"/>
      <c r="G44" s="616"/>
      <c r="H44" s="616"/>
      <c r="I44" s="616"/>
      <c r="J44" s="616"/>
      <c r="K44" s="616"/>
      <c r="L44" s="616"/>
      <c r="M44" s="616"/>
      <c r="N44" s="616"/>
      <c r="O44" s="616"/>
      <c r="P44" s="616"/>
      <c r="Q44" s="616"/>
      <c r="R44" s="616"/>
      <c r="S44" s="616"/>
      <c r="T44" s="616"/>
      <c r="U44" s="616"/>
      <c r="V44" s="616"/>
      <c r="W44" s="616"/>
      <c r="X44" s="616"/>
      <c r="Y44" s="616"/>
      <c r="Z44" s="616"/>
      <c r="AA44" s="616"/>
      <c r="AB44" s="616"/>
      <c r="AC44" s="616"/>
      <c r="AD44" s="616"/>
      <c r="AE44" s="616"/>
      <c r="AF44" s="616"/>
      <c r="AG44" s="616"/>
      <c r="AH44" s="616"/>
      <c r="AI44" s="616"/>
      <c r="AJ44" s="534"/>
      <c r="AK44" s="616"/>
      <c r="AL44" s="616"/>
      <c r="AM44" s="534"/>
      <c r="AN44" s="534">
        <v>1.1176470588235294</v>
      </c>
      <c r="AO44" s="534">
        <v>0.12676056338028152</v>
      </c>
      <c r="AP44" s="534">
        <v>0.44761904761904758</v>
      </c>
    </row>
    <row r="45" spans="2:54" hidden="1" outlineLevel="1">
      <c r="B45" s="624" t="str">
        <f>B30&amp;" - growth"</f>
        <v>Total CargoWise - growth</v>
      </c>
      <c r="C45" s="619"/>
      <c r="D45" s="619"/>
      <c r="E45" s="619"/>
      <c r="F45" s="619"/>
      <c r="G45" s="619"/>
      <c r="H45" s="619"/>
      <c r="I45" s="619"/>
      <c r="J45" s="619"/>
      <c r="K45" s="619"/>
      <c r="L45" s="619"/>
      <c r="M45" s="619"/>
      <c r="N45" s="619"/>
      <c r="O45" s="619"/>
      <c r="P45" s="619"/>
      <c r="Q45" s="619"/>
      <c r="R45" s="619"/>
      <c r="S45" s="619"/>
      <c r="T45" s="619"/>
      <c r="U45" s="619"/>
      <c r="V45" s="619"/>
      <c r="W45" s="619"/>
      <c r="X45" s="619"/>
      <c r="Y45" s="619"/>
      <c r="Z45" s="619"/>
      <c r="AA45" s="619"/>
      <c r="AB45" s="619"/>
      <c r="AC45" s="619"/>
      <c r="AD45" s="621">
        <f>AD28/AA28-1</f>
        <v>0</v>
      </c>
      <c r="AE45" s="621"/>
      <c r="AF45" s="621"/>
      <c r="AG45" s="625">
        <v>0.40442890442890445</v>
      </c>
      <c r="AH45" s="621"/>
      <c r="AI45" s="621"/>
      <c r="AJ45" s="625">
        <v>0.37012448132780085</v>
      </c>
      <c r="AK45" s="625">
        <v>0.42677824267782416</v>
      </c>
      <c r="AL45" s="625">
        <v>0.25588865096359759</v>
      </c>
      <c r="AM45" s="625">
        <v>0.33010296789824345</v>
      </c>
      <c r="AN45" s="621">
        <v>0.26490066225165543</v>
      </c>
      <c r="AO45" s="621">
        <v>0.16157556270096474</v>
      </c>
      <c r="AP45" s="621">
        <v>0.20903954802259883</v>
      </c>
    </row>
    <row r="46" spans="2:54" hidden="1" outlineLevel="1">
      <c r="B46" s="626"/>
      <c r="C46" s="616"/>
      <c r="D46" s="616"/>
      <c r="E46" s="616"/>
      <c r="F46" s="616"/>
      <c r="G46" s="616"/>
      <c r="H46" s="616"/>
      <c r="I46" s="616"/>
      <c r="J46" s="616"/>
      <c r="K46" s="616"/>
      <c r="L46" s="616"/>
      <c r="M46" s="616"/>
      <c r="N46" s="616"/>
      <c r="O46" s="616"/>
      <c r="P46" s="616"/>
      <c r="Q46" s="616"/>
      <c r="R46" s="616"/>
      <c r="S46" s="616"/>
      <c r="T46" s="616"/>
      <c r="U46" s="616"/>
      <c r="V46" s="616"/>
      <c r="W46" s="616"/>
      <c r="X46" s="616"/>
      <c r="Y46" s="616"/>
      <c r="Z46" s="616"/>
      <c r="AA46" s="616"/>
      <c r="AB46" s="616"/>
      <c r="AC46" s="616"/>
      <c r="AD46" s="534"/>
      <c r="AE46" s="534"/>
      <c r="AF46" s="534"/>
      <c r="AG46" s="627"/>
      <c r="AH46" s="534"/>
      <c r="AI46" s="534"/>
      <c r="AJ46" s="627"/>
      <c r="AK46" s="627"/>
      <c r="AL46" s="627"/>
      <c r="AM46" s="627"/>
      <c r="AN46" s="534"/>
      <c r="AO46" s="534"/>
      <c r="AP46" s="534"/>
    </row>
    <row r="47" spans="2:54" hidden="1" outlineLevel="1">
      <c r="B47" s="620" t="str">
        <f>B32&amp;" - growth"</f>
        <v>Acquisition Recurring - growth</v>
      </c>
      <c r="C47" s="616"/>
      <c r="D47" s="616"/>
      <c r="E47" s="616"/>
      <c r="F47" s="616"/>
      <c r="G47" s="616"/>
      <c r="H47" s="616"/>
      <c r="I47" s="616"/>
      <c r="J47" s="616"/>
      <c r="K47" s="616"/>
      <c r="L47" s="616"/>
      <c r="M47" s="616"/>
      <c r="N47" s="616"/>
      <c r="O47" s="616"/>
      <c r="P47" s="616"/>
      <c r="Q47" s="616"/>
      <c r="R47" s="616"/>
      <c r="S47" s="616"/>
      <c r="T47" s="616"/>
      <c r="U47" s="616"/>
      <c r="V47" s="616"/>
      <c r="W47" s="616"/>
      <c r="X47" s="616"/>
      <c r="Y47" s="616"/>
      <c r="Z47" s="616"/>
      <c r="AA47" s="616"/>
      <c r="AB47" s="616"/>
      <c r="AC47" s="616"/>
      <c r="AD47" s="534"/>
      <c r="AE47" s="534"/>
      <c r="AF47" s="534"/>
      <c r="AG47" s="627"/>
      <c r="AH47" s="534"/>
      <c r="AI47" s="534"/>
      <c r="AJ47" s="627"/>
      <c r="AK47" s="627"/>
      <c r="AL47" s="627"/>
      <c r="AM47" s="627"/>
      <c r="AN47" s="534"/>
      <c r="AO47" s="534"/>
      <c r="AP47" s="534"/>
    </row>
    <row r="48" spans="2:54" hidden="1" outlineLevel="1">
      <c r="B48" s="620" t="str">
        <f>B33&amp;" - growth"</f>
        <v>Acquisition Non-Recurring - growth</v>
      </c>
      <c r="C48" s="616"/>
      <c r="D48" s="616"/>
      <c r="E48" s="616"/>
      <c r="F48" s="616"/>
      <c r="G48" s="616"/>
      <c r="H48" s="616"/>
      <c r="I48" s="616"/>
      <c r="J48" s="616"/>
      <c r="K48" s="616"/>
      <c r="L48" s="616"/>
      <c r="M48" s="616"/>
      <c r="N48" s="616"/>
      <c r="O48" s="616"/>
      <c r="P48" s="616"/>
      <c r="Q48" s="616"/>
      <c r="R48" s="616"/>
      <c r="S48" s="616"/>
      <c r="T48" s="616"/>
      <c r="U48" s="616"/>
      <c r="V48" s="616"/>
      <c r="W48" s="616"/>
      <c r="X48" s="616"/>
      <c r="Y48" s="616"/>
      <c r="Z48" s="616"/>
      <c r="AA48" s="616"/>
      <c r="AB48" s="616"/>
      <c r="AC48" s="616"/>
      <c r="AD48" s="534"/>
      <c r="AE48" s="534"/>
      <c r="AF48" s="534"/>
      <c r="AG48" s="627"/>
      <c r="AH48" s="534"/>
      <c r="AI48" s="534"/>
      <c r="AJ48" s="627"/>
      <c r="AK48" s="627"/>
      <c r="AL48" s="627"/>
      <c r="AM48" s="627"/>
      <c r="AN48" s="534"/>
      <c r="AO48" s="534"/>
      <c r="AP48" s="534"/>
    </row>
    <row r="49" spans="2:57" hidden="1" outlineLevel="1">
      <c r="B49" s="624" t="str">
        <f>B34&amp;" - growth"</f>
        <v>Non-Cargowise revenue - growth</v>
      </c>
      <c r="C49" s="619"/>
      <c r="D49" s="619"/>
      <c r="E49" s="619"/>
      <c r="F49" s="619"/>
      <c r="G49" s="619"/>
      <c r="H49" s="619"/>
      <c r="I49" s="619"/>
      <c r="J49" s="619"/>
      <c r="K49" s="619"/>
      <c r="L49" s="619"/>
      <c r="M49" s="619"/>
      <c r="N49" s="619"/>
      <c r="O49" s="619"/>
      <c r="P49" s="619"/>
      <c r="Q49" s="619"/>
      <c r="R49" s="619"/>
      <c r="S49" s="619"/>
      <c r="T49" s="619"/>
      <c r="U49" s="619"/>
      <c r="V49" s="619"/>
      <c r="W49" s="619"/>
      <c r="X49" s="619"/>
      <c r="Y49" s="619"/>
      <c r="Z49" s="619"/>
      <c r="AA49" s="619"/>
      <c r="AB49" s="619"/>
      <c r="AC49" s="619"/>
      <c r="AD49" s="621">
        <f>AD32/AA32-1</f>
        <v>0</v>
      </c>
      <c r="AE49" s="621"/>
      <c r="AF49" s="621"/>
      <c r="AG49" s="625">
        <v>0.90285714285714302</v>
      </c>
      <c r="AH49" s="621"/>
      <c r="AI49" s="621"/>
      <c r="AJ49" s="625">
        <v>0.69669669669669676</v>
      </c>
      <c r="AK49" s="625">
        <v>1.5069124423963132</v>
      </c>
      <c r="AL49" s="625">
        <v>1.1350574712643673</v>
      </c>
      <c r="AM49" s="625">
        <v>1.2778761061946899</v>
      </c>
      <c r="AN49" s="621">
        <v>0.41372549019607829</v>
      </c>
      <c r="AO49" s="621">
        <v>0.18032786885245944</v>
      </c>
      <c r="AP49" s="621">
        <v>0.28111769686706189</v>
      </c>
    </row>
    <row r="50" spans="2:57" hidden="1" outlineLevel="1">
      <c r="B50" s="624"/>
      <c r="C50" s="619"/>
      <c r="D50" s="619"/>
      <c r="E50" s="619"/>
      <c r="F50" s="619"/>
      <c r="G50" s="619"/>
      <c r="H50" s="619"/>
      <c r="I50" s="619"/>
      <c r="J50" s="619"/>
      <c r="K50" s="619"/>
      <c r="L50" s="619"/>
      <c r="M50" s="619"/>
      <c r="N50" s="619"/>
      <c r="O50" s="619"/>
      <c r="P50" s="619"/>
      <c r="Q50" s="619"/>
      <c r="R50" s="619"/>
      <c r="S50" s="619"/>
      <c r="T50" s="619"/>
      <c r="U50" s="619"/>
      <c r="V50" s="619"/>
      <c r="W50" s="619"/>
      <c r="X50" s="619"/>
      <c r="Y50" s="619"/>
      <c r="Z50" s="619"/>
      <c r="AA50" s="619"/>
      <c r="AB50" s="619"/>
      <c r="AC50" s="619"/>
      <c r="AD50" s="621"/>
      <c r="AE50" s="621"/>
      <c r="AF50" s="621"/>
      <c r="AG50" s="625"/>
      <c r="AH50" s="621"/>
      <c r="AI50" s="621"/>
      <c r="AJ50" s="625"/>
      <c r="AK50" s="625"/>
      <c r="AL50" s="625"/>
      <c r="AM50" s="625"/>
      <c r="AN50" s="621"/>
      <c r="AO50" s="621"/>
      <c r="AP50" s="621"/>
    </row>
    <row r="51" spans="2:57" hidden="1" outlineLevel="1">
      <c r="B51" s="624" t="str">
        <f>B36&amp;" - growth"</f>
        <v>Total Revenue - growth</v>
      </c>
      <c r="C51" s="619"/>
      <c r="D51" s="619"/>
      <c r="E51" s="619"/>
      <c r="F51" s="619"/>
      <c r="G51" s="619"/>
      <c r="H51" s="619"/>
      <c r="I51" s="619"/>
      <c r="J51" s="619"/>
      <c r="K51" s="619"/>
      <c r="L51" s="619"/>
      <c r="M51" s="619"/>
      <c r="N51" s="619"/>
      <c r="O51" s="619"/>
      <c r="P51" s="619"/>
      <c r="Q51" s="619"/>
      <c r="R51" s="619"/>
      <c r="S51" s="619"/>
      <c r="T51" s="619"/>
      <c r="U51" s="619"/>
      <c r="V51" s="619"/>
      <c r="W51" s="619"/>
      <c r="X51" s="619"/>
      <c r="Y51" s="619"/>
      <c r="Z51" s="619"/>
      <c r="AA51" s="619"/>
      <c r="AB51" s="619"/>
      <c r="AC51" s="619"/>
      <c r="AD51" s="621">
        <f>AD36/AA36-1</f>
        <v>0</v>
      </c>
      <c r="AE51" s="621"/>
      <c r="AF51" s="621"/>
      <c r="AG51" s="625">
        <v>0.48886737657308821</v>
      </c>
      <c r="AH51" s="621"/>
      <c r="AI51" s="621"/>
      <c r="AJ51" s="625">
        <v>0.44083224967490242</v>
      </c>
      <c r="AK51" s="625">
        <v>0.67773019271948587</v>
      </c>
      <c r="AL51" s="625">
        <v>0.49453978159126355</v>
      </c>
      <c r="AM51" s="625">
        <v>0.57175090252707572</v>
      </c>
      <c r="AN51" s="621">
        <v>0.3133375877472877</v>
      </c>
      <c r="AO51" s="621">
        <v>0.16814621409921671</v>
      </c>
      <c r="AP51" s="621">
        <v>0.23348650201033894</v>
      </c>
    </row>
    <row r="52" spans="2:57" hidden="1" outlineLevel="1">
      <c r="B52" s="616"/>
      <c r="C52" s="616"/>
      <c r="D52" s="616"/>
      <c r="E52" s="616"/>
      <c r="F52" s="616"/>
      <c r="G52" s="616"/>
      <c r="H52" s="616"/>
      <c r="I52" s="616"/>
      <c r="J52" s="616"/>
      <c r="K52" s="616"/>
      <c r="L52" s="616"/>
      <c r="M52" s="616"/>
      <c r="N52" s="616"/>
      <c r="O52" s="616"/>
      <c r="P52" s="616"/>
      <c r="Q52" s="616"/>
      <c r="R52" s="616"/>
      <c r="S52" s="616"/>
      <c r="T52" s="616"/>
      <c r="U52" s="616"/>
      <c r="V52" s="616"/>
      <c r="W52" s="616"/>
      <c r="X52" s="616"/>
      <c r="Y52" s="616"/>
      <c r="Z52" s="616"/>
      <c r="AA52" s="616"/>
      <c r="AB52" s="616"/>
      <c r="AC52" s="616"/>
      <c r="AD52" s="616"/>
      <c r="AE52" s="616"/>
      <c r="AF52" s="616"/>
      <c r="AG52" s="616"/>
      <c r="AH52" s="616"/>
      <c r="AI52" s="616"/>
      <c r="AJ52" s="616"/>
      <c r="AK52" s="616"/>
      <c r="AL52" s="616"/>
      <c r="AM52" s="616"/>
    </row>
    <row r="53" spans="2:57" hidden="1" outlineLevel="1">
      <c r="B53" s="619" t="s">
        <v>699</v>
      </c>
      <c r="C53" s="616"/>
      <c r="D53" s="616"/>
      <c r="E53" s="616"/>
      <c r="F53" s="616"/>
      <c r="G53" s="616"/>
      <c r="H53" s="616"/>
      <c r="I53" s="616"/>
      <c r="J53" s="616"/>
      <c r="K53" s="616"/>
      <c r="L53" s="616"/>
      <c r="M53" s="616"/>
      <c r="N53" s="616"/>
      <c r="O53" s="616"/>
      <c r="P53" s="616"/>
      <c r="Q53" s="616"/>
      <c r="R53" s="616"/>
      <c r="S53" s="616"/>
      <c r="T53" s="616"/>
      <c r="U53" s="616"/>
      <c r="V53" s="616"/>
      <c r="W53" s="616"/>
      <c r="X53" s="616"/>
      <c r="Y53" s="616"/>
      <c r="Z53" s="616"/>
      <c r="AA53" s="616"/>
      <c r="AB53" s="616"/>
      <c r="AC53" s="616"/>
      <c r="AD53" s="616"/>
      <c r="AE53" s="616"/>
      <c r="AF53" s="616"/>
      <c r="AG53" s="616"/>
      <c r="AH53" s="616"/>
      <c r="AI53" s="616"/>
      <c r="AJ53" s="616"/>
      <c r="AK53" s="616"/>
      <c r="AL53" s="616"/>
      <c r="AM53" s="616"/>
    </row>
    <row r="54" spans="2:57" hidden="1" outlineLevel="1">
      <c r="B54" s="619" t="s">
        <v>646</v>
      </c>
      <c r="C54" s="616"/>
      <c r="D54" s="616"/>
      <c r="E54" s="616"/>
      <c r="F54" s="616"/>
      <c r="G54" s="616"/>
      <c r="H54" s="616"/>
      <c r="I54" s="616"/>
      <c r="J54" s="616"/>
      <c r="K54" s="616"/>
      <c r="L54" s="616"/>
      <c r="M54" s="616"/>
      <c r="N54" s="616"/>
      <c r="O54" s="616"/>
      <c r="P54" s="616"/>
      <c r="Q54" s="616"/>
      <c r="R54" s="616"/>
      <c r="S54" s="616"/>
      <c r="T54" s="616"/>
      <c r="U54" s="616"/>
      <c r="V54" s="616"/>
      <c r="W54" s="616"/>
      <c r="X54" s="616"/>
      <c r="Y54" s="616"/>
      <c r="Z54" s="616"/>
      <c r="AA54" s="616"/>
      <c r="AB54" s="616"/>
      <c r="AC54" s="616"/>
      <c r="AD54" s="616"/>
      <c r="AE54" s="616"/>
      <c r="AF54" s="616"/>
      <c r="AG54" s="616"/>
      <c r="AH54" s="616"/>
      <c r="AI54" s="616"/>
      <c r="AJ54" s="616"/>
      <c r="AK54" s="616"/>
      <c r="AL54" s="616"/>
      <c r="AM54" s="616"/>
    </row>
    <row r="55" spans="2:57" hidden="1" outlineLevel="1">
      <c r="B55" s="616" t="s">
        <v>523</v>
      </c>
      <c r="C55" s="616"/>
      <c r="D55" s="616"/>
      <c r="E55" s="616"/>
      <c r="F55" s="616"/>
      <c r="G55" s="616"/>
      <c r="H55" s="616"/>
      <c r="I55" s="616"/>
      <c r="J55" s="616"/>
      <c r="K55" s="616"/>
      <c r="L55" s="616"/>
      <c r="M55" s="616"/>
      <c r="N55" s="616"/>
      <c r="O55" s="616"/>
      <c r="P55" s="616"/>
      <c r="Q55" s="616"/>
      <c r="R55" s="616"/>
      <c r="S55" s="616"/>
      <c r="T55" s="616"/>
      <c r="U55" s="616"/>
      <c r="V55" s="616"/>
      <c r="W55" s="616"/>
      <c r="X55" s="616"/>
      <c r="Y55" s="616"/>
      <c r="Z55" s="616"/>
      <c r="AA55" s="616"/>
      <c r="AB55" s="616"/>
      <c r="AC55" s="616"/>
      <c r="AD55" s="616"/>
      <c r="AE55" s="616"/>
      <c r="AF55" s="616"/>
      <c r="AG55" s="616"/>
      <c r="AH55" s="616"/>
      <c r="AI55" s="616"/>
      <c r="AJ55" s="616"/>
      <c r="AK55" s="616"/>
      <c r="AL55" s="616"/>
      <c r="AM55" s="534"/>
    </row>
    <row r="56" spans="2:57" hidden="1" outlineLevel="1">
      <c r="B56" s="616" t="s">
        <v>705</v>
      </c>
      <c r="C56" s="616"/>
      <c r="D56" s="616"/>
      <c r="E56" s="616"/>
      <c r="F56" s="616"/>
      <c r="G56" s="616"/>
      <c r="H56" s="616"/>
      <c r="I56" s="616"/>
      <c r="J56" s="616"/>
      <c r="K56" s="616"/>
      <c r="L56" s="616"/>
      <c r="M56" s="616"/>
      <c r="N56" s="616"/>
      <c r="O56" s="616"/>
      <c r="P56" s="616"/>
      <c r="Q56" s="616"/>
      <c r="R56" s="616"/>
      <c r="S56" s="616"/>
      <c r="T56" s="616"/>
      <c r="U56" s="616"/>
      <c r="V56" s="616"/>
      <c r="W56" s="616"/>
      <c r="X56" s="616"/>
      <c r="Y56" s="616"/>
      <c r="Z56" s="616"/>
      <c r="AA56" s="616"/>
      <c r="AB56" s="616"/>
      <c r="AC56" s="616"/>
      <c r="AD56" s="616"/>
      <c r="AE56" s="616"/>
      <c r="AF56" s="616"/>
      <c r="AG56" s="616"/>
      <c r="AH56" s="616"/>
      <c r="AI56" s="616"/>
      <c r="AJ56" s="616"/>
      <c r="AK56" s="616"/>
      <c r="AL56" s="616"/>
      <c r="AM56" s="534"/>
    </row>
    <row r="57" spans="2:57" hidden="1" outlineLevel="1">
      <c r="B57" s="616" t="s">
        <v>184</v>
      </c>
      <c r="C57" s="616"/>
      <c r="D57" s="616"/>
      <c r="E57" s="616"/>
      <c r="F57" s="616"/>
      <c r="G57" s="616"/>
      <c r="H57" s="616"/>
      <c r="I57" s="616"/>
      <c r="J57" s="616"/>
      <c r="K57" s="616"/>
      <c r="L57" s="616"/>
      <c r="M57" s="616"/>
      <c r="N57" s="616"/>
      <c r="O57" s="616"/>
      <c r="P57" s="616"/>
      <c r="Q57" s="616"/>
      <c r="R57" s="616"/>
      <c r="S57" s="616"/>
      <c r="T57" s="616"/>
      <c r="U57" s="616"/>
      <c r="V57" s="616"/>
      <c r="W57" s="616"/>
      <c r="X57" s="616"/>
      <c r="Y57" s="616"/>
      <c r="Z57" s="616"/>
      <c r="AA57" s="616"/>
      <c r="AB57" s="616"/>
      <c r="AC57" s="616"/>
      <c r="AD57" s="616"/>
      <c r="AE57" s="616"/>
      <c r="AF57" s="616"/>
      <c r="AG57" s="616"/>
      <c r="AH57" s="616"/>
      <c r="AI57" s="616"/>
      <c r="AJ57" s="616"/>
      <c r="AK57" s="616"/>
      <c r="AL57" s="616"/>
      <c r="AM57" s="616"/>
    </row>
    <row r="58" spans="2:57" hidden="1" outlineLevel="1">
      <c r="B58" s="616"/>
      <c r="C58" s="616"/>
      <c r="D58" s="616"/>
      <c r="E58" s="616"/>
      <c r="F58" s="616"/>
      <c r="G58" s="616"/>
      <c r="H58" s="616"/>
      <c r="I58" s="616"/>
      <c r="J58" s="616"/>
      <c r="K58" s="616"/>
      <c r="L58" s="616"/>
      <c r="M58" s="616"/>
      <c r="N58" s="616"/>
      <c r="O58" s="616"/>
      <c r="P58" s="616"/>
      <c r="Q58" s="616"/>
      <c r="R58" s="616"/>
      <c r="S58" s="616"/>
      <c r="T58" s="616"/>
      <c r="U58" s="616"/>
      <c r="V58" s="616"/>
      <c r="W58" s="616"/>
      <c r="X58" s="616"/>
      <c r="Y58" s="616"/>
      <c r="Z58" s="616"/>
      <c r="AA58" s="616"/>
      <c r="AB58" s="616"/>
      <c r="AC58" s="616"/>
      <c r="AD58" s="616"/>
      <c r="AE58" s="616"/>
      <c r="AF58" s="616"/>
      <c r="AG58" s="616"/>
      <c r="AH58" s="616"/>
      <c r="AI58" s="616"/>
      <c r="AJ58" s="616"/>
      <c r="AK58" s="616"/>
      <c r="AL58" s="616"/>
      <c r="AM58" s="616"/>
    </row>
    <row r="59" spans="2:57" hidden="1" outlineLevel="1">
      <c r="B59" s="619" t="s">
        <v>706</v>
      </c>
      <c r="C59" s="616"/>
      <c r="D59" s="616"/>
      <c r="E59" s="616"/>
      <c r="F59" s="616"/>
      <c r="G59" s="616"/>
      <c r="H59" s="616"/>
      <c r="I59" s="616"/>
      <c r="J59" s="616"/>
      <c r="K59" s="616"/>
      <c r="L59" s="616"/>
      <c r="M59" s="616"/>
      <c r="N59" s="616"/>
      <c r="O59" s="616"/>
      <c r="P59" s="616"/>
      <c r="Q59" s="616"/>
      <c r="R59" s="616"/>
      <c r="S59" s="616"/>
      <c r="T59" s="616"/>
      <c r="U59" s="616"/>
      <c r="V59" s="616"/>
      <c r="W59" s="616"/>
      <c r="X59" s="616"/>
      <c r="Y59" s="616"/>
      <c r="Z59" s="616"/>
      <c r="AA59" s="616"/>
      <c r="AB59" s="616"/>
      <c r="AC59" s="616"/>
      <c r="AD59" s="616"/>
      <c r="AE59" s="616"/>
      <c r="AF59" s="616"/>
      <c r="AG59" s="616"/>
      <c r="AH59" s="616"/>
      <c r="AI59" s="616"/>
      <c r="AJ59" s="616"/>
      <c r="AK59" s="616"/>
      <c r="AL59" s="616"/>
      <c r="AM59" s="616"/>
    </row>
    <row r="60" spans="2:57" hidden="1" outlineLevel="1">
      <c r="B60" s="616" t="s">
        <v>342</v>
      </c>
      <c r="C60" s="616"/>
      <c r="D60" s="616"/>
      <c r="E60" s="616"/>
      <c r="F60" s="616"/>
      <c r="G60" s="616"/>
      <c r="H60" s="616"/>
      <c r="I60" s="616"/>
      <c r="J60" s="616"/>
      <c r="K60" s="616"/>
      <c r="L60" s="616"/>
      <c r="M60" s="616"/>
      <c r="N60" s="616"/>
      <c r="O60" s="616"/>
      <c r="P60" s="616"/>
      <c r="Q60" s="616"/>
      <c r="R60" s="616"/>
      <c r="S60" s="616"/>
      <c r="T60" s="616"/>
      <c r="U60" s="616"/>
      <c r="V60" s="616"/>
      <c r="W60" s="616"/>
      <c r="X60" s="616"/>
      <c r="Y60" s="616"/>
      <c r="Z60" s="616"/>
      <c r="AA60" s="616"/>
      <c r="AB60" s="616"/>
      <c r="AC60" s="616"/>
      <c r="AD60" s="628">
        <v>7.8</v>
      </c>
      <c r="AE60" s="616"/>
      <c r="AF60" s="616"/>
      <c r="AG60" s="628">
        <v>7.5</v>
      </c>
      <c r="AH60" s="616"/>
      <c r="AI60" s="616"/>
      <c r="AJ60" s="628">
        <f>44.6-AJ61</f>
        <v>12.5</v>
      </c>
      <c r="AK60" s="628">
        <f>30.6-AK61</f>
        <v>5.1000000000000014</v>
      </c>
      <c r="AL60" s="616">
        <f>AM60-AK60</f>
        <v>2.6000000000000014</v>
      </c>
      <c r="AM60" s="628">
        <f>54.5-AM61</f>
        <v>7.7000000000000028</v>
      </c>
      <c r="AN60" s="628">
        <f>24.3-AN61</f>
        <v>7.3000000000000007</v>
      </c>
      <c r="AO60" s="616">
        <f>AP60-AN60</f>
        <v>5.0999999999999996</v>
      </c>
      <c r="AP60" s="628">
        <v>12.4</v>
      </c>
      <c r="AQ60" s="632">
        <f>23.5-AQ61</f>
        <v>6</v>
      </c>
      <c r="AR60" s="616">
        <f>AS60-AQ60</f>
        <v>10.399999999999999</v>
      </c>
      <c r="AS60" s="628">
        <v>16.399999999999999</v>
      </c>
      <c r="AT60" s="628">
        <f>12.5-0.7</f>
        <v>11.8</v>
      </c>
      <c r="AU60" s="616">
        <f>AV60-AT60</f>
        <v>27.8</v>
      </c>
      <c r="AV60" s="628">
        <f>39.6</f>
        <v>39.6</v>
      </c>
      <c r="AW60" s="628">
        <v>14.2</v>
      </c>
      <c r="AX60" s="616">
        <f>AY60-AW60</f>
        <v>-9.9999999999999645E-2</v>
      </c>
      <c r="AY60" s="628">
        <v>14.1</v>
      </c>
      <c r="AZ60" s="330">
        <v>5.7</v>
      </c>
      <c r="BA60" s="616"/>
      <c r="BB60" s="628">
        <v>19</v>
      </c>
      <c r="BC60" s="330">
        <v>8.6</v>
      </c>
      <c r="BD60" s="129">
        <f>+BE60-BC60</f>
        <v>3.2000000000000011</v>
      </c>
      <c r="BE60" s="330">
        <v>11.8</v>
      </c>
    </row>
    <row r="61" spans="2:57" hidden="1" outlineLevel="1">
      <c r="B61" s="616" t="s">
        <v>343</v>
      </c>
      <c r="C61" s="616"/>
      <c r="D61" s="616"/>
      <c r="E61" s="616"/>
      <c r="F61" s="616"/>
      <c r="G61" s="616"/>
      <c r="H61" s="616"/>
      <c r="I61" s="616"/>
      <c r="J61" s="616"/>
      <c r="K61" s="616"/>
      <c r="L61" s="616"/>
      <c r="M61" s="616"/>
      <c r="N61" s="616"/>
      <c r="O61" s="616"/>
      <c r="P61" s="616"/>
      <c r="Q61" s="616"/>
      <c r="R61" s="616"/>
      <c r="S61" s="616"/>
      <c r="T61" s="616"/>
      <c r="U61" s="616"/>
      <c r="V61" s="616"/>
      <c r="W61" s="616"/>
      <c r="X61" s="616"/>
      <c r="Y61" s="616"/>
      <c r="Z61" s="616"/>
      <c r="AA61" s="616"/>
      <c r="AB61" s="616"/>
      <c r="AC61" s="616"/>
      <c r="AD61" s="628">
        <v>15.1</v>
      </c>
      <c r="AE61" s="616"/>
      <c r="AF61" s="616"/>
      <c r="AG61" s="628">
        <v>27.2</v>
      </c>
      <c r="AH61" s="616"/>
      <c r="AI61" s="616"/>
      <c r="AJ61" s="628">
        <v>32.1</v>
      </c>
      <c r="AK61" s="628">
        <v>25.5</v>
      </c>
      <c r="AL61" s="616">
        <f>AM61-AK61</f>
        <v>21.299999999999997</v>
      </c>
      <c r="AM61" s="628">
        <v>46.8</v>
      </c>
      <c r="AN61" s="628">
        <v>17</v>
      </c>
      <c r="AO61" s="616">
        <f>AP61-AN61</f>
        <v>14</v>
      </c>
      <c r="AP61" s="628">
        <v>31</v>
      </c>
      <c r="AQ61" s="628">
        <v>17.5</v>
      </c>
      <c r="AR61" s="616">
        <f>AS61-AQ61</f>
        <v>34.700000000000003</v>
      </c>
      <c r="AS61" s="628">
        <v>52.2</v>
      </c>
      <c r="AT61" s="628">
        <v>37.299999999999997</v>
      </c>
      <c r="AU61" s="616">
        <f>AV61-AT61</f>
        <v>45.400000000000006</v>
      </c>
      <c r="AV61" s="628">
        <v>82.7</v>
      </c>
      <c r="AW61" s="628">
        <v>74.099999999999994</v>
      </c>
      <c r="AX61" s="616">
        <f>AY61-AW61</f>
        <v>53.600000000000009</v>
      </c>
      <c r="AY61" s="628">
        <v>127.7</v>
      </c>
      <c r="AZ61" s="330">
        <v>33.700000000000003</v>
      </c>
      <c r="BA61" s="616"/>
      <c r="BB61" s="628">
        <v>100.2</v>
      </c>
      <c r="BC61" s="330">
        <v>44.7</v>
      </c>
      <c r="BD61" s="129">
        <f t="shared" ref="BD61:BD63" si="17">+BE61-BC61</f>
        <v>38</v>
      </c>
      <c r="BE61" s="330">
        <v>82.7</v>
      </c>
    </row>
    <row r="62" spans="2:57" hidden="1" outlineLevel="1">
      <c r="B62" s="616" t="s">
        <v>344</v>
      </c>
      <c r="C62" s="616"/>
      <c r="D62" s="616"/>
      <c r="E62" s="616"/>
      <c r="F62" s="616"/>
      <c r="G62" s="616"/>
      <c r="H62" s="616"/>
      <c r="I62" s="616"/>
      <c r="J62" s="616"/>
      <c r="K62" s="616"/>
      <c r="L62" s="616"/>
      <c r="M62" s="616"/>
      <c r="N62" s="616"/>
      <c r="O62" s="616"/>
      <c r="P62" s="616"/>
      <c r="Q62" s="616"/>
      <c r="R62" s="616"/>
      <c r="S62" s="616"/>
      <c r="T62" s="616"/>
      <c r="U62" s="616"/>
      <c r="V62" s="616"/>
      <c r="W62" s="616"/>
      <c r="X62" s="616"/>
      <c r="Y62" s="616"/>
      <c r="Z62" s="616"/>
      <c r="AA62" s="616"/>
      <c r="AB62" s="616"/>
      <c r="AC62" s="616"/>
      <c r="AD62" s="628">
        <v>0.8</v>
      </c>
      <c r="AE62" s="616"/>
      <c r="AF62" s="616"/>
      <c r="AG62" s="628">
        <v>15.8</v>
      </c>
      <c r="AH62" s="616"/>
      <c r="AI62" s="616"/>
      <c r="AJ62" s="628">
        <v>23.2</v>
      </c>
      <c r="AK62" s="628">
        <f>2.2+14.6+15.9</f>
        <v>32.700000000000003</v>
      </c>
      <c r="AL62" s="616">
        <f>AM62-AK62</f>
        <v>39.499999999999986</v>
      </c>
      <c r="AM62" s="628">
        <f>3.2+19.7+49.3</f>
        <v>72.199999999999989</v>
      </c>
      <c r="AN62" s="628">
        <f>1.9+22.6+0.4</f>
        <v>24.9</v>
      </c>
      <c r="AO62" s="616">
        <f>AP62-AN62</f>
        <v>12.800000000000004</v>
      </c>
      <c r="AP62" s="628">
        <f>27.6+10.3-0.2</f>
        <v>37.700000000000003</v>
      </c>
      <c r="AQ62" s="628">
        <f>10.4+0.1-1.2</f>
        <v>9.3000000000000007</v>
      </c>
      <c r="AR62" s="616">
        <f>AS62-AQ62</f>
        <v>0.19999999999999929</v>
      </c>
      <c r="AS62" s="628">
        <f>10.5+0.4-1.4</f>
        <v>9.5</v>
      </c>
      <c r="AT62" s="628">
        <f>1.5+0.2+0.7</f>
        <v>2.4</v>
      </c>
      <c r="AU62" s="616">
        <f>AV62-AT62</f>
        <v>9.5</v>
      </c>
      <c r="AV62" s="628">
        <f>10.1+1.8</f>
        <v>11.9</v>
      </c>
      <c r="AW62" s="628">
        <f>5.7+1</f>
        <v>6.7</v>
      </c>
      <c r="AX62" s="616">
        <f>AY62-AW62</f>
        <v>27.999999999999996</v>
      </c>
      <c r="AY62" s="628">
        <f>42.8-8.1</f>
        <v>34.699999999999996</v>
      </c>
      <c r="AZ62" s="628">
        <v>53</v>
      </c>
      <c r="BA62" s="616"/>
      <c r="BB62" s="628">
        <v>81.099999999999994</v>
      </c>
      <c r="BC62" s="330">
        <v>4.0999999999999996</v>
      </c>
      <c r="BD62" s="129">
        <f t="shared" si="17"/>
        <v>8.2000000000000011</v>
      </c>
      <c r="BE62" s="330">
        <v>12.3</v>
      </c>
    </row>
    <row r="63" spans="2:57" hidden="1" outlineLevel="1">
      <c r="B63" s="616" t="s">
        <v>682</v>
      </c>
      <c r="C63" s="616"/>
      <c r="D63" s="616"/>
      <c r="E63" s="616"/>
      <c r="F63" s="616"/>
      <c r="G63" s="616"/>
      <c r="H63" s="616"/>
      <c r="I63" s="616"/>
      <c r="J63" s="616"/>
      <c r="K63" s="616"/>
      <c r="L63" s="616"/>
      <c r="M63" s="616"/>
      <c r="N63" s="616"/>
      <c r="O63" s="616"/>
      <c r="P63" s="616"/>
      <c r="Q63" s="616"/>
      <c r="R63" s="616"/>
      <c r="S63" s="616"/>
      <c r="T63" s="616"/>
      <c r="U63" s="616"/>
      <c r="V63" s="616"/>
      <c r="W63" s="616"/>
      <c r="X63" s="616"/>
      <c r="Y63" s="616"/>
      <c r="Z63" s="616"/>
      <c r="AA63" s="616"/>
      <c r="AB63" s="616"/>
      <c r="AC63" s="616"/>
      <c r="AD63" s="616"/>
      <c r="AE63" s="616"/>
      <c r="AF63" s="616"/>
      <c r="AG63" s="616"/>
      <c r="AH63" s="616"/>
      <c r="AI63" s="616"/>
      <c r="AJ63" s="616"/>
      <c r="AK63" s="616"/>
      <c r="AL63" s="616"/>
      <c r="AM63" s="616"/>
      <c r="AN63" s="616"/>
      <c r="AO63" s="616"/>
      <c r="AP63" s="616"/>
      <c r="AQ63" s="616"/>
      <c r="AR63" s="616"/>
      <c r="AS63" s="616"/>
      <c r="AT63" s="628">
        <v>-9.1999999999999993</v>
      </c>
      <c r="AU63" s="633">
        <f>AV63-AT63</f>
        <v>-0.20000000000000107</v>
      </c>
      <c r="AV63" s="634">
        <v>-9.4</v>
      </c>
      <c r="AW63" s="628">
        <v>2.2999999999999998</v>
      </c>
      <c r="AX63" s="633">
        <f>AY63-AW63</f>
        <v>5.8999999999999995</v>
      </c>
      <c r="AY63" s="634">
        <v>8.1999999999999993</v>
      </c>
      <c r="AZ63" s="628">
        <v>8.1</v>
      </c>
      <c r="BA63" s="633"/>
      <c r="BB63" s="634">
        <v>20.399999999999999</v>
      </c>
      <c r="BC63" s="330">
        <v>-0.6</v>
      </c>
      <c r="BD63" s="129">
        <f t="shared" si="17"/>
        <v>-1.7999999999999998</v>
      </c>
      <c r="BE63" s="330">
        <v>-2.4</v>
      </c>
    </row>
    <row r="64" spans="2:57" hidden="1" outlineLevel="1">
      <c r="B64" s="616"/>
      <c r="C64" s="616"/>
      <c r="D64" s="616"/>
      <c r="E64" s="616"/>
      <c r="F64" s="616"/>
      <c r="G64" s="616"/>
      <c r="H64" s="616"/>
      <c r="I64" s="616"/>
      <c r="J64" s="616"/>
      <c r="K64" s="616"/>
      <c r="L64" s="616"/>
      <c r="M64" s="616"/>
      <c r="N64" s="616"/>
      <c r="O64" s="616"/>
      <c r="P64" s="616"/>
      <c r="Q64" s="616"/>
      <c r="R64" s="616"/>
      <c r="S64" s="616"/>
      <c r="T64" s="616"/>
      <c r="U64" s="616"/>
      <c r="V64" s="616"/>
      <c r="W64" s="616"/>
      <c r="X64" s="616"/>
      <c r="Y64" s="616"/>
      <c r="Z64" s="616"/>
      <c r="AA64" s="616"/>
      <c r="AB64" s="616"/>
      <c r="AC64" s="616"/>
      <c r="AD64" s="616"/>
      <c r="AE64" s="616"/>
      <c r="AF64" s="616"/>
      <c r="AG64" s="616"/>
      <c r="AH64" s="616"/>
      <c r="AI64" s="616"/>
      <c r="AJ64" s="616"/>
      <c r="AK64" s="616"/>
      <c r="AL64" s="616"/>
      <c r="AM64" s="616"/>
      <c r="AN64" s="616"/>
      <c r="AO64" s="616"/>
      <c r="AP64" s="616"/>
      <c r="AQ64" s="616"/>
      <c r="AR64" s="616"/>
      <c r="AS64" s="617"/>
      <c r="AT64" s="617"/>
      <c r="AU64" s="616"/>
      <c r="AV64" s="617"/>
      <c r="AW64" s="617"/>
      <c r="AX64" s="616"/>
      <c r="AY64" s="617"/>
      <c r="AZ64" s="617"/>
      <c r="BA64" s="616"/>
      <c r="BB64" s="617"/>
    </row>
    <row r="65" spans="1:60" hidden="1" outlineLevel="1">
      <c r="B65" s="616"/>
      <c r="C65" s="616"/>
      <c r="D65" s="616"/>
      <c r="E65" s="616"/>
      <c r="F65" s="616"/>
      <c r="G65" s="616"/>
      <c r="H65" s="616"/>
      <c r="I65" s="616"/>
      <c r="J65" s="616"/>
      <c r="K65" s="616"/>
      <c r="L65" s="616"/>
      <c r="M65" s="616"/>
      <c r="N65" s="616"/>
      <c r="O65" s="616"/>
      <c r="P65" s="616"/>
      <c r="Q65" s="616"/>
      <c r="R65" s="616"/>
      <c r="S65" s="616"/>
      <c r="T65" s="616"/>
      <c r="U65" s="616"/>
      <c r="V65" s="616"/>
      <c r="W65" s="616"/>
      <c r="X65" s="616"/>
      <c r="Y65" s="616"/>
      <c r="Z65" s="616"/>
      <c r="AA65" s="616"/>
      <c r="AB65" s="616"/>
      <c r="AC65" s="616"/>
      <c r="AD65" s="629"/>
      <c r="AE65" s="616"/>
      <c r="AF65" s="616"/>
      <c r="AG65" s="629"/>
      <c r="AH65" s="616"/>
      <c r="AI65" s="616"/>
      <c r="AJ65" s="629"/>
      <c r="AK65" s="630"/>
      <c r="AL65" s="630"/>
      <c r="AM65" s="631"/>
      <c r="AN65" s="630"/>
      <c r="AO65" s="630"/>
      <c r="AP65" s="631"/>
      <c r="AQ65" s="631"/>
      <c r="AR65" s="631"/>
      <c r="AS65" s="631"/>
      <c r="AT65" s="631"/>
      <c r="AU65" s="630"/>
      <c r="AV65" s="631"/>
      <c r="AW65" s="631"/>
      <c r="AX65" s="630"/>
      <c r="AY65" s="631"/>
      <c r="AZ65" s="631"/>
      <c r="BA65" s="630"/>
      <c r="BB65" s="631"/>
    </row>
    <row r="66" spans="1:60" hidden="1" outlineLevel="1">
      <c r="B66" s="616"/>
      <c r="C66" s="616"/>
      <c r="D66" s="616"/>
      <c r="E66" s="616"/>
      <c r="F66" s="616"/>
      <c r="G66" s="616"/>
      <c r="H66" s="616"/>
      <c r="I66" s="616"/>
      <c r="J66" s="616"/>
      <c r="K66" s="616"/>
      <c r="L66" s="616"/>
      <c r="M66" s="616"/>
      <c r="N66" s="616"/>
      <c r="O66" s="616"/>
      <c r="P66" s="616"/>
      <c r="Q66" s="616"/>
      <c r="R66" s="616"/>
      <c r="S66" s="616"/>
      <c r="T66" s="616"/>
      <c r="U66" s="616"/>
      <c r="V66" s="616"/>
      <c r="W66" s="616"/>
      <c r="X66" s="616"/>
      <c r="Y66" s="616"/>
      <c r="Z66" s="616"/>
      <c r="AA66" s="616"/>
      <c r="AB66" s="616"/>
      <c r="AC66" s="616"/>
      <c r="AD66" s="616"/>
      <c r="AE66" s="616"/>
      <c r="AF66" s="616"/>
      <c r="AG66" s="616"/>
      <c r="AH66" s="616"/>
      <c r="AI66" s="616"/>
      <c r="AJ66" s="616"/>
      <c r="AK66" s="616"/>
      <c r="AL66" s="616"/>
      <c r="AM66" s="616"/>
    </row>
    <row r="67" spans="1:60" hidden="1" outlineLevel="1">
      <c r="B67" s="616"/>
      <c r="C67" s="616"/>
      <c r="D67" s="616"/>
      <c r="E67" s="616"/>
      <c r="F67" s="616"/>
      <c r="G67" s="616"/>
      <c r="H67" s="616"/>
      <c r="I67" s="616"/>
      <c r="J67" s="616"/>
      <c r="K67" s="616"/>
      <c r="L67" s="616"/>
      <c r="M67" s="616"/>
      <c r="N67" s="616"/>
      <c r="O67" s="616"/>
      <c r="P67" s="616"/>
      <c r="Q67" s="616"/>
      <c r="R67" s="616"/>
      <c r="S67" s="616"/>
      <c r="T67" s="616"/>
      <c r="U67" s="616"/>
      <c r="V67" s="616"/>
      <c r="W67" s="616"/>
      <c r="X67" s="616"/>
      <c r="Y67" s="616"/>
      <c r="Z67" s="616"/>
      <c r="AA67" s="616"/>
      <c r="AB67" s="616"/>
      <c r="AC67" s="616"/>
      <c r="AD67" s="616"/>
      <c r="AE67" s="616"/>
      <c r="AF67" s="616"/>
      <c r="AG67" s="616"/>
      <c r="AH67" s="616"/>
      <c r="AI67" s="616"/>
      <c r="AJ67" s="616"/>
      <c r="AK67" s="616"/>
      <c r="AL67" s="616"/>
      <c r="AM67" s="616"/>
    </row>
    <row r="68" spans="1:60" collapsed="1">
      <c r="B68" s="306" t="s">
        <v>673</v>
      </c>
      <c r="C68" s="307"/>
      <c r="D68" s="307"/>
      <c r="E68" s="307"/>
      <c r="F68" s="307"/>
      <c r="G68" s="307"/>
      <c r="H68" s="307"/>
      <c r="I68" s="307"/>
      <c r="J68" s="307"/>
      <c r="K68" s="307"/>
      <c r="L68" s="307"/>
      <c r="M68" s="307"/>
      <c r="N68" s="307"/>
      <c r="O68" s="307"/>
      <c r="P68" s="307"/>
      <c r="Q68" s="307"/>
      <c r="R68" s="307"/>
      <c r="S68" s="307"/>
      <c r="T68" s="307"/>
      <c r="U68" s="307"/>
      <c r="V68" s="307"/>
      <c r="W68" s="307"/>
      <c r="X68" s="307"/>
      <c r="Y68" s="307"/>
      <c r="Z68" s="307"/>
      <c r="AA68" s="308"/>
      <c r="AB68" s="309"/>
      <c r="AC68" s="307"/>
      <c r="AD68" s="308"/>
      <c r="AE68" s="309"/>
      <c r="AF68" s="307"/>
      <c r="AG68" s="308"/>
      <c r="AH68" s="308"/>
      <c r="AI68" s="307"/>
      <c r="AJ68" s="308"/>
      <c r="AK68" s="308"/>
      <c r="AL68" s="307"/>
      <c r="AM68" s="308"/>
      <c r="AN68" s="308"/>
      <c r="AO68" s="310"/>
      <c r="AP68" s="308"/>
      <c r="AQ68" s="308"/>
      <c r="AR68" s="310"/>
      <c r="AS68" s="308"/>
      <c r="AT68" s="310"/>
      <c r="AU68" s="310"/>
      <c r="AV68" s="308"/>
      <c r="AW68" s="310"/>
      <c r="AX68" s="310"/>
      <c r="AY68" s="308"/>
      <c r="AZ68" s="310"/>
      <c r="BA68" s="310"/>
      <c r="BB68" s="308"/>
      <c r="BC68" s="308"/>
      <c r="BD68" s="310"/>
      <c r="BE68" s="308"/>
      <c r="BF68" s="310"/>
      <c r="BG68" s="310"/>
      <c r="BH68" s="310"/>
    </row>
    <row r="69" spans="1:60">
      <c r="B69" s="324"/>
      <c r="C69" s="311"/>
      <c r="D69" s="311"/>
      <c r="E69" s="311"/>
      <c r="F69" s="311"/>
      <c r="G69" s="311"/>
      <c r="H69" s="311"/>
      <c r="I69" s="311"/>
      <c r="J69" s="311"/>
      <c r="K69" s="311"/>
      <c r="L69" s="311"/>
      <c r="M69" s="311"/>
      <c r="N69" s="311"/>
      <c r="O69" s="311"/>
      <c r="P69" s="311"/>
      <c r="Q69" s="311"/>
      <c r="R69" s="311"/>
      <c r="S69" s="311"/>
      <c r="T69" s="311"/>
      <c r="U69" s="311"/>
      <c r="V69" s="311"/>
      <c r="W69" s="311"/>
      <c r="X69" s="311"/>
      <c r="Y69" s="311"/>
      <c r="Z69" s="311"/>
      <c r="AA69" s="311"/>
      <c r="AB69" s="311"/>
      <c r="AC69" s="311"/>
      <c r="AD69" s="311"/>
      <c r="AE69" s="313"/>
      <c r="AF69" s="311"/>
      <c r="AG69" s="312"/>
      <c r="AH69" s="312"/>
      <c r="AI69" s="311"/>
      <c r="AJ69" s="312"/>
      <c r="AK69" s="312"/>
      <c r="AL69" s="311"/>
      <c r="AM69" s="312"/>
      <c r="AN69" s="312"/>
      <c r="AO69" s="311"/>
      <c r="AP69" s="312"/>
      <c r="AQ69" s="312"/>
      <c r="AR69" s="311"/>
      <c r="AS69" s="312"/>
      <c r="AT69" s="312"/>
      <c r="AU69" s="295"/>
      <c r="AV69" s="312"/>
      <c r="AW69" s="312"/>
      <c r="AX69" s="295"/>
      <c r="AY69" s="312"/>
      <c r="AZ69" s="312"/>
      <c r="BA69" s="295"/>
      <c r="BB69" s="312"/>
      <c r="BC69" s="347"/>
      <c r="BD69" s="295"/>
      <c r="BE69" s="312"/>
      <c r="BF69" s="295"/>
      <c r="BG69" s="295"/>
      <c r="BH69" s="295"/>
    </row>
    <row r="70" spans="1:60" s="314" customFormat="1">
      <c r="A70" s="1097" t="s">
        <v>558</v>
      </c>
      <c r="B70" s="314" t="s">
        <v>522</v>
      </c>
      <c r="C70" s="315"/>
      <c r="D70" s="315"/>
      <c r="E70" s="315"/>
      <c r="F70" s="315"/>
      <c r="G70" s="315"/>
      <c r="H70" s="315"/>
      <c r="I70" s="315"/>
      <c r="J70" s="315"/>
      <c r="K70" s="315"/>
      <c r="L70" s="315"/>
      <c r="M70" s="315"/>
      <c r="N70" s="315"/>
      <c r="O70" s="315"/>
      <c r="P70" s="315"/>
      <c r="Q70" s="315"/>
      <c r="R70" s="315"/>
      <c r="S70" s="315"/>
      <c r="T70" s="315"/>
      <c r="U70" s="315"/>
      <c r="V70" s="315"/>
      <c r="W70" s="315"/>
      <c r="X70" s="315"/>
      <c r="Y70" s="315"/>
      <c r="Z70" s="315"/>
      <c r="AA70" s="315"/>
      <c r="AB70" s="315"/>
      <c r="AC70" s="315"/>
      <c r="AD70" s="315"/>
      <c r="AE70" s="317"/>
      <c r="AF70" s="315"/>
      <c r="AG70" s="316"/>
      <c r="AH70" s="316"/>
      <c r="AI70" s="315"/>
      <c r="AJ70" s="316"/>
      <c r="AK70" s="316"/>
      <c r="AL70" s="315"/>
      <c r="AM70" s="316"/>
      <c r="AN70" s="334">
        <v>91.8</v>
      </c>
      <c r="AO70" s="335">
        <f>+AP70-AN70</f>
        <v>94.7</v>
      </c>
      <c r="AP70" s="334">
        <v>186.5</v>
      </c>
      <c r="AQ70" s="334">
        <v>112.6</v>
      </c>
      <c r="AR70" s="335">
        <f>+AS70-AQ70</f>
        <v>146.20000000000002</v>
      </c>
      <c r="AS70" s="334">
        <v>258.8</v>
      </c>
      <c r="AT70" s="334">
        <v>149.19999999999999</v>
      </c>
      <c r="AU70" s="335">
        <f>+AV70-AT70</f>
        <v>191.3</v>
      </c>
      <c r="AV70" s="334">
        <v>340.5</v>
      </c>
      <c r="AW70" s="334">
        <v>203.1</v>
      </c>
      <c r="AX70" s="335">
        <f>+AY70-AW70</f>
        <v>242.79999999999998</v>
      </c>
      <c r="AY70" s="334">
        <v>445.9</v>
      </c>
      <c r="AZ70" s="334">
        <v>274.89999999999998</v>
      </c>
      <c r="BA70" s="335">
        <f>+BB70-AZ70</f>
        <v>302.80000000000007</v>
      </c>
      <c r="BB70" s="334">
        <v>577.70000000000005</v>
      </c>
      <c r="BC70" s="334">
        <v>331.7</v>
      </c>
      <c r="BD70" s="335">
        <f>+BE70-BC70</f>
        <v>350.50000000000006</v>
      </c>
      <c r="BE70" s="334">
        <v>682.2</v>
      </c>
      <c r="BF70" s="335">
        <f t="shared" ref="BF70:BH70" si="18">+BF136</f>
        <v>801.58500000000004</v>
      </c>
      <c r="BG70" s="335">
        <f t="shared" si="18"/>
        <v>1001.98125</v>
      </c>
      <c r="BH70" s="335">
        <f t="shared" si="18"/>
        <v>1242.4567500000001</v>
      </c>
    </row>
    <row r="71" spans="1:60" s="314" customFormat="1">
      <c r="A71" s="1097" t="s">
        <v>557</v>
      </c>
      <c r="B71" s="314" t="s">
        <v>674</v>
      </c>
      <c r="C71" s="315"/>
      <c r="D71" s="315"/>
      <c r="E71" s="315"/>
      <c r="F71" s="315"/>
      <c r="G71" s="315"/>
      <c r="H71" s="315"/>
      <c r="I71" s="315"/>
      <c r="J71" s="315"/>
      <c r="K71" s="315"/>
      <c r="L71" s="315"/>
      <c r="M71" s="315"/>
      <c r="N71" s="315"/>
      <c r="O71" s="315"/>
      <c r="P71" s="315"/>
      <c r="Q71" s="315"/>
      <c r="R71" s="315"/>
      <c r="S71" s="315"/>
      <c r="T71" s="315"/>
      <c r="U71" s="315"/>
      <c r="V71" s="315"/>
      <c r="W71" s="315"/>
      <c r="X71" s="315"/>
      <c r="Y71" s="315"/>
      <c r="Z71" s="315"/>
      <c r="AA71" s="315"/>
      <c r="AB71" s="315"/>
      <c r="AC71" s="315"/>
      <c r="AD71" s="315"/>
      <c r="AE71" s="317"/>
      <c r="AF71" s="315"/>
      <c r="AG71" s="316"/>
      <c r="AH71" s="316"/>
      <c r="AI71" s="315"/>
      <c r="AJ71" s="316"/>
      <c r="AK71" s="316"/>
      <c r="AL71" s="315"/>
      <c r="AM71" s="316"/>
      <c r="AN71" s="334">
        <v>49.5</v>
      </c>
      <c r="AO71" s="335">
        <f>+AP71-AN71</f>
        <v>51.900000000000006</v>
      </c>
      <c r="AP71" s="334">
        <v>101.4</v>
      </c>
      <c r="AQ71" s="334">
        <v>57.4</v>
      </c>
      <c r="AR71" s="335">
        <f>+AS71-AQ71</f>
        <v>60.800000000000004</v>
      </c>
      <c r="AS71" s="334">
        <v>118.2</v>
      </c>
      <c r="AT71" s="334">
        <v>58.5</v>
      </c>
      <c r="AU71" s="335">
        <f>+AV71-AT71</f>
        <v>61.900000000000006</v>
      </c>
      <c r="AV71" s="334">
        <v>120.4</v>
      </c>
      <c r="AW71" s="334">
        <v>52.2</v>
      </c>
      <c r="AX71" s="335">
        <f>+AY71-AW71</f>
        <v>54.099999999999994</v>
      </c>
      <c r="AY71" s="334">
        <v>106.3</v>
      </c>
      <c r="AZ71" s="334">
        <v>52.1</v>
      </c>
      <c r="BA71" s="335">
        <f>+BB71-AZ71</f>
        <v>53.800000000000004</v>
      </c>
      <c r="BB71" s="334">
        <v>105.9</v>
      </c>
      <c r="BC71" s="334">
        <v>49.3</v>
      </c>
      <c r="BD71" s="335">
        <f>+BE71-BC71</f>
        <v>47.2</v>
      </c>
      <c r="BE71" s="334">
        <v>96.5</v>
      </c>
      <c r="BF71" s="335">
        <f>+BF147</f>
        <v>614.12895397030002</v>
      </c>
      <c r="BG71" s="335">
        <f t="shared" ref="BG71:BH71" si="19">+BG147</f>
        <v>666.96128411076995</v>
      </c>
      <c r="BH71" s="335">
        <f t="shared" si="19"/>
        <v>681.35099305150095</v>
      </c>
    </row>
    <row r="72" spans="1:60" s="314" customFormat="1">
      <c r="A72" s="1097"/>
      <c r="B72" s="319" t="s">
        <v>106</v>
      </c>
      <c r="C72" s="320"/>
      <c r="D72" s="320"/>
      <c r="E72" s="320"/>
      <c r="F72" s="320"/>
      <c r="G72" s="320"/>
      <c r="H72" s="320"/>
      <c r="I72" s="320"/>
      <c r="J72" s="320"/>
      <c r="K72" s="320"/>
      <c r="L72" s="320"/>
      <c r="M72" s="320"/>
      <c r="N72" s="320"/>
      <c r="O72" s="320"/>
      <c r="P72" s="320"/>
      <c r="Q72" s="320"/>
      <c r="R72" s="320"/>
      <c r="S72" s="320"/>
      <c r="T72" s="320"/>
      <c r="U72" s="320"/>
      <c r="V72" s="320"/>
      <c r="W72" s="320"/>
      <c r="X72" s="320"/>
      <c r="Y72" s="320"/>
      <c r="Z72" s="320"/>
      <c r="AA72" s="320"/>
      <c r="AB72" s="320"/>
      <c r="AC72" s="320"/>
      <c r="AD72" s="320"/>
      <c r="AE72" s="320"/>
      <c r="AF72" s="320"/>
      <c r="AG72" s="320"/>
      <c r="AH72" s="320"/>
      <c r="AI72" s="320"/>
      <c r="AJ72" s="320"/>
      <c r="AK72" s="320"/>
      <c r="AL72" s="320"/>
      <c r="AM72" s="320"/>
      <c r="AN72" s="358">
        <f t="shared" ref="AN72:BH72" si="20">AN71+AN70</f>
        <v>141.30000000000001</v>
      </c>
      <c r="AO72" s="358">
        <f t="shared" si="20"/>
        <v>146.60000000000002</v>
      </c>
      <c r="AP72" s="358">
        <f t="shared" si="20"/>
        <v>287.89999999999998</v>
      </c>
      <c r="AQ72" s="358">
        <f t="shared" si="20"/>
        <v>170</v>
      </c>
      <c r="AR72" s="358">
        <f t="shared" si="20"/>
        <v>207.00000000000003</v>
      </c>
      <c r="AS72" s="358">
        <f t="shared" si="20"/>
        <v>377</v>
      </c>
      <c r="AT72" s="358">
        <f t="shared" si="20"/>
        <v>207.7</v>
      </c>
      <c r="AU72" s="358">
        <f t="shared" si="20"/>
        <v>253.20000000000002</v>
      </c>
      <c r="AV72" s="358">
        <f t="shared" si="20"/>
        <v>460.9</v>
      </c>
      <c r="AW72" s="358">
        <f t="shared" si="20"/>
        <v>255.3</v>
      </c>
      <c r="AX72" s="358">
        <f t="shared" si="20"/>
        <v>296.89999999999998</v>
      </c>
      <c r="AY72" s="358">
        <f t="shared" si="20"/>
        <v>552.19999999999993</v>
      </c>
      <c r="AZ72" s="358">
        <f t="shared" si="20"/>
        <v>327</v>
      </c>
      <c r="BA72" s="358">
        <f t="shared" si="20"/>
        <v>356.60000000000008</v>
      </c>
      <c r="BB72" s="358">
        <f t="shared" si="20"/>
        <v>683.6</v>
      </c>
      <c r="BC72" s="358">
        <f t="shared" ref="BC72:BE72" si="21">BC71+BC70</f>
        <v>381</v>
      </c>
      <c r="BD72" s="358">
        <f t="shared" si="21"/>
        <v>397.70000000000005</v>
      </c>
      <c r="BE72" s="358">
        <f t="shared" si="21"/>
        <v>778.7</v>
      </c>
      <c r="BF72" s="358">
        <f t="shared" si="20"/>
        <v>1415.7139539703001</v>
      </c>
      <c r="BG72" s="358">
        <f t="shared" si="20"/>
        <v>1668.9425341107699</v>
      </c>
      <c r="BH72" s="358">
        <f t="shared" si="20"/>
        <v>1923.8077430515009</v>
      </c>
    </row>
    <row r="73" spans="1:60">
      <c r="AN73" s="336"/>
      <c r="AO73" s="336"/>
      <c r="AP73" s="336"/>
      <c r="AQ73" s="336"/>
      <c r="AR73" s="336"/>
      <c r="AS73" s="336"/>
      <c r="AT73" s="336"/>
      <c r="AU73" s="336"/>
      <c r="AV73" s="336"/>
      <c r="AW73" s="336"/>
      <c r="AX73" s="336"/>
      <c r="AY73" s="336"/>
      <c r="AZ73" s="336"/>
      <c r="BA73" s="336"/>
      <c r="BB73" s="336"/>
      <c r="BC73" s="336"/>
      <c r="BD73" s="336"/>
      <c r="BE73" s="336"/>
      <c r="BF73" s="336"/>
      <c r="BG73" s="336"/>
      <c r="BH73" s="336"/>
    </row>
    <row r="74" spans="1:60">
      <c r="B74" s="372" t="s">
        <v>683</v>
      </c>
      <c r="AN74" s="336"/>
      <c r="AO74" s="336"/>
      <c r="AP74" s="336"/>
      <c r="AQ74" s="336"/>
      <c r="AR74" s="336"/>
      <c r="AS74" s="336"/>
      <c r="AT74" s="336"/>
      <c r="AU74" s="336"/>
      <c r="AV74" s="336"/>
      <c r="AW74" s="336"/>
      <c r="AX74" s="336"/>
      <c r="AY74" s="336"/>
      <c r="AZ74" s="336"/>
      <c r="BA74" s="336"/>
      <c r="BB74" s="336"/>
      <c r="BC74" s="336"/>
      <c r="BD74" s="336"/>
      <c r="BE74" s="336"/>
      <c r="BF74" s="336"/>
      <c r="BG74" s="336"/>
      <c r="BH74" s="336"/>
    </row>
    <row r="75" spans="1:60" s="338" customFormat="1">
      <c r="A75" s="337"/>
      <c r="B75" s="338" t="s">
        <v>522</v>
      </c>
      <c r="AA75" s="339"/>
      <c r="AB75" s="339"/>
      <c r="AC75" s="339"/>
      <c r="AD75" s="339"/>
      <c r="AE75" s="339"/>
      <c r="AF75" s="339"/>
      <c r="AG75" s="339"/>
      <c r="AH75" s="339"/>
      <c r="AI75" s="339"/>
      <c r="AJ75" s="339"/>
      <c r="AK75" s="339"/>
      <c r="AL75" s="339"/>
      <c r="AM75" s="339"/>
      <c r="AN75" s="662">
        <f t="shared" ref="AN75:AO75" si="22">+AN45</f>
        <v>0.26490066225165543</v>
      </c>
      <c r="AO75" s="662">
        <f t="shared" si="22"/>
        <v>0.16157556270096474</v>
      </c>
      <c r="AP75" s="662">
        <f>+AP45</f>
        <v>0.20903954802259883</v>
      </c>
      <c r="AQ75" s="359">
        <f t="shared" ref="AQ75:BC75" si="23">+AQ70/AN70-1</f>
        <v>0.22657952069716769</v>
      </c>
      <c r="AR75" s="359">
        <f t="shared" si="23"/>
        <v>0.54382259767687446</v>
      </c>
      <c r="AS75" s="359">
        <f t="shared" si="23"/>
        <v>0.3876675603217159</v>
      </c>
      <c r="AT75" s="359">
        <f t="shared" si="23"/>
        <v>0.32504440497335696</v>
      </c>
      <c r="AU75" s="359">
        <f t="shared" si="23"/>
        <v>0.30848153214774277</v>
      </c>
      <c r="AV75" s="359">
        <f t="shared" si="23"/>
        <v>0.31568778979907264</v>
      </c>
      <c r="AW75" s="359">
        <f t="shared" si="23"/>
        <v>0.36126005361930291</v>
      </c>
      <c r="AX75" s="359">
        <f t="shared" si="23"/>
        <v>0.26921066387872439</v>
      </c>
      <c r="AY75" s="359">
        <f t="shared" si="23"/>
        <v>0.30954478707782673</v>
      </c>
      <c r="AZ75" s="359">
        <f t="shared" si="23"/>
        <v>0.35352043328409644</v>
      </c>
      <c r="BA75" s="359">
        <f t="shared" si="23"/>
        <v>0.24711696869851774</v>
      </c>
      <c r="BB75" s="359">
        <f t="shared" si="23"/>
        <v>0.29558196905135703</v>
      </c>
      <c r="BC75" s="359">
        <f t="shared" si="23"/>
        <v>0.206620589305202</v>
      </c>
      <c r="BD75" s="359">
        <f t="shared" ref="BD75:BD77" si="24">+BD70/BA70-1</f>
        <v>0.15752972258916764</v>
      </c>
      <c r="BE75" s="359">
        <f t="shared" ref="BE75:BE77" si="25">+BE70/BB70-1</f>
        <v>0.18088973515665563</v>
      </c>
      <c r="BF75" s="373">
        <f t="shared" ref="BF75:BH75" si="26">+BF70/BE70-1</f>
        <v>0.17500000000000004</v>
      </c>
      <c r="BG75" s="373">
        <f t="shared" si="26"/>
        <v>0.25</v>
      </c>
      <c r="BH75" s="373">
        <f t="shared" si="26"/>
        <v>0.24</v>
      </c>
    </row>
    <row r="76" spans="1:60" s="338" customFormat="1">
      <c r="A76" s="337"/>
      <c r="B76" s="338" t="s">
        <v>674</v>
      </c>
      <c r="AA76" s="339"/>
      <c r="AB76" s="339"/>
      <c r="AC76" s="339"/>
      <c r="AD76" s="339"/>
      <c r="AE76" s="339"/>
      <c r="AF76" s="339"/>
      <c r="AG76" s="339"/>
      <c r="AH76" s="339"/>
      <c r="AI76" s="339"/>
      <c r="AJ76" s="339"/>
      <c r="AK76" s="339"/>
      <c r="AL76" s="339"/>
      <c r="AM76" s="339"/>
      <c r="AN76" s="662">
        <f>+AN49</f>
        <v>0.41372549019607829</v>
      </c>
      <c r="AO76" s="662">
        <f>+AO49</f>
        <v>0.18032786885245944</v>
      </c>
      <c r="AP76" s="662">
        <f>+AP49</f>
        <v>0.28111769686706189</v>
      </c>
      <c r="AQ76" s="359">
        <f t="shared" ref="AQ76:BC76" si="27">+AQ71/AN71-1</f>
        <v>0.15959595959595951</v>
      </c>
      <c r="AR76" s="359">
        <f t="shared" si="27"/>
        <v>0.17148362235067438</v>
      </c>
      <c r="AS76" s="359">
        <f t="shared" si="27"/>
        <v>0.16568047337278102</v>
      </c>
      <c r="AT76" s="359">
        <f t="shared" si="27"/>
        <v>1.9163763066202044E-2</v>
      </c>
      <c r="AU76" s="359">
        <f t="shared" si="27"/>
        <v>1.8092105263157965E-2</v>
      </c>
      <c r="AV76" s="359">
        <f t="shared" si="27"/>
        <v>1.8612521150592309E-2</v>
      </c>
      <c r="AW76" s="359">
        <f t="shared" si="27"/>
        <v>-0.10769230769230764</v>
      </c>
      <c r="AX76" s="359">
        <f t="shared" si="27"/>
        <v>-0.126009693053312</v>
      </c>
      <c r="AY76" s="359">
        <f t="shared" si="27"/>
        <v>-0.11710963455149503</v>
      </c>
      <c r="AZ76" s="359">
        <f t="shared" si="27"/>
        <v>-1.9157088122605526E-3</v>
      </c>
      <c r="BA76" s="359">
        <f t="shared" si="27"/>
        <v>-5.5452865064693491E-3</v>
      </c>
      <c r="BB76" s="359">
        <f t="shared" si="27"/>
        <v>-3.7629350893696456E-3</v>
      </c>
      <c r="BC76" s="673">
        <f t="shared" si="27"/>
        <v>-5.3742802303263004E-2</v>
      </c>
      <c r="BD76" s="359">
        <f t="shared" si="24"/>
        <v>-0.12267657992565062</v>
      </c>
      <c r="BE76" s="359">
        <f t="shared" si="25"/>
        <v>-8.8762983947120011E-2</v>
      </c>
      <c r="BF76" s="341">
        <v>-0.05</v>
      </c>
      <c r="BG76" s="341">
        <v>-0.05</v>
      </c>
      <c r="BH76" s="341">
        <v>-0.05</v>
      </c>
    </row>
    <row r="77" spans="1:60" s="342" customFormat="1">
      <c r="A77" s="1098"/>
      <c r="B77" s="342" t="s">
        <v>106</v>
      </c>
      <c r="AN77" s="663">
        <f>+AN51</f>
        <v>0.3133375877472877</v>
      </c>
      <c r="AO77" s="663">
        <f>+AO51</f>
        <v>0.16814621409921671</v>
      </c>
      <c r="AP77" s="663">
        <f>+AP51</f>
        <v>0.23348650201033894</v>
      </c>
      <c r="AQ77" s="360">
        <f>+AQ72/AN72-1</f>
        <v>0.20311394196744503</v>
      </c>
      <c r="AR77" s="360">
        <f t="shared" ref="AR77:BC77" si="28">+AR72/AO72-1</f>
        <v>0.41200545702592084</v>
      </c>
      <c r="AS77" s="360">
        <f t="shared" si="28"/>
        <v>0.30948245918721784</v>
      </c>
      <c r="AT77" s="360">
        <f t="shared" si="28"/>
        <v>0.22176470588235286</v>
      </c>
      <c r="AU77" s="360">
        <f t="shared" si="28"/>
        <v>0.22318840579710142</v>
      </c>
      <c r="AV77" s="360">
        <f t="shared" si="28"/>
        <v>0.22254641909814321</v>
      </c>
      <c r="AW77" s="360">
        <f t="shared" si="28"/>
        <v>0.22917669715936451</v>
      </c>
      <c r="AX77" s="360">
        <f t="shared" si="28"/>
        <v>0.17259083728278024</v>
      </c>
      <c r="AY77" s="360">
        <f t="shared" si="28"/>
        <v>0.19809069212410502</v>
      </c>
      <c r="AZ77" s="360">
        <f t="shared" si="28"/>
        <v>0.28084606345475915</v>
      </c>
      <c r="BA77" s="360">
        <f t="shared" si="28"/>
        <v>0.20107780397440256</v>
      </c>
      <c r="BB77" s="360">
        <f t="shared" si="28"/>
        <v>0.23795726186164456</v>
      </c>
      <c r="BC77" s="360">
        <f t="shared" si="28"/>
        <v>0.16513761467889898</v>
      </c>
      <c r="BD77" s="360">
        <f t="shared" si="24"/>
        <v>0.11525518788558586</v>
      </c>
      <c r="BE77" s="360">
        <f t="shared" si="25"/>
        <v>0.13911644236395548</v>
      </c>
      <c r="BF77" s="360">
        <f>+BF72/BE72-1</f>
        <v>0.81804796965493765</v>
      </c>
      <c r="BG77" s="360">
        <f t="shared" ref="BG77:BH77" si="29">+BG72/BF72-1</f>
        <v>0.17886987652435216</v>
      </c>
      <c r="BH77" s="360">
        <f t="shared" si="29"/>
        <v>0.15271059592026393</v>
      </c>
    </row>
    <row r="78" spans="1:60" s="342" customFormat="1">
      <c r="A78" s="1098"/>
      <c r="AN78" s="343"/>
      <c r="AO78" s="343"/>
      <c r="AP78" s="343"/>
      <c r="AQ78" s="343"/>
      <c r="AR78" s="343"/>
      <c r="AS78" s="343"/>
      <c r="AT78" s="343"/>
      <c r="AU78" s="343"/>
      <c r="AV78" s="343"/>
      <c r="AW78" s="343"/>
      <c r="AX78" s="343"/>
      <c r="AY78" s="343"/>
      <c r="AZ78" s="343"/>
      <c r="BA78" s="343"/>
      <c r="BB78" s="343"/>
      <c r="BC78" s="343"/>
      <c r="BD78" s="343"/>
      <c r="BE78" s="343"/>
      <c r="BF78" s="343"/>
      <c r="BG78" s="343"/>
      <c r="BH78" s="343"/>
    </row>
    <row r="79" spans="1:60">
      <c r="B79" s="167" t="s">
        <v>646</v>
      </c>
    </row>
    <row r="80" spans="1:60">
      <c r="B80" s="129" t="s">
        <v>523</v>
      </c>
      <c r="AM80" s="276"/>
      <c r="AN80" s="361">
        <f t="shared" ref="AN80:BH80" si="30">AN70/(AN70+AN71)</f>
        <v>0.64968152866242035</v>
      </c>
      <c r="AO80" s="361">
        <f t="shared" si="30"/>
        <v>0.645975443383356</v>
      </c>
      <c r="AP80" s="361">
        <f t="shared" si="30"/>
        <v>0.64779437304619669</v>
      </c>
      <c r="AQ80" s="361">
        <f t="shared" si="30"/>
        <v>0.66235294117647059</v>
      </c>
      <c r="AR80" s="361">
        <f t="shared" si="30"/>
        <v>0.70628019323671498</v>
      </c>
      <c r="AS80" s="361">
        <f t="shared" si="30"/>
        <v>0.68647214854111405</v>
      </c>
      <c r="AT80" s="361">
        <f t="shared" si="30"/>
        <v>0.71834376504573905</v>
      </c>
      <c r="AU80" s="361">
        <f t="shared" si="30"/>
        <v>0.75552922590837279</v>
      </c>
      <c r="AV80" s="361">
        <f t="shared" si="30"/>
        <v>0.73877196788891308</v>
      </c>
      <c r="AW80" s="361">
        <f t="shared" si="30"/>
        <v>0.79553466509988247</v>
      </c>
      <c r="AX80" s="361">
        <f t="shared" si="30"/>
        <v>0.81778376557763555</v>
      </c>
      <c r="AY80" s="361">
        <f t="shared" si="30"/>
        <v>0.80749728359290118</v>
      </c>
      <c r="AZ80" s="361">
        <f t="shared" si="30"/>
        <v>0.84067278287461766</v>
      </c>
      <c r="BA80" s="361">
        <f t="shared" si="30"/>
        <v>0.84913067863151992</v>
      </c>
      <c r="BB80" s="361">
        <f t="shared" si="30"/>
        <v>0.84508484493856062</v>
      </c>
      <c r="BC80" s="361">
        <f t="shared" ref="BC80:BE80" si="31">BC70/(BC70+BC71)</f>
        <v>0.87060367454068244</v>
      </c>
      <c r="BD80" s="361">
        <f t="shared" si="31"/>
        <v>0.88131757606235861</v>
      </c>
      <c r="BE80" s="361">
        <f t="shared" si="31"/>
        <v>0.87607551046616161</v>
      </c>
      <c r="BF80" s="361">
        <f t="shared" si="30"/>
        <v>0.56620548081199196</v>
      </c>
      <c r="BG80" s="361">
        <f t="shared" si="30"/>
        <v>0.60036893393328616</v>
      </c>
      <c r="BH80" s="361">
        <f t="shared" si="30"/>
        <v>0.64583207676939847</v>
      </c>
    </row>
    <row r="81" spans="1:63">
      <c r="B81" s="129" t="s">
        <v>674</v>
      </c>
      <c r="AM81" s="276"/>
      <c r="AN81" s="361">
        <f t="shared" ref="AN81:BH81" si="32">AN71/(AN70+AN71)</f>
        <v>0.3503184713375796</v>
      </c>
      <c r="AO81" s="361">
        <f t="shared" si="32"/>
        <v>0.35402455661664389</v>
      </c>
      <c r="AP81" s="361">
        <f t="shared" si="32"/>
        <v>0.35220562695380347</v>
      </c>
      <c r="AQ81" s="361">
        <f t="shared" si="32"/>
        <v>0.33764705882352941</v>
      </c>
      <c r="AR81" s="361">
        <f t="shared" si="32"/>
        <v>0.29371980676328502</v>
      </c>
      <c r="AS81" s="361">
        <f t="shared" si="32"/>
        <v>0.31352785145888595</v>
      </c>
      <c r="AT81" s="361">
        <f t="shared" si="32"/>
        <v>0.28165623495426095</v>
      </c>
      <c r="AU81" s="361">
        <f t="shared" si="32"/>
        <v>0.24447077409162718</v>
      </c>
      <c r="AV81" s="361">
        <f t="shared" si="32"/>
        <v>0.26122803211108703</v>
      </c>
      <c r="AW81" s="361">
        <f t="shared" si="32"/>
        <v>0.20446533490011751</v>
      </c>
      <c r="AX81" s="361">
        <f t="shared" si="32"/>
        <v>0.18221623442236443</v>
      </c>
      <c r="AY81" s="361">
        <f t="shared" si="32"/>
        <v>0.1925027164070989</v>
      </c>
      <c r="AZ81" s="361">
        <f t="shared" si="32"/>
        <v>0.15932721712538228</v>
      </c>
      <c r="BA81" s="361">
        <f t="shared" si="32"/>
        <v>0.15086932136848008</v>
      </c>
      <c r="BB81" s="361">
        <f t="shared" si="32"/>
        <v>0.15491515506143944</v>
      </c>
      <c r="BC81" s="361">
        <f t="shared" ref="BC81:BE81" si="33">BC71/(BC70+BC71)</f>
        <v>0.12939632545931759</v>
      </c>
      <c r="BD81" s="361">
        <f t="shared" si="33"/>
        <v>0.11868242393764143</v>
      </c>
      <c r="BE81" s="361">
        <f t="shared" si="33"/>
        <v>0.12392448953383844</v>
      </c>
      <c r="BF81" s="361">
        <f t="shared" si="32"/>
        <v>0.43379451918800799</v>
      </c>
      <c r="BG81" s="361">
        <f t="shared" si="32"/>
        <v>0.39963106606671389</v>
      </c>
      <c r="BH81" s="361">
        <f t="shared" si="32"/>
        <v>0.35416792323060164</v>
      </c>
    </row>
    <row r="82" spans="1:63" s="342" customFormat="1">
      <c r="A82" s="1098"/>
      <c r="AN82" s="343"/>
      <c r="AO82" s="343"/>
      <c r="AP82" s="343"/>
      <c r="AQ82" s="343"/>
      <c r="AR82" s="343"/>
      <c r="AS82" s="343"/>
      <c r="AT82" s="343"/>
      <c r="AU82" s="343"/>
      <c r="AV82" s="343"/>
      <c r="AW82" s="343"/>
      <c r="AX82" s="343"/>
      <c r="AY82" s="343"/>
      <c r="AZ82" s="343"/>
      <c r="BA82" s="343"/>
      <c r="BB82" s="343"/>
      <c r="BC82" s="343"/>
      <c r="BD82" s="343"/>
      <c r="BE82" s="343"/>
      <c r="BF82" s="343"/>
      <c r="BG82" s="343"/>
      <c r="BH82" s="343"/>
    </row>
    <row r="83" spans="1:63" s="305" customFormat="1">
      <c r="A83" s="290"/>
      <c r="B83" s="638" t="s">
        <v>677</v>
      </c>
      <c r="C83" s="497"/>
      <c r="D83" s="497"/>
      <c r="E83" s="497"/>
      <c r="F83" s="497"/>
      <c r="G83" s="497"/>
      <c r="H83" s="497"/>
      <c r="I83" s="497"/>
      <c r="J83" s="497"/>
      <c r="K83" s="497"/>
      <c r="L83" s="497"/>
      <c r="M83" s="497"/>
      <c r="N83" s="497"/>
      <c r="O83" s="497"/>
      <c r="P83" s="497"/>
      <c r="Q83" s="497"/>
      <c r="R83" s="497"/>
      <c r="S83" s="497"/>
      <c r="T83" s="497"/>
      <c r="U83" s="497"/>
      <c r="V83" s="497"/>
      <c r="W83" s="497"/>
      <c r="X83" s="497"/>
      <c r="Y83" s="497"/>
      <c r="Z83" s="497"/>
      <c r="AA83" s="497"/>
      <c r="AB83" s="497"/>
      <c r="AC83" s="497"/>
      <c r="AD83" s="497"/>
      <c r="AE83" s="497"/>
      <c r="AF83" s="497"/>
      <c r="AG83" s="497"/>
      <c r="AH83" s="497"/>
      <c r="AI83" s="497"/>
      <c r="AJ83" s="497"/>
      <c r="AK83" s="497"/>
      <c r="AL83" s="497"/>
      <c r="AM83" s="497"/>
      <c r="AN83" s="303"/>
      <c r="AO83" s="303"/>
      <c r="AP83" s="303"/>
      <c r="AQ83" s="303"/>
      <c r="AR83" s="303"/>
      <c r="AS83" s="302"/>
      <c r="AT83" s="303"/>
      <c r="AU83" s="303"/>
      <c r="AV83" s="302"/>
      <c r="AW83" s="303"/>
      <c r="AX83" s="303"/>
      <c r="AY83" s="302"/>
      <c r="AZ83" s="303"/>
      <c r="BA83" s="303"/>
      <c r="BB83" s="302"/>
      <c r="BC83" s="302"/>
      <c r="BD83" s="303"/>
      <c r="BE83" s="302"/>
      <c r="BF83" s="302"/>
      <c r="BG83" s="302"/>
      <c r="BH83" s="304"/>
    </row>
    <row r="84" spans="1:63" s="388" customFormat="1" hidden="1" outlineLevel="1">
      <c r="A84" s="370"/>
      <c r="B84" s="1151" t="s">
        <v>707</v>
      </c>
      <c r="C84" s="1151"/>
      <c r="D84" s="1151"/>
      <c r="E84" s="1151"/>
      <c r="F84" s="1151"/>
      <c r="G84" s="1151"/>
      <c r="H84" s="1151"/>
      <c r="I84" s="1151"/>
      <c r="J84" s="1151"/>
      <c r="K84" s="1151"/>
      <c r="L84" s="1151"/>
      <c r="M84" s="1151"/>
      <c r="N84" s="1151"/>
      <c r="O84" s="1151"/>
      <c r="P84" s="1151"/>
      <c r="Q84" s="1151"/>
      <c r="R84" s="1151"/>
      <c r="S84" s="1151"/>
      <c r="T84" s="1151"/>
      <c r="U84" s="1151"/>
      <c r="V84" s="1151"/>
      <c r="W84" s="1151"/>
      <c r="X84" s="1151"/>
      <c r="Y84" s="1151"/>
      <c r="Z84" s="1151"/>
      <c r="AA84" s="1151"/>
      <c r="AB84" s="1151"/>
      <c r="AC84" s="1151"/>
      <c r="AD84" s="1151"/>
      <c r="AE84" s="1151"/>
      <c r="AF84" s="1151"/>
      <c r="AG84" s="1151"/>
      <c r="AH84" s="1151">
        <f>AH89*AH52</f>
        <v>0</v>
      </c>
      <c r="AI84" s="1151">
        <f>AJ84-AH84</f>
        <v>0</v>
      </c>
      <c r="AJ84" s="1151">
        <f>AJ89*AJ52</f>
        <v>0</v>
      </c>
      <c r="AK84" s="1151">
        <f>AK89*AK52</f>
        <v>0</v>
      </c>
      <c r="AL84" s="1151">
        <f>AM84-AK84</f>
        <v>0</v>
      </c>
      <c r="AM84" s="1151">
        <f>AM89*AM52</f>
        <v>0</v>
      </c>
      <c r="AN84" s="371">
        <v>116.3</v>
      </c>
      <c r="AO84" s="371">
        <v>120.2</v>
      </c>
      <c r="AP84" s="371">
        <v>236.5</v>
      </c>
      <c r="AQ84" s="371">
        <v>144.9</v>
      </c>
      <c r="AR84" s="371">
        <v>174.1</v>
      </c>
      <c r="AS84" s="371">
        <v>319</v>
      </c>
      <c r="AT84" s="371">
        <v>179.4</v>
      </c>
      <c r="AU84" s="371">
        <v>220.79999999999998</v>
      </c>
      <c r="AV84" s="371">
        <v>400.2</v>
      </c>
      <c r="AW84" s="371">
        <v>220.6</v>
      </c>
      <c r="AX84" s="371">
        <v>254.70000000000002</v>
      </c>
      <c r="AY84" s="371">
        <v>475.3</v>
      </c>
      <c r="AZ84" s="371">
        <v>275.5</v>
      </c>
      <c r="BA84" s="371">
        <v>307.89999999999998</v>
      </c>
      <c r="BB84" s="371">
        <v>583.4</v>
      </c>
      <c r="BC84" s="371">
        <v>329</v>
      </c>
      <c r="BD84" s="371">
        <v>307.89999999999998</v>
      </c>
      <c r="BE84" s="371">
        <v>583.4</v>
      </c>
      <c r="BF84" s="371">
        <v>854.70446475000006</v>
      </c>
      <c r="BG84" s="371">
        <v>1082.1664639125001</v>
      </c>
      <c r="BH84" s="371">
        <v>1339.1709425088752</v>
      </c>
    </row>
    <row r="85" spans="1:63" s="305" customFormat="1" hidden="1" outlineLevel="1">
      <c r="A85" s="290"/>
      <c r="B85" s="616" t="s">
        <v>708</v>
      </c>
      <c r="C85" s="616"/>
      <c r="D85" s="616"/>
      <c r="E85" s="616"/>
      <c r="F85" s="616"/>
      <c r="G85" s="616"/>
      <c r="H85" s="616"/>
      <c r="I85" s="616"/>
      <c r="J85" s="616"/>
      <c r="K85" s="616"/>
      <c r="L85" s="616"/>
      <c r="M85" s="616"/>
      <c r="N85" s="616"/>
      <c r="O85" s="616"/>
      <c r="P85" s="616"/>
      <c r="Q85" s="616"/>
      <c r="R85" s="616"/>
      <c r="S85" s="616"/>
      <c r="T85" s="616"/>
      <c r="U85" s="616"/>
      <c r="V85" s="616"/>
      <c r="W85" s="616"/>
      <c r="X85" s="616"/>
      <c r="Y85" s="616"/>
      <c r="Z85" s="616"/>
      <c r="AA85" s="616"/>
      <c r="AB85" s="616"/>
      <c r="AC85" s="616"/>
      <c r="AD85" s="616"/>
      <c r="AE85" s="616"/>
      <c r="AF85" s="616"/>
      <c r="AG85" s="616"/>
      <c r="AH85" s="629">
        <f>AH86-AH84</f>
        <v>79.400000000000006</v>
      </c>
      <c r="AI85" s="629">
        <f>AJ85-AH85</f>
        <v>107.9</v>
      </c>
      <c r="AJ85" s="629">
        <f>AJ86-AJ84</f>
        <v>187.3</v>
      </c>
      <c r="AK85" s="629">
        <f>AK86-AK84</f>
        <v>129</v>
      </c>
      <c r="AL85" s="629">
        <f>AM85-AK85</f>
        <v>157.39999999999998</v>
      </c>
      <c r="AM85" s="629">
        <f>AM86-AM84</f>
        <v>286.39999999999998</v>
      </c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29"/>
      <c r="BE85" s="129"/>
      <c r="BF85" s="129"/>
      <c r="BG85" s="129"/>
      <c r="BH85" s="129"/>
    </row>
    <row r="86" spans="1:63" s="167" customFormat="1" collapsed="1">
      <c r="A86" s="346" t="s">
        <v>532</v>
      </c>
      <c r="B86" s="619" t="s">
        <v>570</v>
      </c>
      <c r="C86" s="616"/>
      <c r="D86" s="616"/>
      <c r="E86" s="616"/>
      <c r="F86" s="616"/>
      <c r="G86" s="616"/>
      <c r="H86" s="616"/>
      <c r="I86" s="616"/>
      <c r="J86" s="616"/>
      <c r="K86" s="616"/>
      <c r="L86" s="616"/>
      <c r="M86" s="616"/>
      <c r="N86" s="616"/>
      <c r="O86" s="616"/>
      <c r="P86" s="616"/>
      <c r="Q86" s="616"/>
      <c r="R86" s="616"/>
      <c r="S86" s="616"/>
      <c r="T86" s="616"/>
      <c r="U86" s="616"/>
      <c r="V86" s="616"/>
      <c r="W86" s="616"/>
      <c r="X86" s="616"/>
      <c r="Y86" s="616"/>
      <c r="Z86" s="616"/>
      <c r="AA86" s="517">
        <v>66.7</v>
      </c>
      <c r="AB86" s="517">
        <v>43.3</v>
      </c>
      <c r="AC86" s="516">
        <f>AD86-AB86</f>
        <v>46.900000000000006</v>
      </c>
      <c r="AD86" s="517">
        <v>90.2</v>
      </c>
      <c r="AE86" s="517">
        <v>61</v>
      </c>
      <c r="AF86" s="516">
        <f>AG86-AE86</f>
        <v>70.099999999999994</v>
      </c>
      <c r="AG86" s="517">
        <v>131.1</v>
      </c>
      <c r="AH86" s="517">
        <v>79.400000000000006</v>
      </c>
      <c r="AI86" s="516">
        <f>AJ86-AH86</f>
        <v>107.9</v>
      </c>
      <c r="AJ86" s="517">
        <v>187.3</v>
      </c>
      <c r="AK86" s="517">
        <v>129</v>
      </c>
      <c r="AL86" s="516">
        <f>AM86-AK86</f>
        <v>157.39999999999998</v>
      </c>
      <c r="AM86" s="517">
        <v>286.39999999999998</v>
      </c>
      <c r="AN86" s="331">
        <v>116.3</v>
      </c>
      <c r="AO86" s="362">
        <f>+AP86-AN86</f>
        <v>120.2</v>
      </c>
      <c r="AP86" s="331">
        <v>236.5</v>
      </c>
      <c r="AQ86" s="331">
        <v>144.9</v>
      </c>
      <c r="AR86" s="362">
        <f>+AS86-AQ86</f>
        <v>174.1</v>
      </c>
      <c r="AS86" s="331">
        <v>319</v>
      </c>
      <c r="AT86" s="331">
        <v>179.4</v>
      </c>
      <c r="AU86" s="362">
        <f>+AV86-AT86</f>
        <v>220.79999999999998</v>
      </c>
      <c r="AV86" s="331">
        <v>400.2</v>
      </c>
      <c r="AW86" s="331">
        <v>220.6</v>
      </c>
      <c r="AX86" s="362">
        <f>+AY86-AW86</f>
        <v>254.70000000000002</v>
      </c>
      <c r="AY86" s="331">
        <v>475.3</v>
      </c>
      <c r="AZ86" s="331">
        <v>275.5</v>
      </c>
      <c r="BA86" s="362">
        <f>+BB86-AZ86</f>
        <v>307.89999999999998</v>
      </c>
      <c r="BB86" s="331">
        <v>583.4</v>
      </c>
      <c r="BC86" s="331">
        <v>329</v>
      </c>
      <c r="BD86" s="362">
        <f>+BE86-BC86</f>
        <v>352.29999999999995</v>
      </c>
      <c r="BE86" s="331">
        <v>681.3</v>
      </c>
      <c r="BF86" s="363">
        <f>BF92*BF72</f>
        <v>1160.885442255646</v>
      </c>
      <c r="BG86" s="363">
        <f t="shared" ref="BG86:BH86" si="34">BG92*BG72</f>
        <v>1378.5465331754958</v>
      </c>
      <c r="BH86" s="363">
        <f t="shared" si="34"/>
        <v>1592.9128112466426</v>
      </c>
    </row>
    <row r="87" spans="1:63">
      <c r="B87" s="616"/>
      <c r="C87" s="616"/>
      <c r="D87" s="616"/>
      <c r="E87" s="616"/>
      <c r="F87" s="616"/>
      <c r="G87" s="616"/>
      <c r="H87" s="616"/>
      <c r="I87" s="616"/>
      <c r="J87" s="616"/>
      <c r="K87" s="616"/>
      <c r="L87" s="616"/>
      <c r="M87" s="616"/>
      <c r="N87" s="616"/>
      <c r="O87" s="616"/>
      <c r="P87" s="616"/>
      <c r="Q87" s="616"/>
      <c r="R87" s="616"/>
      <c r="S87" s="616"/>
      <c r="T87" s="616"/>
      <c r="U87" s="616"/>
      <c r="V87" s="616"/>
      <c r="W87" s="616"/>
      <c r="X87" s="616"/>
      <c r="Y87" s="616"/>
      <c r="Z87" s="616"/>
      <c r="AA87" s="616"/>
      <c r="AB87" s="616"/>
      <c r="AC87" s="616"/>
      <c r="AD87" s="616"/>
      <c r="AE87" s="616"/>
      <c r="AF87" s="616"/>
      <c r="AG87" s="616"/>
      <c r="AH87" s="616"/>
      <c r="AI87" s="616"/>
      <c r="AJ87" s="616"/>
      <c r="AK87" s="616"/>
      <c r="AL87" s="616"/>
      <c r="AM87" s="616"/>
    </row>
    <row r="88" spans="1:63">
      <c r="B88" s="615" t="s">
        <v>154</v>
      </c>
      <c r="C88" s="614"/>
      <c r="D88" s="614"/>
      <c r="E88" s="614"/>
      <c r="F88" s="614"/>
      <c r="G88" s="614"/>
      <c r="H88" s="614"/>
      <c r="I88" s="614"/>
      <c r="J88" s="614"/>
      <c r="K88" s="614"/>
      <c r="L88" s="614"/>
      <c r="M88" s="614"/>
      <c r="N88" s="614"/>
      <c r="O88" s="614"/>
      <c r="P88" s="614"/>
      <c r="Q88" s="614"/>
      <c r="R88" s="614"/>
      <c r="S88" s="614"/>
      <c r="T88" s="614"/>
      <c r="U88" s="614"/>
      <c r="V88" s="614"/>
      <c r="W88" s="614"/>
      <c r="X88" s="614"/>
      <c r="Y88" s="614"/>
      <c r="Z88" s="614"/>
      <c r="AA88" s="614"/>
      <c r="AB88" s="614"/>
      <c r="AC88" s="614"/>
      <c r="AD88" s="614"/>
      <c r="AE88" s="614"/>
      <c r="AF88" s="614"/>
      <c r="AG88" s="614"/>
      <c r="AH88" s="614"/>
      <c r="AI88" s="614"/>
      <c r="AJ88" s="614"/>
      <c r="AK88" s="614"/>
      <c r="AL88" s="614"/>
      <c r="AM88" s="614"/>
      <c r="AN88" s="323"/>
      <c r="AO88" s="323"/>
      <c r="AP88" s="323"/>
      <c r="AQ88" s="323"/>
      <c r="AR88" s="323"/>
      <c r="AS88" s="323"/>
      <c r="AT88" s="323"/>
      <c r="AU88" s="323"/>
      <c r="AV88" s="323"/>
      <c r="AW88" s="323"/>
      <c r="AX88" s="323"/>
      <c r="AY88" s="323"/>
      <c r="AZ88" s="323"/>
      <c r="BA88" s="323"/>
      <c r="BB88" s="323"/>
      <c r="BC88" s="323"/>
      <c r="BD88" s="323"/>
      <c r="BE88" s="323"/>
      <c r="BF88" s="323"/>
      <c r="BG88" s="323"/>
      <c r="BH88" s="323"/>
    </row>
    <row r="89" spans="1:63">
      <c r="B89" s="640" t="s">
        <v>571</v>
      </c>
      <c r="C89" s="640"/>
      <c r="D89" s="640"/>
      <c r="E89" s="640"/>
      <c r="F89" s="640"/>
      <c r="G89" s="640"/>
      <c r="H89" s="640"/>
      <c r="I89" s="640"/>
      <c r="J89" s="640"/>
      <c r="K89" s="640"/>
      <c r="L89" s="640"/>
      <c r="M89" s="640"/>
      <c r="N89" s="640"/>
      <c r="O89" s="640"/>
      <c r="P89" s="640"/>
      <c r="Q89" s="640"/>
      <c r="R89" s="640"/>
      <c r="S89" s="640"/>
      <c r="T89" s="640"/>
      <c r="U89" s="640"/>
      <c r="V89" s="640"/>
      <c r="W89" s="640"/>
      <c r="X89" s="640"/>
      <c r="Y89" s="640"/>
      <c r="Z89" s="640"/>
      <c r="AA89" s="640"/>
      <c r="AB89" s="640"/>
      <c r="AC89" s="640"/>
      <c r="AD89" s="640"/>
      <c r="AE89" s="640"/>
      <c r="AF89" s="640"/>
      <c r="AG89" s="640"/>
      <c r="AH89" s="643">
        <v>0.91</v>
      </c>
      <c r="AI89" s="644">
        <v>0.91000000000000025</v>
      </c>
      <c r="AJ89" s="643">
        <v>0.91</v>
      </c>
      <c r="AK89" s="643">
        <v>0.9</v>
      </c>
      <c r="AL89" s="644">
        <v>0.91849678456591632</v>
      </c>
      <c r="AM89" s="643">
        <v>0.91</v>
      </c>
      <c r="AN89" s="645">
        <v>0.92</v>
      </c>
      <c r="AO89" s="646">
        <v>0.91999999999999993</v>
      </c>
      <c r="AP89" s="645">
        <v>0.92</v>
      </c>
      <c r="AQ89" s="645">
        <v>0.94</v>
      </c>
      <c r="AR89" s="647">
        <v>0.90334913112164317</v>
      </c>
      <c r="AS89" s="645">
        <v>0.92</v>
      </c>
      <c r="AT89" s="648">
        <v>0.92</v>
      </c>
      <c r="AU89" s="649">
        <v>0.92000000000000015</v>
      </c>
      <c r="AV89" s="645">
        <v>0.92</v>
      </c>
      <c r="AW89" s="349"/>
      <c r="AX89" s="350"/>
      <c r="AY89" s="347"/>
      <c r="AZ89" s="349"/>
      <c r="BA89" s="350"/>
      <c r="BB89" s="325"/>
      <c r="BC89" s="325"/>
      <c r="BD89" s="350"/>
      <c r="BE89" s="325"/>
      <c r="BF89" s="325"/>
      <c r="BG89" s="325"/>
      <c r="BH89" s="325"/>
    </row>
    <row r="90" spans="1:63">
      <c r="B90" s="640" t="s">
        <v>572</v>
      </c>
      <c r="C90" s="640"/>
      <c r="D90" s="640"/>
      <c r="E90" s="640"/>
      <c r="F90" s="640"/>
      <c r="G90" s="640"/>
      <c r="H90" s="640"/>
      <c r="I90" s="640"/>
      <c r="J90" s="640"/>
      <c r="K90" s="640"/>
      <c r="L90" s="640"/>
      <c r="M90" s="640"/>
      <c r="N90" s="640"/>
      <c r="O90" s="640"/>
      <c r="P90" s="640"/>
      <c r="Q90" s="640"/>
      <c r="R90" s="640"/>
      <c r="S90" s="640"/>
      <c r="T90" s="640"/>
      <c r="U90" s="640"/>
      <c r="V90" s="640"/>
      <c r="W90" s="640"/>
      <c r="X90" s="640"/>
      <c r="Y90" s="640"/>
      <c r="Z90" s="640"/>
      <c r="AA90" s="642"/>
      <c r="AB90" s="642"/>
      <c r="AC90" s="642"/>
      <c r="AD90" s="642"/>
      <c r="AE90" s="642"/>
      <c r="AF90" s="642"/>
      <c r="AG90" s="642"/>
      <c r="AH90" s="642">
        <v>0.65221198156682059</v>
      </c>
      <c r="AI90" s="642">
        <v>0.65821839080459754</v>
      </c>
      <c r="AJ90" s="642">
        <v>0.65591150442477875</v>
      </c>
      <c r="AK90" s="642">
        <v>0.66411764705882337</v>
      </c>
      <c r="AL90" s="642">
        <v>0.64290611028315947</v>
      </c>
      <c r="AM90" s="642">
        <v>0.65206604572396265</v>
      </c>
      <c r="AN90" s="650">
        <v>0.64349514563106824</v>
      </c>
      <c r="AO90" s="650">
        <v>0.63585858585858557</v>
      </c>
      <c r="AP90" s="650">
        <v>0.6394976867151354</v>
      </c>
      <c r="AQ90" s="651">
        <v>0.67972704714640242</v>
      </c>
      <c r="AR90" s="651">
        <v>0.69143219264892197</v>
      </c>
      <c r="AS90" s="651">
        <v>0.68551724137931014</v>
      </c>
      <c r="AT90" s="652">
        <v>0.71898989898989885</v>
      </c>
      <c r="AU90" s="652">
        <v>0.72392065344224021</v>
      </c>
      <c r="AV90" s="651">
        <v>0.72155245603395979</v>
      </c>
      <c r="AW90" s="278"/>
      <c r="AX90" s="278"/>
      <c r="AY90" s="276"/>
      <c r="AZ90" s="278"/>
      <c r="BA90" s="278"/>
      <c r="BB90" s="325"/>
      <c r="BC90" s="325"/>
      <c r="BD90" s="278"/>
      <c r="BE90" s="325"/>
      <c r="BF90" s="325"/>
      <c r="BG90" s="325"/>
      <c r="BH90" s="325"/>
    </row>
    <row r="91" spans="1:63">
      <c r="B91" s="640" t="s">
        <v>709</v>
      </c>
      <c r="C91" s="640"/>
      <c r="D91" s="640"/>
      <c r="E91" s="640"/>
      <c r="F91" s="640"/>
      <c r="G91" s="640"/>
      <c r="H91" s="640"/>
      <c r="I91" s="640"/>
      <c r="J91" s="640"/>
      <c r="K91" s="640"/>
      <c r="L91" s="640"/>
      <c r="M91" s="640"/>
      <c r="N91" s="640"/>
      <c r="O91" s="640"/>
      <c r="P91" s="640"/>
      <c r="Q91" s="640"/>
      <c r="R91" s="640"/>
      <c r="S91" s="640"/>
      <c r="T91" s="640"/>
      <c r="U91" s="640"/>
      <c r="V91" s="640"/>
      <c r="W91" s="640"/>
      <c r="X91" s="640"/>
      <c r="Y91" s="640"/>
      <c r="Z91" s="640"/>
      <c r="AA91" s="642">
        <v>0.83793969849246241</v>
      </c>
      <c r="AB91" s="642" t="e">
        <v>#DIV/0!</v>
      </c>
      <c r="AC91" s="642" t="e">
        <v>#DIV/0!</v>
      </c>
      <c r="AD91" s="642">
        <v>0.8731848983543079</v>
      </c>
      <c r="AE91" s="642" t="e">
        <v>#DIV/0!</v>
      </c>
      <c r="AF91" s="642" t="e">
        <v>#DIV/0!</v>
      </c>
      <c r="AG91" s="642">
        <v>0.85240572171651485</v>
      </c>
      <c r="AH91" s="642">
        <v>0.8501070663811563</v>
      </c>
      <c r="AI91" s="642">
        <v>0.84165366614664594</v>
      </c>
      <c r="AJ91" s="642">
        <v>0.84521660649819497</v>
      </c>
      <c r="AK91" s="642">
        <v>0.82322910019144868</v>
      </c>
      <c r="AL91" s="642">
        <v>0.82193211488250639</v>
      </c>
      <c r="AM91" s="642">
        <v>0.82251579551981613</v>
      </c>
      <c r="AN91" s="650">
        <v>0.82312925170068041</v>
      </c>
      <c r="AO91" s="650">
        <v>0.81940098345999091</v>
      </c>
      <c r="AP91" s="650">
        <v>0.82118742724097782</v>
      </c>
      <c r="AQ91" s="653"/>
      <c r="AR91" s="653"/>
      <c r="AS91" s="653"/>
      <c r="AT91" s="653"/>
      <c r="AU91" s="653"/>
      <c r="AV91" s="653"/>
    </row>
    <row r="92" spans="1:63" collapsed="1">
      <c r="B92" s="640" t="s">
        <v>675</v>
      </c>
      <c r="C92" s="640"/>
      <c r="D92" s="640"/>
      <c r="E92" s="640"/>
      <c r="F92" s="640"/>
      <c r="G92" s="640"/>
      <c r="H92" s="640"/>
      <c r="I92" s="640"/>
      <c r="J92" s="640"/>
      <c r="K92" s="640"/>
      <c r="L92" s="640"/>
      <c r="M92" s="640"/>
      <c r="N92" s="640"/>
      <c r="O92" s="640"/>
      <c r="P92" s="640"/>
      <c r="Q92" s="640"/>
      <c r="R92" s="640"/>
      <c r="S92" s="640"/>
      <c r="T92" s="640"/>
      <c r="U92" s="640"/>
      <c r="V92" s="640"/>
      <c r="W92" s="640"/>
      <c r="X92" s="640"/>
      <c r="Y92" s="640"/>
      <c r="Z92" s="640"/>
      <c r="AA92" s="642"/>
      <c r="AB92" s="642"/>
      <c r="AC92" s="642"/>
      <c r="AD92" s="642"/>
      <c r="AE92" s="642"/>
      <c r="AF92" s="642"/>
      <c r="AG92" s="642"/>
      <c r="AH92" s="642"/>
      <c r="AI92" s="642"/>
      <c r="AJ92" s="642"/>
      <c r="AK92" s="642"/>
      <c r="AL92" s="642"/>
      <c r="AM92" s="642"/>
      <c r="AN92" s="650"/>
      <c r="AO92" s="650"/>
      <c r="AP92" s="651">
        <f t="shared" ref="AP92:BC92" si="35">AP86/AP72</f>
        <v>0.82146578673150406</v>
      </c>
      <c r="AQ92" s="651">
        <f t="shared" si="35"/>
        <v>0.85235294117647065</v>
      </c>
      <c r="AR92" s="651">
        <f t="shared" si="35"/>
        <v>0.84106280193236704</v>
      </c>
      <c r="AS92" s="651">
        <f t="shared" si="35"/>
        <v>0.84615384615384615</v>
      </c>
      <c r="AT92" s="652">
        <f t="shared" si="35"/>
        <v>0.86374578719306705</v>
      </c>
      <c r="AU92" s="652">
        <f t="shared" si="35"/>
        <v>0.87203791469194303</v>
      </c>
      <c r="AV92" s="651">
        <f t="shared" si="35"/>
        <v>0.8683011499240616</v>
      </c>
      <c r="AW92" s="365">
        <f t="shared" si="35"/>
        <v>0.86408147277712488</v>
      </c>
      <c r="AX92" s="365">
        <f t="shared" si="35"/>
        <v>0.85786460087571581</v>
      </c>
      <c r="AY92" s="365">
        <f t="shared" si="35"/>
        <v>0.86073886273089473</v>
      </c>
      <c r="AZ92" s="365">
        <f t="shared" si="35"/>
        <v>0.84250764525993882</v>
      </c>
      <c r="BA92" s="365">
        <f t="shared" si="35"/>
        <v>0.86343241727425657</v>
      </c>
      <c r="BB92" s="365">
        <f t="shared" si="35"/>
        <v>0.8534230544177881</v>
      </c>
      <c r="BC92" s="365">
        <f t="shared" si="35"/>
        <v>0.86351706036745401</v>
      </c>
      <c r="BD92" s="365">
        <f t="shared" ref="BD92:BE92" si="36">BD86/BD72</f>
        <v>0.88584360070404811</v>
      </c>
      <c r="BE92" s="365">
        <f t="shared" si="36"/>
        <v>0.87491973802491319</v>
      </c>
      <c r="BF92" s="351">
        <v>0.82</v>
      </c>
      <c r="BG92" s="351">
        <v>0.82599999999999996</v>
      </c>
      <c r="BH92" s="351">
        <v>0.82799999999999996</v>
      </c>
    </row>
    <row r="93" spans="1:63">
      <c r="AA93" s="277"/>
      <c r="AB93" s="277"/>
      <c r="AC93" s="277"/>
      <c r="AD93" s="277"/>
      <c r="AE93" s="277"/>
      <c r="AF93" s="277"/>
      <c r="AG93" s="277"/>
      <c r="AH93" s="277"/>
      <c r="AI93" s="277"/>
      <c r="AJ93" s="277"/>
      <c r="AK93" s="277"/>
      <c r="AL93" s="277"/>
      <c r="AM93" s="277"/>
      <c r="AN93" s="276"/>
      <c r="AO93" s="276"/>
      <c r="AP93" s="361"/>
      <c r="AQ93" s="361"/>
      <c r="AR93" s="361"/>
      <c r="AS93" s="361"/>
      <c r="AT93" s="365"/>
      <c r="AU93" s="365"/>
      <c r="AV93" s="361"/>
      <c r="AW93" s="365"/>
      <c r="AX93" s="365"/>
      <c r="AY93" s="365"/>
      <c r="AZ93" s="365"/>
      <c r="BA93" s="365"/>
      <c r="BB93" s="365"/>
      <c r="BC93" s="351"/>
      <c r="BD93" s="365"/>
      <c r="BE93" s="365"/>
      <c r="BF93" s="351"/>
      <c r="BG93" s="351"/>
      <c r="BH93" s="351"/>
    </row>
    <row r="94" spans="1:63" s="305" customFormat="1" hidden="1" outlineLevel="1">
      <c r="A94" s="290"/>
      <c r="B94" s="301" t="s">
        <v>573</v>
      </c>
      <c r="C94" s="302"/>
      <c r="D94" s="302"/>
      <c r="E94" s="302"/>
      <c r="F94" s="302"/>
      <c r="G94" s="302"/>
      <c r="H94" s="302"/>
      <c r="I94" s="302"/>
      <c r="J94" s="302"/>
      <c r="K94" s="302"/>
      <c r="L94" s="302"/>
      <c r="M94" s="302"/>
      <c r="N94" s="302"/>
      <c r="O94" s="302"/>
      <c r="P94" s="302"/>
      <c r="Q94" s="302"/>
      <c r="R94" s="302"/>
      <c r="S94" s="302"/>
      <c r="T94" s="302"/>
      <c r="U94" s="302"/>
      <c r="V94" s="302"/>
      <c r="W94" s="302"/>
      <c r="X94" s="302"/>
      <c r="Y94" s="302"/>
      <c r="Z94" s="302"/>
      <c r="AA94" s="302"/>
      <c r="AB94" s="302"/>
      <c r="AC94" s="302"/>
      <c r="AD94" s="303"/>
      <c r="AE94" s="303"/>
      <c r="AF94" s="303"/>
      <c r="AG94" s="303"/>
      <c r="AH94" s="303"/>
      <c r="AI94" s="303"/>
      <c r="AJ94" s="303"/>
      <c r="AK94" s="303"/>
      <c r="AL94" s="303"/>
      <c r="AM94" s="303"/>
      <c r="AN94" s="303"/>
      <c r="AO94" s="303"/>
      <c r="AP94" s="303"/>
      <c r="AQ94" s="303"/>
      <c r="AR94" s="303"/>
      <c r="AS94" s="302"/>
      <c r="AT94" s="303"/>
      <c r="AU94" s="303"/>
      <c r="AV94" s="302"/>
      <c r="AW94" s="303"/>
      <c r="AX94" s="303"/>
      <c r="AY94" s="302"/>
      <c r="AZ94" s="302"/>
      <c r="BA94" s="303"/>
      <c r="BB94" s="302"/>
      <c r="BC94" s="302"/>
      <c r="BD94" s="303"/>
      <c r="BE94" s="302"/>
      <c r="BF94" s="302"/>
      <c r="BG94" s="302"/>
      <c r="BH94" s="304"/>
    </row>
    <row r="95" spans="1:63" hidden="1" outlineLevel="1">
      <c r="B95" s="639" t="s">
        <v>333</v>
      </c>
      <c r="C95" s="640"/>
      <c r="D95" s="640"/>
      <c r="E95" s="640"/>
      <c r="F95" s="640"/>
      <c r="G95" s="640"/>
      <c r="H95" s="640"/>
      <c r="I95" s="640"/>
      <c r="J95" s="640"/>
      <c r="K95" s="640"/>
      <c r="L95" s="640"/>
      <c r="M95" s="640"/>
      <c r="N95" s="640"/>
      <c r="O95" s="640"/>
      <c r="P95" s="640"/>
      <c r="Q95" s="640"/>
      <c r="R95" s="640"/>
      <c r="S95" s="640"/>
      <c r="T95" s="640"/>
      <c r="U95" s="640"/>
      <c r="V95" s="640"/>
      <c r="W95" s="640"/>
      <c r="X95" s="640"/>
      <c r="Y95" s="640"/>
      <c r="Z95" s="640"/>
      <c r="AA95" s="640"/>
      <c r="AB95" s="640"/>
      <c r="AC95" s="640"/>
      <c r="AD95" s="640"/>
      <c r="AE95" s="640"/>
      <c r="AF95" s="640"/>
      <c r="AG95" s="640"/>
      <c r="AH95" s="640"/>
      <c r="AI95" s="640"/>
      <c r="AJ95" s="640"/>
      <c r="AK95" s="640"/>
      <c r="AL95" s="640"/>
      <c r="AM95" s="640"/>
    </row>
    <row r="96" spans="1:63" hidden="1" outlineLevel="1">
      <c r="B96" s="640"/>
      <c r="C96" s="640"/>
      <c r="D96" s="640"/>
      <c r="E96" s="640"/>
      <c r="F96" s="640"/>
      <c r="G96" s="640"/>
      <c r="H96" s="640"/>
      <c r="I96" s="640"/>
      <c r="J96" s="640"/>
      <c r="K96" s="640"/>
      <c r="L96" s="640"/>
      <c r="M96" s="640"/>
      <c r="N96" s="640"/>
      <c r="O96" s="640"/>
      <c r="P96" s="640"/>
      <c r="Q96" s="640"/>
      <c r="R96" s="640"/>
      <c r="S96" s="640"/>
      <c r="T96" s="640"/>
      <c r="U96" s="640"/>
      <c r="V96" s="640"/>
      <c r="W96" s="640"/>
      <c r="X96" s="640"/>
      <c r="Y96" s="640"/>
      <c r="Z96" s="640"/>
      <c r="AA96" s="640"/>
      <c r="AB96" s="640"/>
      <c r="AC96" s="640"/>
      <c r="AD96" s="640"/>
      <c r="AE96" s="640"/>
      <c r="AF96" s="640"/>
      <c r="AG96" s="640"/>
      <c r="AH96" s="640"/>
      <c r="AI96" s="640"/>
      <c r="AJ96" s="640"/>
      <c r="AK96" s="640"/>
      <c r="AL96" s="640"/>
      <c r="AM96" s="640"/>
      <c r="BJ96" s="167"/>
      <c r="BK96" s="167"/>
    </row>
    <row r="97" spans="1:57" hidden="1" outlineLevel="1">
      <c r="B97" s="640" t="s">
        <v>341</v>
      </c>
      <c r="C97" s="641">
        <v>1</v>
      </c>
      <c r="D97" s="640"/>
      <c r="E97" s="640"/>
      <c r="F97" s="641">
        <v>2</v>
      </c>
      <c r="G97" s="640"/>
      <c r="H97" s="640"/>
      <c r="I97" s="641">
        <v>3</v>
      </c>
      <c r="J97" s="640"/>
      <c r="K97" s="640"/>
      <c r="L97" s="641">
        <v>0</v>
      </c>
      <c r="M97" s="640"/>
      <c r="N97" s="640"/>
      <c r="O97" s="641">
        <v>1</v>
      </c>
      <c r="P97" s="640"/>
      <c r="Q97" s="640"/>
      <c r="R97" s="641">
        <v>4</v>
      </c>
      <c r="S97" s="640"/>
      <c r="T97" s="640"/>
      <c r="U97" s="641">
        <v>2</v>
      </c>
      <c r="V97" s="640"/>
      <c r="W97" s="640"/>
      <c r="X97" s="641">
        <v>0</v>
      </c>
      <c r="Y97" s="640"/>
      <c r="Z97" s="640"/>
      <c r="AA97" s="641">
        <v>2</v>
      </c>
      <c r="AB97" s="641"/>
      <c r="AC97" s="641"/>
      <c r="AD97" s="641">
        <v>4</v>
      </c>
      <c r="AE97" s="641"/>
      <c r="AF97" s="641"/>
      <c r="AG97" s="641">
        <v>1</v>
      </c>
      <c r="AH97" s="641"/>
      <c r="AI97" s="641"/>
      <c r="AJ97" s="641">
        <v>3</v>
      </c>
      <c r="AK97" s="641"/>
      <c r="AL97" s="641"/>
      <c r="AM97" s="641">
        <v>2</v>
      </c>
      <c r="AN97" s="330"/>
      <c r="AO97" s="330"/>
      <c r="AP97" s="330">
        <v>2</v>
      </c>
      <c r="AQ97" s="330"/>
      <c r="AR97" s="330"/>
      <c r="AS97" s="330">
        <v>6</v>
      </c>
      <c r="AT97" s="330">
        <v>4</v>
      </c>
      <c r="AV97" s="330">
        <v>7</v>
      </c>
      <c r="AW97" s="330">
        <v>4</v>
      </c>
      <c r="AY97" s="330">
        <v>4</v>
      </c>
      <c r="AZ97" s="330">
        <v>2</v>
      </c>
      <c r="BB97" s="330">
        <v>5</v>
      </c>
      <c r="BC97" s="330">
        <v>2</v>
      </c>
      <c r="BE97" s="330">
        <v>5</v>
      </c>
    </row>
    <row r="98" spans="1:57" hidden="1" outlineLevel="1">
      <c r="B98" s="640" t="s">
        <v>337</v>
      </c>
      <c r="C98" s="641">
        <v>3</v>
      </c>
      <c r="D98" s="640"/>
      <c r="E98" s="640"/>
      <c r="F98" s="640">
        <v>1</v>
      </c>
      <c r="G98" s="640"/>
      <c r="H98" s="640"/>
      <c r="I98" s="640">
        <v>2</v>
      </c>
      <c r="J98" s="640"/>
      <c r="K98" s="640"/>
      <c r="L98" s="640">
        <v>3</v>
      </c>
      <c r="M98" s="640"/>
      <c r="N98" s="640"/>
      <c r="O98" s="640">
        <v>0</v>
      </c>
      <c r="P98" s="640"/>
      <c r="Q98" s="640"/>
      <c r="R98" s="640">
        <v>1</v>
      </c>
      <c r="S98" s="640"/>
      <c r="T98" s="640"/>
      <c r="U98" s="640">
        <v>4</v>
      </c>
      <c r="V98" s="640"/>
      <c r="W98" s="640"/>
      <c r="X98" s="640">
        <v>2</v>
      </c>
      <c r="Y98" s="640"/>
      <c r="Z98" s="640"/>
      <c r="AA98" s="640">
        <v>0</v>
      </c>
      <c r="AB98" s="640"/>
      <c r="AC98" s="640"/>
      <c r="AD98" s="640">
        <v>2</v>
      </c>
      <c r="AE98" s="640"/>
      <c r="AF98" s="640"/>
      <c r="AG98" s="640">
        <v>4</v>
      </c>
      <c r="AH98" s="640"/>
      <c r="AI98" s="640"/>
      <c r="AJ98" s="640">
        <v>1</v>
      </c>
      <c r="AK98" s="640"/>
      <c r="AL98" s="640"/>
      <c r="AM98" s="640">
        <v>3</v>
      </c>
      <c r="AP98" s="366">
        <f>AM97</f>
        <v>2</v>
      </c>
      <c r="AS98" s="366">
        <f>AP97</f>
        <v>2</v>
      </c>
      <c r="AV98" s="366">
        <f>AS97</f>
        <v>6</v>
      </c>
      <c r="AY98" s="366">
        <f>AV97</f>
        <v>7</v>
      </c>
      <c r="BB98" s="366">
        <f>AY97</f>
        <v>4</v>
      </c>
      <c r="BE98" s="366">
        <f>BB97</f>
        <v>5</v>
      </c>
    </row>
    <row r="99" spans="1:57" hidden="1" outlineLevel="1">
      <c r="B99" s="640" t="s">
        <v>338</v>
      </c>
      <c r="C99" s="640"/>
      <c r="D99" s="640"/>
      <c r="E99" s="640"/>
      <c r="F99" s="640">
        <v>3</v>
      </c>
      <c r="G99" s="640"/>
      <c r="H99" s="640"/>
      <c r="I99" s="640">
        <v>1</v>
      </c>
      <c r="J99" s="640"/>
      <c r="K99" s="640"/>
      <c r="L99" s="640">
        <v>2</v>
      </c>
      <c r="M99" s="640"/>
      <c r="N99" s="640"/>
      <c r="O99" s="640">
        <v>3</v>
      </c>
      <c r="P99" s="640"/>
      <c r="Q99" s="640"/>
      <c r="R99" s="640">
        <v>0</v>
      </c>
      <c r="S99" s="640"/>
      <c r="T99" s="640"/>
      <c r="U99" s="640">
        <v>1</v>
      </c>
      <c r="V99" s="640"/>
      <c r="W99" s="640"/>
      <c r="X99" s="640">
        <v>4</v>
      </c>
      <c r="Y99" s="640"/>
      <c r="Z99" s="640"/>
      <c r="AA99" s="640">
        <v>2</v>
      </c>
      <c r="AB99" s="640"/>
      <c r="AC99" s="640"/>
      <c r="AD99" s="640">
        <v>0</v>
      </c>
      <c r="AE99" s="640"/>
      <c r="AF99" s="640"/>
      <c r="AG99" s="640">
        <v>2</v>
      </c>
      <c r="AH99" s="640"/>
      <c r="AI99" s="640"/>
      <c r="AJ99" s="640">
        <v>4</v>
      </c>
      <c r="AK99" s="640"/>
      <c r="AL99" s="640"/>
      <c r="AM99" s="640">
        <v>1</v>
      </c>
      <c r="AP99" s="366">
        <f>AM98</f>
        <v>3</v>
      </c>
      <c r="AS99" s="366">
        <f>AP98</f>
        <v>2</v>
      </c>
      <c r="AV99" s="366">
        <f>AS98</f>
        <v>2</v>
      </c>
      <c r="AY99" s="366">
        <f>AV98</f>
        <v>6</v>
      </c>
      <c r="BB99" s="366">
        <f>AY98</f>
        <v>7</v>
      </c>
      <c r="BE99" s="366">
        <f>BB98</f>
        <v>4</v>
      </c>
    </row>
    <row r="100" spans="1:57" hidden="1" outlineLevel="1">
      <c r="B100" s="640" t="s">
        <v>339</v>
      </c>
      <c r="C100" s="640"/>
      <c r="D100" s="640"/>
      <c r="E100" s="640"/>
      <c r="F100" s="640">
        <v>0</v>
      </c>
      <c r="G100" s="640"/>
      <c r="H100" s="640"/>
      <c r="I100" s="640">
        <v>3</v>
      </c>
      <c r="J100" s="640"/>
      <c r="K100" s="640"/>
      <c r="L100" s="640">
        <v>1</v>
      </c>
      <c r="M100" s="640"/>
      <c r="N100" s="640"/>
      <c r="O100" s="640">
        <v>2</v>
      </c>
      <c r="P100" s="640"/>
      <c r="Q100" s="640"/>
      <c r="R100" s="640">
        <v>3</v>
      </c>
      <c r="S100" s="640"/>
      <c r="T100" s="640"/>
      <c r="U100" s="640">
        <v>0</v>
      </c>
      <c r="V100" s="640"/>
      <c r="W100" s="640"/>
      <c r="X100" s="640">
        <v>1</v>
      </c>
      <c r="Y100" s="640"/>
      <c r="Z100" s="640"/>
      <c r="AA100" s="640">
        <v>4</v>
      </c>
      <c r="AB100" s="640"/>
      <c r="AC100" s="640"/>
      <c r="AD100" s="640">
        <v>2</v>
      </c>
      <c r="AE100" s="640"/>
      <c r="AF100" s="640"/>
      <c r="AG100" s="640">
        <v>0</v>
      </c>
      <c r="AH100" s="640"/>
      <c r="AI100" s="640"/>
      <c r="AJ100" s="640">
        <v>2</v>
      </c>
      <c r="AK100" s="640"/>
      <c r="AL100" s="640"/>
      <c r="AM100" s="640">
        <v>4</v>
      </c>
      <c r="AP100" s="366">
        <f>AM99</f>
        <v>1</v>
      </c>
      <c r="AS100" s="366">
        <f>AP99</f>
        <v>3</v>
      </c>
      <c r="AV100" s="366">
        <f>AS99</f>
        <v>2</v>
      </c>
      <c r="AY100" s="366">
        <f>AV99</f>
        <v>2</v>
      </c>
      <c r="BB100" s="366">
        <f>AY99</f>
        <v>6</v>
      </c>
      <c r="BE100" s="366">
        <f>BB99</f>
        <v>7</v>
      </c>
    </row>
    <row r="101" spans="1:57" hidden="1" outlineLevel="1">
      <c r="B101" s="640" t="s">
        <v>340</v>
      </c>
      <c r="C101" s="640"/>
      <c r="D101" s="640"/>
      <c r="E101" s="640"/>
      <c r="F101" s="640">
        <v>0</v>
      </c>
      <c r="G101" s="640"/>
      <c r="H101" s="640"/>
      <c r="I101" s="640">
        <v>0</v>
      </c>
      <c r="J101" s="640"/>
      <c r="K101" s="640"/>
      <c r="L101" s="640">
        <v>3</v>
      </c>
      <c r="M101" s="640"/>
      <c r="N101" s="640"/>
      <c r="O101" s="640">
        <v>1</v>
      </c>
      <c r="P101" s="640"/>
      <c r="Q101" s="640"/>
      <c r="R101" s="640">
        <v>2</v>
      </c>
      <c r="S101" s="640"/>
      <c r="T101" s="640"/>
      <c r="U101" s="640">
        <v>3</v>
      </c>
      <c r="V101" s="640"/>
      <c r="W101" s="640"/>
      <c r="X101" s="640">
        <v>0</v>
      </c>
      <c r="Y101" s="640"/>
      <c r="Z101" s="640"/>
      <c r="AA101" s="640">
        <v>1</v>
      </c>
      <c r="AB101" s="640"/>
      <c r="AC101" s="640"/>
      <c r="AD101" s="640">
        <v>4</v>
      </c>
      <c r="AE101" s="640"/>
      <c r="AF101" s="640"/>
      <c r="AG101" s="640">
        <v>2</v>
      </c>
      <c r="AH101" s="640"/>
      <c r="AI101" s="640"/>
      <c r="AJ101" s="640">
        <v>0</v>
      </c>
      <c r="AK101" s="640"/>
      <c r="AL101" s="640"/>
      <c r="AM101" s="640">
        <v>2</v>
      </c>
      <c r="AP101" s="366">
        <f>AM100</f>
        <v>4</v>
      </c>
      <c r="AS101" s="366">
        <f>AP100</f>
        <v>1</v>
      </c>
      <c r="AV101" s="366">
        <f>AS100</f>
        <v>3</v>
      </c>
      <c r="AY101" s="366">
        <f>AV100</f>
        <v>2</v>
      </c>
      <c r="BB101" s="366">
        <f>AY100</f>
        <v>2</v>
      </c>
      <c r="BE101" s="366">
        <f>BB100</f>
        <v>6</v>
      </c>
    </row>
    <row r="102" spans="1:57" hidden="1" outlineLevel="1">
      <c r="B102" s="640" t="s">
        <v>334</v>
      </c>
      <c r="C102" s="640"/>
      <c r="D102" s="640"/>
      <c r="E102" s="640"/>
      <c r="F102" s="640">
        <v>0</v>
      </c>
      <c r="G102" s="640"/>
      <c r="H102" s="640"/>
      <c r="I102" s="640">
        <v>0</v>
      </c>
      <c r="J102" s="640"/>
      <c r="K102" s="640"/>
      <c r="L102" s="640">
        <v>0</v>
      </c>
      <c r="M102" s="640"/>
      <c r="N102" s="640"/>
      <c r="O102" s="640">
        <v>3</v>
      </c>
      <c r="P102" s="640"/>
      <c r="Q102" s="640"/>
      <c r="R102" s="640">
        <v>4</v>
      </c>
      <c r="S102" s="640"/>
      <c r="T102" s="640"/>
      <c r="U102" s="640">
        <v>6</v>
      </c>
      <c r="V102" s="640"/>
      <c r="W102" s="640"/>
      <c r="X102" s="640">
        <v>9</v>
      </c>
      <c r="Y102" s="640"/>
      <c r="Z102" s="640"/>
      <c r="AA102" s="640">
        <v>9</v>
      </c>
      <c r="AB102" s="640"/>
      <c r="AC102" s="640"/>
      <c r="AD102" s="640">
        <v>10</v>
      </c>
      <c r="AE102" s="640"/>
      <c r="AF102" s="640"/>
      <c r="AG102" s="640">
        <v>14</v>
      </c>
      <c r="AH102" s="640"/>
      <c r="AI102" s="640"/>
      <c r="AJ102" s="640">
        <v>16</v>
      </c>
      <c r="AK102" s="640"/>
      <c r="AL102" s="640"/>
      <c r="AM102" s="640">
        <v>16</v>
      </c>
      <c r="AP102" s="366">
        <f>AM101+AM102</f>
        <v>18</v>
      </c>
      <c r="AS102" s="366">
        <f>AP101+AP102</f>
        <v>22</v>
      </c>
      <c r="AV102" s="366">
        <f>AS101+AS102</f>
        <v>23</v>
      </c>
      <c r="AY102" s="366">
        <f>AV101+AV102</f>
        <v>26</v>
      </c>
      <c r="BB102" s="366">
        <f>AY101+AY102</f>
        <v>28</v>
      </c>
      <c r="BE102" s="366">
        <f>BB101+BB102</f>
        <v>30</v>
      </c>
    </row>
    <row r="103" spans="1:57" hidden="1" outlineLevel="1">
      <c r="B103" s="640"/>
      <c r="C103" s="640"/>
      <c r="D103" s="640"/>
      <c r="E103" s="640"/>
      <c r="F103" s="640"/>
      <c r="G103" s="640"/>
      <c r="H103" s="640"/>
      <c r="I103" s="640"/>
      <c r="J103" s="640"/>
      <c r="K103" s="640"/>
      <c r="L103" s="640"/>
      <c r="M103" s="640"/>
      <c r="N103" s="640"/>
      <c r="O103" s="640"/>
      <c r="P103" s="640"/>
      <c r="Q103" s="640"/>
      <c r="R103" s="640"/>
      <c r="S103" s="640"/>
      <c r="T103" s="640"/>
      <c r="U103" s="640"/>
      <c r="V103" s="640"/>
      <c r="W103" s="640"/>
      <c r="X103" s="640"/>
      <c r="Y103" s="640"/>
      <c r="Z103" s="640"/>
      <c r="AA103" s="640"/>
      <c r="AB103" s="640"/>
      <c r="AC103" s="640"/>
      <c r="AD103" s="640"/>
      <c r="AE103" s="640"/>
      <c r="AF103" s="640"/>
      <c r="AG103" s="640"/>
      <c r="AH103" s="640"/>
      <c r="AI103" s="640"/>
      <c r="AJ103" s="640"/>
      <c r="AK103" s="640"/>
      <c r="AL103" s="640"/>
      <c r="AM103" s="640"/>
    </row>
    <row r="104" spans="1:57" hidden="1" outlineLevel="1">
      <c r="A104" s="290" t="s">
        <v>561</v>
      </c>
      <c r="B104" s="640" t="s">
        <v>184</v>
      </c>
      <c r="C104" s="640"/>
      <c r="D104" s="640"/>
      <c r="E104" s="640"/>
      <c r="F104" s="640">
        <v>6</v>
      </c>
      <c r="G104" s="640"/>
      <c r="H104" s="640"/>
      <c r="I104" s="640">
        <v>9</v>
      </c>
      <c r="J104" s="640"/>
      <c r="K104" s="640"/>
      <c r="L104" s="640">
        <v>9</v>
      </c>
      <c r="M104" s="640"/>
      <c r="N104" s="640"/>
      <c r="O104" s="640">
        <v>10</v>
      </c>
      <c r="P104" s="640"/>
      <c r="Q104" s="640"/>
      <c r="R104" s="640">
        <v>14</v>
      </c>
      <c r="S104" s="640"/>
      <c r="T104" s="640"/>
      <c r="U104" s="640">
        <v>16</v>
      </c>
      <c r="V104" s="640"/>
      <c r="W104" s="640"/>
      <c r="X104" s="640">
        <v>16</v>
      </c>
      <c r="Y104" s="640"/>
      <c r="Z104" s="640"/>
      <c r="AA104" s="640">
        <v>18</v>
      </c>
      <c r="AB104" s="640"/>
      <c r="AC104" s="640"/>
      <c r="AD104" s="640">
        <v>22</v>
      </c>
      <c r="AE104" s="640"/>
      <c r="AF104" s="640"/>
      <c r="AG104" s="640">
        <v>23</v>
      </c>
      <c r="AH104" s="640"/>
      <c r="AI104" s="640"/>
      <c r="AJ104" s="640">
        <v>26</v>
      </c>
      <c r="AK104" s="640"/>
      <c r="AL104" s="640"/>
      <c r="AM104" s="640">
        <v>28</v>
      </c>
      <c r="AP104" s="366">
        <f>SUM(AP97:AP102)</f>
        <v>30</v>
      </c>
      <c r="AS104" s="366">
        <f>SUM(AS97:AS102)</f>
        <v>36</v>
      </c>
      <c r="AT104" s="366">
        <f>AS104+AT97</f>
        <v>40</v>
      </c>
      <c r="AU104" s="366">
        <f>AV104</f>
        <v>43</v>
      </c>
      <c r="AV104" s="366">
        <f>SUM(AV97:AV102)</f>
        <v>43</v>
      </c>
      <c r="AW104" s="366">
        <f>AV104+AW97</f>
        <v>47</v>
      </c>
      <c r="AX104" s="366">
        <f>AY104</f>
        <v>47</v>
      </c>
      <c r="AY104" s="366">
        <f>SUM(AY97:AY102)</f>
        <v>47</v>
      </c>
      <c r="AZ104" s="366">
        <f>AY104+AZ97</f>
        <v>49</v>
      </c>
      <c r="BA104" s="366">
        <f>BB104</f>
        <v>52</v>
      </c>
      <c r="BB104" s="366">
        <f>SUM(BB97:BB102)</f>
        <v>52</v>
      </c>
      <c r="BC104" s="366">
        <f>BB104+BC97</f>
        <v>54</v>
      </c>
      <c r="BD104" s="366">
        <f>BE104</f>
        <v>57</v>
      </c>
      <c r="BE104" s="366">
        <f>SUM(BE97:BE102)</f>
        <v>57</v>
      </c>
    </row>
    <row r="105" spans="1:57" hidden="1" outlineLevel="1">
      <c r="A105" s="290" t="s">
        <v>560</v>
      </c>
      <c r="B105" s="640" t="s">
        <v>335</v>
      </c>
      <c r="C105" s="640">
        <v>1</v>
      </c>
      <c r="D105" s="640"/>
      <c r="E105" s="640"/>
      <c r="F105" s="640">
        <v>2</v>
      </c>
      <c r="G105" s="640"/>
      <c r="H105" s="640"/>
      <c r="I105" s="640">
        <v>4</v>
      </c>
      <c r="J105" s="640"/>
      <c r="K105" s="640"/>
      <c r="L105" s="640"/>
      <c r="M105" s="640"/>
      <c r="N105" s="640"/>
      <c r="O105" s="641">
        <v>5</v>
      </c>
      <c r="P105" s="640"/>
      <c r="Q105" s="640"/>
      <c r="R105" s="641">
        <v>6</v>
      </c>
      <c r="S105" s="640"/>
      <c r="T105" s="640"/>
      <c r="U105" s="641">
        <v>6</v>
      </c>
      <c r="V105" s="640"/>
      <c r="W105" s="640"/>
      <c r="X105" s="641">
        <v>6</v>
      </c>
      <c r="Y105" s="640"/>
      <c r="Z105" s="640"/>
      <c r="AA105" s="641">
        <v>7</v>
      </c>
      <c r="AB105" s="640"/>
      <c r="AC105" s="640"/>
      <c r="AD105" s="641">
        <v>8</v>
      </c>
      <c r="AE105" s="640"/>
      <c r="AF105" s="640"/>
      <c r="AG105" s="641">
        <v>8</v>
      </c>
      <c r="AH105" s="640"/>
      <c r="AI105" s="640"/>
      <c r="AJ105" s="641">
        <v>8</v>
      </c>
      <c r="AK105" s="640"/>
      <c r="AL105" s="640"/>
      <c r="AM105" s="641">
        <v>9</v>
      </c>
      <c r="AP105" s="330">
        <v>10</v>
      </c>
      <c r="AS105" s="330">
        <v>10</v>
      </c>
      <c r="AT105" s="330">
        <v>10</v>
      </c>
      <c r="AU105" s="366">
        <f>AV105</f>
        <v>10</v>
      </c>
      <c r="AV105" s="330">
        <v>10</v>
      </c>
      <c r="AW105" s="330">
        <v>11</v>
      </c>
      <c r="AX105" s="366">
        <f>AY105</f>
        <v>11</v>
      </c>
      <c r="AY105" s="330">
        <v>11</v>
      </c>
      <c r="AZ105" s="330">
        <v>13</v>
      </c>
      <c r="BA105" s="366">
        <f>BB105</f>
        <v>14</v>
      </c>
      <c r="BB105" s="330">
        <v>14</v>
      </c>
      <c r="BC105" s="330">
        <v>14</v>
      </c>
      <c r="BD105" s="366">
        <f>BE105</f>
        <v>14</v>
      </c>
      <c r="BE105" s="330">
        <v>14</v>
      </c>
    </row>
    <row r="106" spans="1:57" hidden="1" outlineLevel="1">
      <c r="B106" s="640" t="s">
        <v>336</v>
      </c>
      <c r="C106" s="640"/>
      <c r="D106" s="640"/>
      <c r="E106" s="640"/>
      <c r="F106" s="640"/>
      <c r="G106" s="640"/>
      <c r="H106" s="640"/>
      <c r="I106" s="640"/>
      <c r="J106" s="640"/>
      <c r="K106" s="640"/>
      <c r="L106" s="640"/>
      <c r="M106" s="640"/>
      <c r="N106" s="640"/>
      <c r="O106" s="642">
        <v>0.5</v>
      </c>
      <c r="P106" s="640"/>
      <c r="Q106" s="640"/>
      <c r="R106" s="642">
        <v>0.42857142857142855</v>
      </c>
      <c r="S106" s="640"/>
      <c r="T106" s="640"/>
      <c r="U106" s="642">
        <v>0.375</v>
      </c>
      <c r="V106" s="640"/>
      <c r="W106" s="640"/>
      <c r="X106" s="642">
        <v>0.375</v>
      </c>
      <c r="Y106" s="640"/>
      <c r="Z106" s="640"/>
      <c r="AA106" s="642">
        <v>0.3888888888888889</v>
      </c>
      <c r="AB106" s="640"/>
      <c r="AC106" s="640"/>
      <c r="AD106" s="642">
        <v>0.36363636363636365</v>
      </c>
      <c r="AE106" s="640"/>
      <c r="AF106" s="640"/>
      <c r="AG106" s="642">
        <v>0.34782608695652173</v>
      </c>
      <c r="AH106" s="640"/>
      <c r="AI106" s="640"/>
      <c r="AJ106" s="642">
        <v>0.30769230769230771</v>
      </c>
      <c r="AK106" s="640"/>
      <c r="AL106" s="640"/>
      <c r="AM106" s="642">
        <v>0.32142857142857145</v>
      </c>
      <c r="AP106" s="361">
        <f>AP105/AP104</f>
        <v>0.33333333333333331</v>
      </c>
      <c r="AS106" s="361">
        <f>AS105/AS104</f>
        <v>0.27777777777777779</v>
      </c>
    </row>
    <row r="107" spans="1:57" hidden="1" outlineLevel="1">
      <c r="B107" s="640"/>
      <c r="C107" s="640"/>
      <c r="D107" s="640"/>
      <c r="E107" s="640"/>
      <c r="F107" s="640"/>
      <c r="G107" s="640"/>
      <c r="H107" s="640"/>
      <c r="I107" s="640"/>
      <c r="J107" s="640"/>
      <c r="K107" s="640"/>
      <c r="L107" s="640"/>
      <c r="M107" s="640"/>
      <c r="N107" s="640"/>
      <c r="O107" s="640"/>
      <c r="P107" s="640"/>
      <c r="Q107" s="640"/>
      <c r="R107" s="640"/>
      <c r="S107" s="640"/>
      <c r="T107" s="640"/>
      <c r="U107" s="640"/>
      <c r="V107" s="640"/>
      <c r="W107" s="640"/>
      <c r="X107" s="640"/>
      <c r="Y107" s="640"/>
      <c r="Z107" s="640"/>
      <c r="AA107" s="640"/>
      <c r="AB107" s="640"/>
      <c r="AC107" s="640"/>
      <c r="AD107" s="640"/>
      <c r="AE107" s="640"/>
      <c r="AF107" s="640"/>
      <c r="AG107" s="640"/>
      <c r="AH107" s="640"/>
      <c r="AI107" s="640"/>
      <c r="AJ107" s="640"/>
      <c r="AK107" s="640"/>
      <c r="AL107" s="640"/>
      <c r="AM107" s="640"/>
    </row>
    <row r="108" spans="1:57" hidden="1" outlineLevel="1">
      <c r="B108" s="640"/>
      <c r="C108" s="640"/>
      <c r="D108" s="640"/>
      <c r="E108" s="640"/>
      <c r="F108" s="640">
        <v>1</v>
      </c>
      <c r="G108" s="640"/>
      <c r="H108" s="640"/>
      <c r="I108" s="640"/>
      <c r="J108" s="640"/>
      <c r="K108" s="640"/>
      <c r="L108" s="640"/>
      <c r="M108" s="640"/>
      <c r="N108" s="640"/>
      <c r="O108" s="640"/>
      <c r="P108" s="640"/>
      <c r="Q108" s="640"/>
      <c r="R108" s="640"/>
      <c r="S108" s="640"/>
      <c r="T108" s="640"/>
      <c r="U108" s="640"/>
      <c r="V108" s="640"/>
      <c r="W108" s="640"/>
      <c r="X108" s="640"/>
      <c r="Y108" s="640"/>
      <c r="Z108" s="640"/>
      <c r="AA108" s="640"/>
      <c r="AB108" s="640"/>
      <c r="AC108" s="640"/>
      <c r="AD108" s="640"/>
      <c r="AE108" s="640"/>
      <c r="AF108" s="640"/>
      <c r="AG108" s="640"/>
      <c r="AH108" s="640"/>
      <c r="AI108" s="640"/>
      <c r="AJ108" s="640"/>
      <c r="AK108" s="640"/>
      <c r="AL108" s="640"/>
      <c r="AM108" s="640"/>
    </row>
    <row r="109" spans="1:57" hidden="1" outlineLevel="1">
      <c r="B109" s="639" t="s">
        <v>360</v>
      </c>
      <c r="C109" s="640"/>
      <c r="D109" s="640"/>
      <c r="E109" s="640"/>
      <c r="F109" s="640"/>
      <c r="G109" s="640"/>
      <c r="H109" s="640"/>
      <c r="I109" s="640"/>
      <c r="J109" s="640"/>
      <c r="K109" s="640"/>
      <c r="L109" s="640"/>
      <c r="M109" s="640"/>
      <c r="N109" s="640"/>
      <c r="O109" s="640"/>
      <c r="P109" s="640"/>
      <c r="Q109" s="640"/>
      <c r="R109" s="640"/>
      <c r="S109" s="640"/>
      <c r="T109" s="640"/>
      <c r="U109" s="640"/>
      <c r="V109" s="640"/>
      <c r="W109" s="640"/>
      <c r="X109" s="640"/>
      <c r="Y109" s="640"/>
      <c r="Z109" s="640"/>
      <c r="AA109" s="640"/>
      <c r="AB109" s="640"/>
      <c r="AC109" s="640"/>
      <c r="AD109" s="640"/>
      <c r="AE109" s="640"/>
      <c r="AF109" s="640"/>
      <c r="AG109" s="640"/>
      <c r="AH109" s="640"/>
      <c r="AI109" s="640"/>
      <c r="AJ109" s="640"/>
      <c r="AK109" s="640"/>
      <c r="AL109" s="640"/>
      <c r="AM109" s="640"/>
    </row>
    <row r="110" spans="1:57" hidden="1" outlineLevel="1">
      <c r="A110" s="290" t="s">
        <v>559</v>
      </c>
      <c r="B110" s="640" t="s">
        <v>361</v>
      </c>
      <c r="C110" s="640"/>
      <c r="D110" s="640"/>
      <c r="E110" s="640"/>
      <c r="F110" s="640"/>
      <c r="G110" s="640"/>
      <c r="H110" s="640"/>
      <c r="I110" s="640"/>
      <c r="J110" s="640"/>
      <c r="K110" s="640"/>
      <c r="L110" s="640"/>
      <c r="M110" s="640"/>
      <c r="N110" s="640"/>
      <c r="O110" s="640"/>
      <c r="P110" s="640"/>
      <c r="Q110" s="640"/>
      <c r="R110" s="640"/>
      <c r="S110" s="640"/>
      <c r="T110" s="640"/>
      <c r="U110" s="640"/>
      <c r="V110" s="640"/>
      <c r="W110" s="640"/>
      <c r="X110" s="640"/>
      <c r="Y110" s="640"/>
      <c r="Z110" s="640"/>
      <c r="AA110" s="640"/>
      <c r="AB110" s="640"/>
      <c r="AC110" s="640"/>
      <c r="AD110" s="641">
        <v>6000</v>
      </c>
      <c r="AE110" s="640"/>
      <c r="AF110" s="640"/>
      <c r="AG110" s="641">
        <v>7000</v>
      </c>
      <c r="AH110" s="640"/>
      <c r="AI110" s="640"/>
      <c r="AJ110" s="641">
        <v>8000</v>
      </c>
      <c r="AK110" s="640"/>
      <c r="AL110" s="640"/>
      <c r="AM110" s="641">
        <v>12000</v>
      </c>
      <c r="AP110" s="330">
        <v>17000</v>
      </c>
      <c r="AS110" s="330">
        <v>18000</v>
      </c>
      <c r="AT110" s="330">
        <v>18000</v>
      </c>
      <c r="AU110" s="366">
        <f>AV110</f>
        <v>18000</v>
      </c>
      <c r="AV110" s="330">
        <v>18000</v>
      </c>
      <c r="AW110" s="330">
        <v>18000</v>
      </c>
      <c r="AX110" s="366">
        <f>AY110</f>
        <v>17000</v>
      </c>
      <c r="AY110" s="330">
        <v>17000</v>
      </c>
      <c r="AZ110" s="330">
        <v>17000</v>
      </c>
      <c r="BA110" s="366">
        <f>BB110</f>
        <v>17000</v>
      </c>
      <c r="BB110" s="330">
        <v>17000</v>
      </c>
      <c r="BC110" s="330">
        <v>16500</v>
      </c>
      <c r="BD110" s="366">
        <f>BE110</f>
        <v>17000</v>
      </c>
      <c r="BE110" s="330">
        <v>17000</v>
      </c>
    </row>
    <row r="111" spans="1:57" hidden="1" outlineLevel="1">
      <c r="B111" s="640"/>
      <c r="C111" s="640"/>
      <c r="D111" s="640"/>
      <c r="E111" s="640"/>
      <c r="F111" s="640"/>
      <c r="G111" s="640"/>
      <c r="H111" s="640"/>
      <c r="I111" s="640"/>
      <c r="J111" s="640"/>
      <c r="K111" s="640"/>
      <c r="L111" s="640"/>
      <c r="M111" s="640"/>
      <c r="N111" s="640"/>
      <c r="O111" s="640"/>
      <c r="P111" s="640"/>
      <c r="Q111" s="640"/>
      <c r="R111" s="640"/>
      <c r="S111" s="640"/>
      <c r="T111" s="640"/>
      <c r="U111" s="640"/>
      <c r="V111" s="640"/>
      <c r="W111" s="640"/>
      <c r="X111" s="640"/>
      <c r="Y111" s="640"/>
      <c r="Z111" s="640"/>
      <c r="AA111" s="640"/>
      <c r="AB111" s="640"/>
      <c r="AC111" s="640"/>
      <c r="AD111" s="640"/>
      <c r="AE111" s="640"/>
      <c r="AF111" s="640"/>
      <c r="AG111" s="640"/>
      <c r="AH111" s="640"/>
      <c r="AI111" s="640"/>
      <c r="AJ111" s="640"/>
      <c r="AK111" s="640"/>
      <c r="AL111" s="640"/>
      <c r="AM111" s="640"/>
    </row>
    <row r="112" spans="1:57" hidden="1" outlineLevel="1">
      <c r="B112" s="640" t="s">
        <v>362</v>
      </c>
      <c r="C112" s="640"/>
      <c r="D112" s="640"/>
      <c r="E112" s="640"/>
      <c r="F112" s="640"/>
      <c r="G112" s="640"/>
      <c r="H112" s="640"/>
      <c r="I112" s="640"/>
      <c r="J112" s="640"/>
      <c r="K112" s="640"/>
      <c r="L112" s="640"/>
      <c r="M112" s="640"/>
      <c r="N112" s="640"/>
      <c r="O112" s="640"/>
      <c r="P112" s="640"/>
      <c r="Q112" s="640"/>
      <c r="R112" s="640"/>
      <c r="S112" s="640"/>
      <c r="T112" s="640"/>
      <c r="U112" s="640"/>
      <c r="V112" s="640"/>
      <c r="W112" s="640"/>
      <c r="X112" s="640"/>
      <c r="Y112" s="640"/>
      <c r="Z112" s="640"/>
      <c r="AA112" s="640"/>
      <c r="AB112" s="640"/>
      <c r="AC112" s="640"/>
      <c r="AD112" s="640"/>
      <c r="AE112" s="640"/>
      <c r="AF112" s="640"/>
      <c r="AG112" s="640">
        <v>1000</v>
      </c>
      <c r="AH112" s="640"/>
      <c r="AI112" s="640"/>
      <c r="AJ112" s="640">
        <v>1000</v>
      </c>
      <c r="AK112" s="640"/>
      <c r="AL112" s="640"/>
      <c r="AM112" s="640">
        <v>4000</v>
      </c>
      <c r="AP112" s="366">
        <f>AP110-AM110</f>
        <v>5000</v>
      </c>
      <c r="AS112" s="366">
        <f>AS110-AP110</f>
        <v>1000</v>
      </c>
      <c r="AV112" s="366">
        <f>AV110-AS110</f>
        <v>0</v>
      </c>
      <c r="AY112" s="366">
        <f>AY110-AV110</f>
        <v>-1000</v>
      </c>
      <c r="AZ112" s="366">
        <f>AZ110-AX110</f>
        <v>0</v>
      </c>
      <c r="BB112" s="366">
        <f>BB110-AY110</f>
        <v>0</v>
      </c>
      <c r="BC112" s="366">
        <f>BC110-BA110</f>
        <v>-500</v>
      </c>
      <c r="BE112" s="366">
        <f>BE110-BB110</f>
        <v>0</v>
      </c>
    </row>
    <row r="113" spans="2:58" hidden="1" outlineLevel="1">
      <c r="B113" s="640"/>
      <c r="C113" s="640"/>
      <c r="D113" s="640"/>
      <c r="E113" s="640"/>
      <c r="F113" s="640"/>
      <c r="G113" s="640"/>
      <c r="H113" s="640"/>
      <c r="I113" s="640"/>
      <c r="J113" s="640"/>
      <c r="K113" s="640"/>
      <c r="L113" s="640"/>
      <c r="M113" s="640"/>
      <c r="N113" s="640"/>
      <c r="O113" s="640"/>
      <c r="P113" s="640"/>
      <c r="Q113" s="640"/>
      <c r="R113" s="640"/>
      <c r="S113" s="640"/>
      <c r="T113" s="640"/>
      <c r="U113" s="640"/>
      <c r="V113" s="640"/>
      <c r="W113" s="640"/>
      <c r="X113" s="640"/>
      <c r="Y113" s="640"/>
      <c r="Z113" s="640"/>
      <c r="AA113" s="640"/>
      <c r="AB113" s="640"/>
      <c r="AC113" s="640"/>
      <c r="AD113" s="640"/>
      <c r="AE113" s="640"/>
      <c r="AF113" s="640"/>
      <c r="AG113" s="640"/>
      <c r="AH113" s="640"/>
      <c r="AI113" s="640"/>
      <c r="AJ113" s="640"/>
      <c r="AK113" s="640"/>
      <c r="AL113" s="640"/>
      <c r="AM113" s="640"/>
    </row>
    <row r="114" spans="2:58" hidden="1" outlineLevel="1">
      <c r="B114" s="640" t="s">
        <v>363</v>
      </c>
      <c r="C114" s="640"/>
      <c r="D114" s="640"/>
      <c r="E114" s="640"/>
      <c r="F114" s="640"/>
      <c r="G114" s="640"/>
      <c r="H114" s="640"/>
      <c r="I114" s="640"/>
      <c r="J114" s="640"/>
      <c r="K114" s="640"/>
      <c r="L114" s="640"/>
      <c r="M114" s="640"/>
      <c r="N114" s="640"/>
      <c r="O114" s="640"/>
      <c r="P114" s="640"/>
      <c r="Q114" s="640"/>
      <c r="R114" s="640"/>
      <c r="S114" s="640"/>
      <c r="T114" s="640"/>
      <c r="U114" s="640"/>
      <c r="V114" s="640"/>
      <c r="W114" s="640"/>
      <c r="X114" s="640"/>
      <c r="Y114" s="640"/>
      <c r="Z114" s="640"/>
      <c r="AA114" s="640"/>
      <c r="AB114" s="640"/>
      <c r="AC114" s="640"/>
      <c r="AD114" s="640"/>
      <c r="AE114" s="640"/>
      <c r="AF114" s="640"/>
      <c r="AG114" s="640">
        <v>6500</v>
      </c>
      <c r="AH114" s="640"/>
      <c r="AI114" s="640"/>
      <c r="AJ114" s="640">
        <v>7500</v>
      </c>
      <c r="AK114" s="640"/>
      <c r="AL114" s="640"/>
      <c r="AM114" s="640">
        <v>10000</v>
      </c>
      <c r="AP114" s="366">
        <f>AVERAGE(AP110,AM110)</f>
        <v>14500</v>
      </c>
      <c r="AS114" s="366">
        <f>AVERAGE(AS110,AP110)</f>
        <v>17500</v>
      </c>
      <c r="AT114" s="366">
        <f>AVERAGE(AT110,AS110)</f>
        <v>18000</v>
      </c>
      <c r="AU114" s="366">
        <f>AVERAGE(AU110,AT110)</f>
        <v>18000</v>
      </c>
      <c r="AV114" s="366">
        <f>AVERAGE(AV110,AS110)</f>
        <v>18000</v>
      </c>
      <c r="AW114" s="366">
        <f>AVERAGE(AW110,AV110)</f>
        <v>18000</v>
      </c>
      <c r="AX114" s="366">
        <f>AVERAGE(AX110,AW110)</f>
        <v>17500</v>
      </c>
      <c r="AY114" s="366">
        <f>AVERAGE(AY110,AV110)</f>
        <v>17500</v>
      </c>
      <c r="AZ114" s="366">
        <f>AVERAGE(AZ110,AY110)</f>
        <v>17000</v>
      </c>
      <c r="BA114" s="366">
        <f>AVERAGE(BA110,AZ110)</f>
        <v>17000</v>
      </c>
      <c r="BB114" s="366">
        <f>AVERAGE(BB110,AY110)</f>
        <v>17000</v>
      </c>
      <c r="BC114" s="366">
        <f>AVERAGE(BC110,BB110)</f>
        <v>16750</v>
      </c>
      <c r="BD114" s="366">
        <f>AVERAGE(BD110,BC110)</f>
        <v>16750</v>
      </c>
      <c r="BE114" s="366">
        <f>AVERAGE(BE110,BB110)</f>
        <v>17000</v>
      </c>
    </row>
    <row r="115" spans="2:58" hidden="1" outlineLevel="1">
      <c r="B115" s="640"/>
      <c r="C115" s="640"/>
      <c r="D115" s="640"/>
      <c r="E115" s="640"/>
      <c r="F115" s="640"/>
      <c r="G115" s="640"/>
      <c r="H115" s="640"/>
      <c r="I115" s="640"/>
      <c r="J115" s="640"/>
      <c r="K115" s="640"/>
      <c r="L115" s="640"/>
      <c r="M115" s="640"/>
      <c r="N115" s="640"/>
      <c r="O115" s="640"/>
      <c r="P115" s="640"/>
      <c r="Q115" s="640"/>
      <c r="R115" s="640"/>
      <c r="S115" s="640"/>
      <c r="T115" s="640"/>
      <c r="U115" s="640"/>
      <c r="V115" s="640"/>
      <c r="W115" s="640"/>
      <c r="X115" s="640"/>
      <c r="Y115" s="640"/>
      <c r="Z115" s="640"/>
      <c r="AA115" s="640"/>
      <c r="AB115" s="640"/>
      <c r="AC115" s="640"/>
      <c r="AD115" s="640"/>
      <c r="AE115" s="640"/>
      <c r="AF115" s="640"/>
      <c r="AG115" s="640"/>
      <c r="AH115" s="640"/>
      <c r="AI115" s="640"/>
      <c r="AJ115" s="640"/>
      <c r="AK115" s="640"/>
      <c r="AL115" s="640"/>
      <c r="AM115" s="640"/>
    </row>
    <row r="116" spans="2:58" hidden="1" outlineLevel="1">
      <c r="B116" s="639" t="s">
        <v>569</v>
      </c>
      <c r="C116" s="640"/>
      <c r="D116" s="640"/>
      <c r="E116" s="640"/>
      <c r="F116" s="640"/>
      <c r="G116" s="640"/>
      <c r="H116" s="640"/>
      <c r="I116" s="640"/>
      <c r="J116" s="640"/>
      <c r="K116" s="640"/>
      <c r="L116" s="640"/>
      <c r="M116" s="640"/>
      <c r="N116" s="640"/>
      <c r="O116" s="640"/>
      <c r="P116" s="640"/>
      <c r="Q116" s="640"/>
      <c r="R116" s="640"/>
      <c r="S116" s="640"/>
      <c r="T116" s="640"/>
      <c r="U116" s="640"/>
      <c r="V116" s="640"/>
      <c r="W116" s="640"/>
      <c r="X116" s="640"/>
      <c r="Y116" s="640"/>
      <c r="Z116" s="640"/>
      <c r="AA116" s="640"/>
      <c r="AB116" s="640"/>
      <c r="AC116" s="640"/>
      <c r="AD116" s="640"/>
      <c r="AE116" s="640"/>
      <c r="AF116" s="640"/>
      <c r="AG116" s="640"/>
      <c r="AH116" s="640"/>
      <c r="AI116" s="640">
        <v>51000</v>
      </c>
      <c r="AJ116" s="641">
        <v>51000</v>
      </c>
      <c r="AK116" s="641">
        <v>54000</v>
      </c>
      <c r="AL116" s="640">
        <v>51000</v>
      </c>
      <c r="AM116" s="641">
        <v>51000</v>
      </c>
      <c r="AN116" s="330"/>
      <c r="AP116" s="330">
        <v>60000</v>
      </c>
      <c r="AQ116" s="330">
        <v>60000</v>
      </c>
      <c r="AR116" s="366">
        <f>AS116</f>
        <v>72000</v>
      </c>
      <c r="AS116" s="330">
        <v>72000</v>
      </c>
      <c r="AT116" s="330">
        <v>72000</v>
      </c>
    </row>
    <row r="117" spans="2:58" hidden="1" outlineLevel="1">
      <c r="B117" s="640" t="s">
        <v>230</v>
      </c>
      <c r="C117" s="640"/>
      <c r="D117" s="640"/>
      <c r="E117" s="640"/>
      <c r="F117" s="640"/>
      <c r="G117" s="640"/>
      <c r="H117" s="640"/>
      <c r="I117" s="640"/>
      <c r="J117" s="640"/>
      <c r="K117" s="640"/>
      <c r="L117" s="640"/>
      <c r="M117" s="640"/>
      <c r="N117" s="640"/>
      <c r="O117" s="640"/>
      <c r="P117" s="640"/>
      <c r="Q117" s="640"/>
      <c r="R117" s="640"/>
      <c r="S117" s="640"/>
      <c r="T117" s="640"/>
      <c r="U117" s="640"/>
      <c r="V117" s="640"/>
      <c r="W117" s="640"/>
      <c r="X117" s="640"/>
      <c r="Y117" s="640"/>
      <c r="Z117" s="640"/>
      <c r="AA117" s="640"/>
      <c r="AB117" s="640"/>
      <c r="AC117" s="640"/>
      <c r="AD117" s="640"/>
      <c r="AE117" s="640"/>
      <c r="AF117" s="640"/>
      <c r="AG117" s="640"/>
      <c r="AH117" s="640"/>
      <c r="AI117" s="640"/>
      <c r="AJ117" s="640"/>
      <c r="AK117" s="640"/>
      <c r="AL117" s="642">
        <v>0</v>
      </c>
      <c r="AM117" s="642">
        <v>0</v>
      </c>
      <c r="AN117" s="276"/>
      <c r="AO117" s="276"/>
      <c r="AP117" s="361">
        <f t="shared" ref="AP117:AT117" si="37">AP116/AM116-1</f>
        <v>0.17647058823529416</v>
      </c>
      <c r="AQ117" s="361" t="e">
        <f t="shared" si="37"/>
        <v>#DIV/0!</v>
      </c>
      <c r="AR117" s="361" t="e">
        <f t="shared" si="37"/>
        <v>#DIV/0!</v>
      </c>
      <c r="AS117" s="361">
        <f t="shared" si="37"/>
        <v>0.19999999999999996</v>
      </c>
      <c r="AT117" s="361">
        <f t="shared" si="37"/>
        <v>0.19999999999999996</v>
      </c>
    </row>
    <row r="118" spans="2:58" hidden="1" outlineLevel="1">
      <c r="B118" s="640"/>
      <c r="C118" s="640"/>
      <c r="D118" s="640"/>
      <c r="E118" s="640"/>
      <c r="F118" s="640"/>
      <c r="G118" s="640"/>
      <c r="H118" s="640"/>
      <c r="I118" s="640"/>
      <c r="J118" s="640"/>
      <c r="K118" s="640"/>
      <c r="L118" s="640"/>
      <c r="M118" s="640"/>
      <c r="N118" s="640"/>
      <c r="O118" s="640"/>
      <c r="P118" s="640"/>
      <c r="Q118" s="640"/>
      <c r="R118" s="640"/>
      <c r="S118" s="640"/>
      <c r="T118" s="640"/>
      <c r="U118" s="640"/>
      <c r="V118" s="640"/>
      <c r="W118" s="640"/>
      <c r="X118" s="640"/>
      <c r="Y118" s="640"/>
      <c r="Z118" s="640"/>
      <c r="AA118" s="640"/>
      <c r="AB118" s="640"/>
      <c r="AC118" s="640"/>
      <c r="AD118" s="640"/>
      <c r="AE118" s="640"/>
      <c r="AF118" s="640"/>
      <c r="AG118" s="640"/>
      <c r="AH118" s="640"/>
      <c r="AI118" s="640"/>
      <c r="AJ118" s="640"/>
      <c r="AK118" s="640"/>
      <c r="AL118" s="640"/>
      <c r="AM118" s="640"/>
    </row>
    <row r="119" spans="2:58" hidden="1" outlineLevel="1">
      <c r="B119" s="639" t="s">
        <v>668</v>
      </c>
      <c r="C119" s="640"/>
      <c r="D119" s="640"/>
      <c r="E119" s="640"/>
      <c r="F119" s="640"/>
      <c r="G119" s="640"/>
      <c r="H119" s="640"/>
      <c r="I119" s="640"/>
      <c r="J119" s="640"/>
      <c r="K119" s="640"/>
      <c r="L119" s="640"/>
      <c r="M119" s="640"/>
      <c r="N119" s="640"/>
      <c r="O119" s="640"/>
      <c r="P119" s="640"/>
      <c r="Q119" s="640"/>
      <c r="R119" s="640"/>
      <c r="S119" s="640"/>
      <c r="T119" s="640"/>
      <c r="U119" s="640"/>
      <c r="V119" s="640"/>
      <c r="W119" s="640"/>
      <c r="X119" s="640"/>
      <c r="Y119" s="640"/>
      <c r="Z119" s="640"/>
      <c r="AA119" s="640"/>
      <c r="AB119" s="640"/>
      <c r="AC119" s="640"/>
      <c r="AD119" s="640"/>
      <c r="AE119" s="640"/>
      <c r="AF119" s="640"/>
      <c r="AG119" s="640"/>
      <c r="AH119" s="640"/>
      <c r="AI119" s="640">
        <v>3000</v>
      </c>
      <c r="AJ119" s="641">
        <v>3000</v>
      </c>
      <c r="AK119" s="641">
        <v>3000</v>
      </c>
      <c r="AL119" s="640">
        <v>3500</v>
      </c>
      <c r="AM119" s="641">
        <v>3500</v>
      </c>
      <c r="AN119" s="330"/>
      <c r="AP119" s="330">
        <v>3900</v>
      </c>
      <c r="AQ119" s="330">
        <v>4000</v>
      </c>
      <c r="AR119" s="366">
        <f>AS119</f>
        <v>4300</v>
      </c>
      <c r="AS119" s="330">
        <v>4300</v>
      </c>
      <c r="AT119" s="330">
        <v>4600</v>
      </c>
      <c r="AU119" s="366">
        <f>AV119</f>
        <v>4900</v>
      </c>
      <c r="AV119" s="330">
        <v>4900</v>
      </c>
      <c r="AW119" s="330">
        <v>5200</v>
      </c>
      <c r="AX119" s="366">
        <f>AY119</f>
        <v>5300</v>
      </c>
      <c r="AY119" s="330">
        <v>5300</v>
      </c>
      <c r="AZ119" s="330">
        <v>5500</v>
      </c>
      <c r="BA119" s="366">
        <f>BB119</f>
        <v>5600</v>
      </c>
      <c r="BB119" s="330">
        <v>5600</v>
      </c>
      <c r="BC119" s="330">
        <v>5800</v>
      </c>
      <c r="BD119" s="366">
        <f>BE119</f>
        <v>57000</v>
      </c>
      <c r="BE119" s="330">
        <v>57000</v>
      </c>
    </row>
    <row r="120" spans="2:58" hidden="1" outlineLevel="1">
      <c r="B120" s="640" t="s">
        <v>230</v>
      </c>
      <c r="C120" s="640"/>
      <c r="D120" s="640"/>
      <c r="E120" s="640"/>
      <c r="F120" s="640"/>
      <c r="G120" s="640"/>
      <c r="H120" s="640"/>
      <c r="I120" s="640"/>
      <c r="J120" s="640"/>
      <c r="K120" s="640"/>
      <c r="L120" s="640"/>
      <c r="M120" s="640"/>
      <c r="N120" s="640"/>
      <c r="O120" s="640"/>
      <c r="P120" s="640"/>
      <c r="Q120" s="640"/>
      <c r="R120" s="640"/>
      <c r="S120" s="640"/>
      <c r="T120" s="640"/>
      <c r="U120" s="640"/>
      <c r="V120" s="640"/>
      <c r="W120" s="640"/>
      <c r="X120" s="640"/>
      <c r="Y120" s="640"/>
      <c r="Z120" s="640"/>
      <c r="AA120" s="640"/>
      <c r="AB120" s="640"/>
      <c r="AC120" s="640"/>
      <c r="AD120" s="640"/>
      <c r="AE120" s="640"/>
      <c r="AF120" s="640"/>
      <c r="AG120" s="640"/>
      <c r="AH120" s="640"/>
      <c r="AI120" s="640"/>
      <c r="AJ120" s="640"/>
      <c r="AK120" s="640"/>
      <c r="AL120" s="642">
        <v>0.16666666666666674</v>
      </c>
      <c r="AM120" s="642">
        <v>0.16666666666666674</v>
      </c>
      <c r="AN120" s="276"/>
      <c r="AO120" s="276"/>
      <c r="AP120" s="361">
        <f t="shared" ref="AP120:AU120" si="38">AP119/AM119-1</f>
        <v>0.11428571428571432</v>
      </c>
      <c r="AQ120" s="361" t="e">
        <f t="shared" si="38"/>
        <v>#DIV/0!</v>
      </c>
      <c r="AR120" s="361" t="e">
        <f t="shared" si="38"/>
        <v>#DIV/0!</v>
      </c>
      <c r="AS120" s="361">
        <f t="shared" si="38"/>
        <v>0.10256410256410264</v>
      </c>
      <c r="AT120" s="361">
        <f>AT119/AQ119-1</f>
        <v>0.14999999999999991</v>
      </c>
      <c r="AU120" s="361">
        <f t="shared" si="38"/>
        <v>0.13953488372093026</v>
      </c>
      <c r="AV120" s="361">
        <f>AV119/AS119-1</f>
        <v>0.13953488372093026</v>
      </c>
      <c r="AW120" s="361">
        <f>AW119/AT119-1</f>
        <v>0.13043478260869557</v>
      </c>
      <c r="AX120" s="361">
        <f t="shared" ref="AX120" si="39">AX119/AU119-1</f>
        <v>8.163265306122458E-2</v>
      </c>
      <c r="AY120" s="361">
        <f>AY119/AV119-1</f>
        <v>8.163265306122458E-2</v>
      </c>
      <c r="AZ120" s="361">
        <f>AZ119/AW119-1</f>
        <v>5.7692307692307709E-2</v>
      </c>
      <c r="BA120" s="361">
        <f t="shared" ref="BA120" si="40">BA119/AX119-1</f>
        <v>5.6603773584905648E-2</v>
      </c>
      <c r="BB120" s="361">
        <f>BB119/AY119-1</f>
        <v>5.6603773584905648E-2</v>
      </c>
      <c r="BC120" s="361">
        <f>BC119/AZ119-1</f>
        <v>5.4545454545454453E-2</v>
      </c>
      <c r="BD120" s="361">
        <f t="shared" ref="BD120" si="41">BD119/BA119-1</f>
        <v>9.1785714285714288</v>
      </c>
      <c r="BE120" s="361">
        <f>BE119/BB119-1</f>
        <v>9.1785714285714288</v>
      </c>
    </row>
    <row r="121" spans="2:58" hidden="1" outlineLevel="1">
      <c r="B121" s="640"/>
      <c r="C121" s="640"/>
      <c r="D121" s="640"/>
      <c r="E121" s="640"/>
      <c r="F121" s="640"/>
      <c r="G121" s="640"/>
      <c r="H121" s="640"/>
      <c r="I121" s="640"/>
      <c r="J121" s="640"/>
      <c r="K121" s="640"/>
      <c r="L121" s="640"/>
      <c r="M121" s="640"/>
      <c r="N121" s="640"/>
      <c r="O121" s="640"/>
      <c r="P121" s="640"/>
      <c r="Q121" s="640"/>
      <c r="R121" s="640"/>
      <c r="S121" s="640"/>
      <c r="T121" s="640"/>
      <c r="U121" s="640"/>
      <c r="V121" s="640"/>
      <c r="W121" s="640"/>
      <c r="X121" s="640"/>
      <c r="Y121" s="640"/>
      <c r="Z121" s="640"/>
      <c r="AA121" s="640"/>
      <c r="AB121" s="640"/>
      <c r="AC121" s="640"/>
      <c r="AD121" s="640"/>
      <c r="AE121" s="640"/>
      <c r="AF121" s="640"/>
      <c r="AG121" s="640"/>
      <c r="AH121" s="640"/>
      <c r="AI121" s="640"/>
      <c r="AJ121" s="640"/>
      <c r="AK121" s="640"/>
      <c r="AL121" s="640"/>
      <c r="AM121" s="640"/>
    </row>
    <row r="122" spans="2:58" hidden="1" outlineLevel="1">
      <c r="B122" s="639" t="s">
        <v>366</v>
      </c>
      <c r="C122" s="640"/>
      <c r="D122" s="640"/>
      <c r="E122" s="640"/>
      <c r="F122" s="640"/>
      <c r="G122" s="640"/>
      <c r="H122" s="640"/>
      <c r="I122" s="640"/>
      <c r="J122" s="640"/>
      <c r="K122" s="640"/>
      <c r="L122" s="640"/>
      <c r="M122" s="640"/>
      <c r="N122" s="640"/>
      <c r="O122" s="640"/>
      <c r="P122" s="640"/>
      <c r="Q122" s="640"/>
      <c r="R122" s="640"/>
      <c r="S122" s="640"/>
      <c r="T122" s="640"/>
      <c r="U122" s="640"/>
      <c r="V122" s="640"/>
      <c r="W122" s="640"/>
      <c r="X122" s="640"/>
      <c r="Y122" s="640"/>
      <c r="Z122" s="640"/>
      <c r="AA122" s="640"/>
      <c r="AB122" s="640"/>
      <c r="AC122" s="640"/>
      <c r="AD122" s="640"/>
      <c r="AE122" s="640"/>
      <c r="AF122" s="640"/>
      <c r="AG122" s="640"/>
      <c r="AH122" s="640"/>
      <c r="AI122" s="640"/>
      <c r="AJ122" s="640"/>
      <c r="AK122" s="640"/>
      <c r="AL122" s="640"/>
      <c r="AM122" s="640"/>
      <c r="AS122" s="129" t="s">
        <v>647</v>
      </c>
      <c r="AV122" s="129" t="s">
        <v>659</v>
      </c>
      <c r="AX122" s="336"/>
      <c r="AY122" s="336"/>
      <c r="AZ122" s="129" t="s">
        <v>659</v>
      </c>
      <c r="BA122" s="336"/>
      <c r="BB122" s="336" t="s">
        <v>671</v>
      </c>
      <c r="BC122" s="336" t="s">
        <v>672</v>
      </c>
      <c r="BD122" s="336"/>
      <c r="BE122" s="336" t="s">
        <v>1065</v>
      </c>
      <c r="BF122" s="336" t="str">
        <f>BF2</f>
        <v>2026E</v>
      </c>
    </row>
    <row r="123" spans="2:58" hidden="1" outlineLevel="1">
      <c r="B123" s="640" t="s">
        <v>648</v>
      </c>
      <c r="C123" s="640"/>
      <c r="D123" s="640"/>
      <c r="E123" s="640"/>
      <c r="F123" s="640"/>
      <c r="G123" s="640"/>
      <c r="H123" s="640"/>
      <c r="I123" s="640"/>
      <c r="J123" s="640"/>
      <c r="K123" s="640"/>
      <c r="L123" s="640"/>
      <c r="M123" s="640"/>
      <c r="N123" s="640"/>
      <c r="O123" s="640"/>
      <c r="P123" s="640"/>
      <c r="Q123" s="640"/>
      <c r="R123" s="640"/>
      <c r="S123" s="640"/>
      <c r="T123" s="640"/>
      <c r="U123" s="640"/>
      <c r="V123" s="640"/>
      <c r="W123" s="640"/>
      <c r="X123" s="640"/>
      <c r="Y123" s="640"/>
      <c r="Z123" s="640"/>
      <c r="AA123" s="640"/>
      <c r="AB123" s="640"/>
      <c r="AC123" s="640"/>
      <c r="AD123" s="640"/>
      <c r="AE123" s="640"/>
      <c r="AF123" s="640"/>
      <c r="AG123" s="640"/>
      <c r="AH123" s="640"/>
      <c r="AI123" s="640"/>
      <c r="AJ123" s="640"/>
      <c r="AK123" s="640"/>
      <c r="AL123" s="640"/>
      <c r="AM123" s="640"/>
      <c r="AS123" s="325">
        <v>0.12</v>
      </c>
      <c r="AV123" s="325">
        <v>0.1</v>
      </c>
      <c r="AX123" s="352"/>
      <c r="AY123" s="325"/>
      <c r="AZ123" s="325">
        <v>0.1</v>
      </c>
      <c r="BA123" s="352"/>
      <c r="BB123" s="325">
        <v>0.11</v>
      </c>
      <c r="BC123" s="325"/>
      <c r="BD123" s="352"/>
      <c r="BE123" s="325">
        <v>0.11</v>
      </c>
      <c r="BF123" s="325"/>
    </row>
    <row r="124" spans="2:58" hidden="1" outlineLevel="1">
      <c r="B124" s="640" t="s">
        <v>658</v>
      </c>
      <c r="C124" s="640"/>
      <c r="D124" s="640"/>
      <c r="E124" s="640"/>
      <c r="F124" s="640"/>
      <c r="G124" s="640"/>
      <c r="H124" s="640"/>
      <c r="I124" s="640"/>
      <c r="J124" s="640"/>
      <c r="K124" s="640"/>
      <c r="L124" s="640"/>
      <c r="M124" s="640"/>
      <c r="N124" s="640"/>
      <c r="O124" s="640"/>
      <c r="P124" s="640"/>
      <c r="Q124" s="640"/>
      <c r="R124" s="640"/>
      <c r="S124" s="640"/>
      <c r="T124" s="640"/>
      <c r="U124" s="640"/>
      <c r="V124" s="640"/>
      <c r="W124" s="640"/>
      <c r="X124" s="640"/>
      <c r="Y124" s="640"/>
      <c r="Z124" s="640"/>
      <c r="AA124" s="640"/>
      <c r="AB124" s="640"/>
      <c r="AC124" s="640"/>
      <c r="AD124" s="640"/>
      <c r="AE124" s="640"/>
      <c r="AF124" s="640"/>
      <c r="AG124" s="640"/>
      <c r="AH124" s="640"/>
      <c r="AI124" s="640"/>
      <c r="AJ124" s="640"/>
      <c r="AK124" s="640"/>
      <c r="AL124" s="640"/>
      <c r="AM124" s="640"/>
      <c r="AS124" s="367">
        <f>6%+3%</f>
        <v>0.09</v>
      </c>
      <c r="AV124" s="325">
        <v>7.0000000000000007E-2</v>
      </c>
      <c r="AX124" s="352"/>
      <c r="AY124" s="325"/>
      <c r="AZ124" s="325">
        <v>7.0000000000000007E-2</v>
      </c>
      <c r="BA124" s="325"/>
      <c r="BB124" s="325">
        <v>0.05</v>
      </c>
      <c r="BC124" s="325"/>
      <c r="BD124" s="325"/>
      <c r="BE124" s="325">
        <v>0.04</v>
      </c>
      <c r="BF124" s="325"/>
    </row>
    <row r="125" spans="2:58" hidden="1" outlineLevel="1">
      <c r="B125" s="640"/>
      <c r="C125" s="640"/>
      <c r="D125" s="640"/>
      <c r="E125" s="640"/>
      <c r="F125" s="640"/>
      <c r="G125" s="640"/>
      <c r="H125" s="640"/>
      <c r="I125" s="640"/>
      <c r="J125" s="640"/>
      <c r="K125" s="640"/>
      <c r="L125" s="640"/>
      <c r="M125" s="640"/>
      <c r="N125" s="640"/>
      <c r="O125" s="640"/>
      <c r="P125" s="640"/>
      <c r="Q125" s="640"/>
      <c r="R125" s="640"/>
      <c r="S125" s="640"/>
      <c r="T125" s="640"/>
      <c r="U125" s="640"/>
      <c r="V125" s="640"/>
      <c r="W125" s="640"/>
      <c r="X125" s="640"/>
      <c r="Y125" s="640"/>
      <c r="Z125" s="640"/>
      <c r="AA125" s="640"/>
      <c r="AB125" s="640"/>
      <c r="AC125" s="640"/>
      <c r="AD125" s="640"/>
      <c r="AE125" s="640"/>
      <c r="AF125" s="640"/>
      <c r="AG125" s="640"/>
      <c r="AH125" s="640"/>
      <c r="AI125" s="640"/>
      <c r="AJ125" s="640"/>
      <c r="AK125" s="640"/>
      <c r="AL125" s="640"/>
      <c r="AM125" s="640"/>
      <c r="AS125" s="325"/>
      <c r="AV125" s="325"/>
      <c r="AX125" s="352"/>
      <c r="AY125" s="352"/>
      <c r="AZ125" s="325"/>
      <c r="BA125" s="352"/>
      <c r="BB125" s="325"/>
      <c r="BC125" s="325"/>
      <c r="BD125" s="352"/>
      <c r="BE125" s="325"/>
      <c r="BF125" s="352"/>
    </row>
    <row r="126" spans="2:58" hidden="1" outlineLevel="1">
      <c r="B126" s="640" t="s">
        <v>364</v>
      </c>
      <c r="C126" s="640"/>
      <c r="D126" s="640"/>
      <c r="E126" s="640"/>
      <c r="F126" s="640"/>
      <c r="G126" s="640"/>
      <c r="H126" s="640"/>
      <c r="I126" s="640"/>
      <c r="J126" s="640"/>
      <c r="K126" s="640"/>
      <c r="L126" s="640"/>
      <c r="M126" s="640"/>
      <c r="N126" s="640"/>
      <c r="O126" s="640"/>
      <c r="P126" s="640"/>
      <c r="Q126" s="640"/>
      <c r="R126" s="640"/>
      <c r="S126" s="640"/>
      <c r="T126" s="640"/>
      <c r="U126" s="640"/>
      <c r="V126" s="640"/>
      <c r="W126" s="640"/>
      <c r="X126" s="640"/>
      <c r="Y126" s="640"/>
      <c r="Z126" s="640"/>
      <c r="AA126" s="640"/>
      <c r="AB126" s="640"/>
      <c r="AC126" s="640"/>
      <c r="AD126" s="640"/>
      <c r="AE126" s="640"/>
      <c r="AF126" s="640"/>
      <c r="AG126" s="640"/>
      <c r="AH126" s="640"/>
      <c r="AI126" s="640"/>
      <c r="AJ126" s="640"/>
      <c r="AK126" s="640"/>
      <c r="AL126" s="640"/>
      <c r="AM126" s="640"/>
      <c r="AS126" s="325">
        <v>0.03</v>
      </c>
      <c r="AV126" s="325">
        <v>0.03</v>
      </c>
      <c r="AX126" s="352"/>
      <c r="AY126" s="325"/>
      <c r="AZ126" s="325">
        <v>0.03</v>
      </c>
      <c r="BA126" s="352"/>
      <c r="BB126" s="352">
        <v>0.01</v>
      </c>
      <c r="BC126" s="352"/>
      <c r="BD126" s="352"/>
      <c r="BE126" s="352">
        <v>0.01</v>
      </c>
      <c r="BF126" s="352"/>
    </row>
    <row r="127" spans="2:58" hidden="1" outlineLevel="1">
      <c r="B127" s="640" t="s">
        <v>649</v>
      </c>
      <c r="C127" s="640"/>
      <c r="D127" s="640"/>
      <c r="E127" s="640"/>
      <c r="F127" s="640"/>
      <c r="G127" s="640"/>
      <c r="H127" s="640"/>
      <c r="I127" s="640"/>
      <c r="J127" s="640"/>
      <c r="K127" s="640"/>
      <c r="L127" s="640"/>
      <c r="M127" s="640"/>
      <c r="N127" s="640"/>
      <c r="O127" s="640"/>
      <c r="P127" s="640"/>
      <c r="Q127" s="640"/>
      <c r="R127" s="640"/>
      <c r="S127" s="640"/>
      <c r="T127" s="640"/>
      <c r="U127" s="640"/>
      <c r="V127" s="640"/>
      <c r="W127" s="640"/>
      <c r="X127" s="640"/>
      <c r="Y127" s="640"/>
      <c r="Z127" s="640"/>
      <c r="AA127" s="640"/>
      <c r="AB127" s="640"/>
      <c r="AC127" s="640"/>
      <c r="AD127" s="640"/>
      <c r="AE127" s="640"/>
      <c r="AF127" s="640"/>
      <c r="AG127" s="640"/>
      <c r="AH127" s="640"/>
      <c r="AI127" s="640"/>
      <c r="AJ127" s="640"/>
      <c r="AK127" s="640"/>
      <c r="AL127" s="640"/>
      <c r="AM127" s="640"/>
      <c r="AS127" s="325">
        <v>0.03</v>
      </c>
      <c r="AV127" s="325">
        <v>0.05</v>
      </c>
      <c r="AX127" s="352"/>
      <c r="AY127" s="325"/>
      <c r="AZ127" s="325">
        <v>0.05</v>
      </c>
      <c r="BA127" s="352"/>
      <c r="BB127" s="352">
        <v>0.04</v>
      </c>
      <c r="BC127" s="352"/>
      <c r="BD127" s="352"/>
      <c r="BE127" s="352">
        <v>0.04</v>
      </c>
      <c r="BF127" s="352"/>
    </row>
    <row r="128" spans="2:58" hidden="1" outlineLevel="1">
      <c r="B128" s="640" t="s">
        <v>624</v>
      </c>
      <c r="C128" s="640"/>
      <c r="D128" s="640"/>
      <c r="E128" s="640"/>
      <c r="F128" s="640"/>
      <c r="G128" s="640"/>
      <c r="H128" s="640"/>
      <c r="I128" s="640"/>
      <c r="J128" s="640"/>
      <c r="K128" s="640"/>
      <c r="L128" s="640"/>
      <c r="M128" s="640"/>
      <c r="N128" s="640"/>
      <c r="O128" s="640"/>
      <c r="P128" s="640"/>
      <c r="Q128" s="640"/>
      <c r="R128" s="640"/>
      <c r="S128" s="640"/>
      <c r="T128" s="640"/>
      <c r="U128" s="640"/>
      <c r="V128" s="640"/>
      <c r="W128" s="640"/>
      <c r="X128" s="640"/>
      <c r="Y128" s="640"/>
      <c r="Z128" s="640"/>
      <c r="AA128" s="640"/>
      <c r="AB128" s="640"/>
      <c r="AC128" s="640"/>
      <c r="AD128" s="640"/>
      <c r="AE128" s="640"/>
      <c r="AF128" s="640"/>
      <c r="AG128" s="640"/>
      <c r="AH128" s="640"/>
      <c r="AI128" s="640"/>
      <c r="AJ128" s="640"/>
      <c r="AK128" s="640"/>
      <c r="AL128" s="640"/>
      <c r="AM128" s="640"/>
      <c r="AS128" s="325">
        <v>0.04</v>
      </c>
      <c r="AV128" s="325">
        <v>0.05</v>
      </c>
      <c r="AX128" s="352"/>
      <c r="AY128" s="325"/>
      <c r="AZ128" s="325">
        <v>0.05</v>
      </c>
      <c r="BA128" s="325"/>
      <c r="BB128" s="325">
        <v>0.06</v>
      </c>
      <c r="BC128" s="325"/>
      <c r="BD128" s="325"/>
      <c r="BE128" s="325">
        <v>0.06</v>
      </c>
      <c r="BF128" s="325"/>
    </row>
    <row r="129" spans="1:60" hidden="1" outlineLevel="1">
      <c r="B129" s="640" t="s">
        <v>669</v>
      </c>
      <c r="C129" s="640"/>
      <c r="D129" s="640"/>
      <c r="E129" s="640"/>
      <c r="F129" s="640"/>
      <c r="G129" s="640"/>
      <c r="H129" s="640"/>
      <c r="I129" s="640"/>
      <c r="J129" s="640"/>
      <c r="K129" s="640"/>
      <c r="L129" s="640"/>
      <c r="M129" s="640"/>
      <c r="N129" s="640"/>
      <c r="O129" s="640"/>
      <c r="P129" s="640"/>
      <c r="Q129" s="640"/>
      <c r="R129" s="640"/>
      <c r="S129" s="640"/>
      <c r="T129" s="640"/>
      <c r="U129" s="640"/>
      <c r="V129" s="640"/>
      <c r="W129" s="640"/>
      <c r="X129" s="640"/>
      <c r="Y129" s="640"/>
      <c r="Z129" s="640"/>
      <c r="AA129" s="640"/>
      <c r="AB129" s="640"/>
      <c r="AC129" s="640"/>
      <c r="AD129" s="640"/>
      <c r="AE129" s="640"/>
      <c r="AF129" s="640"/>
      <c r="AG129" s="640"/>
      <c r="AH129" s="640"/>
      <c r="AI129" s="640"/>
      <c r="AJ129" s="640"/>
      <c r="AK129" s="640"/>
      <c r="AL129" s="640"/>
      <c r="AM129" s="640"/>
      <c r="AS129" s="325"/>
      <c r="AV129" s="325">
        <v>0.03</v>
      </c>
      <c r="AX129" s="352"/>
      <c r="AY129" s="353"/>
      <c r="AZ129" s="325">
        <v>0.03</v>
      </c>
      <c r="BA129" s="352"/>
      <c r="BB129" s="352">
        <v>0.06</v>
      </c>
      <c r="BC129" s="352"/>
      <c r="BD129" s="352"/>
      <c r="BE129" s="352">
        <v>0.05</v>
      </c>
      <c r="BF129" s="352"/>
    </row>
    <row r="130" spans="1:60" hidden="1" outlineLevel="1">
      <c r="B130" s="639" t="s">
        <v>365</v>
      </c>
      <c r="C130" s="640"/>
      <c r="D130" s="640"/>
      <c r="E130" s="640"/>
      <c r="F130" s="640"/>
      <c r="G130" s="640"/>
      <c r="H130" s="640"/>
      <c r="I130" s="640"/>
      <c r="J130" s="640"/>
      <c r="K130" s="640"/>
      <c r="L130" s="640"/>
      <c r="M130" s="640"/>
      <c r="N130" s="640"/>
      <c r="O130" s="640"/>
      <c r="P130" s="640"/>
      <c r="Q130" s="640"/>
      <c r="R130" s="640"/>
      <c r="S130" s="640"/>
      <c r="T130" s="640"/>
      <c r="U130" s="640"/>
      <c r="V130" s="640"/>
      <c r="W130" s="640"/>
      <c r="X130" s="640"/>
      <c r="Y130" s="640"/>
      <c r="Z130" s="640"/>
      <c r="AA130" s="640"/>
      <c r="AB130" s="640"/>
      <c r="AC130" s="640"/>
      <c r="AD130" s="640"/>
      <c r="AE130" s="640"/>
      <c r="AF130" s="640"/>
      <c r="AG130" s="640"/>
      <c r="AH130" s="640"/>
      <c r="AI130" s="640"/>
      <c r="AJ130" s="640"/>
      <c r="AK130" s="640"/>
      <c r="AL130" s="640"/>
      <c r="AM130" s="640"/>
      <c r="AS130" s="368">
        <f>SUM(AS126:AS129,AS123:AS125)</f>
        <v>0.31</v>
      </c>
      <c r="AV130" s="368">
        <f>SUM(AV126:AV129,AV123:AV125)</f>
        <v>0.33</v>
      </c>
      <c r="AX130" s="354"/>
      <c r="AY130" s="354"/>
      <c r="AZ130" s="368">
        <f>SUM(AZ126:AZ129,AZ123:AZ125)</f>
        <v>0.33</v>
      </c>
      <c r="BA130" s="354"/>
      <c r="BB130" s="369">
        <f>SUM(BB126:BB129,BB123:BB125)</f>
        <v>0.32999999999999996</v>
      </c>
      <c r="BC130" s="354"/>
      <c r="BD130" s="354"/>
      <c r="BE130" s="369">
        <f>SUM(BE126:BE129,BE123:BE125)</f>
        <v>0.31</v>
      </c>
      <c r="BF130" s="354"/>
    </row>
    <row r="131" spans="1:60" hidden="1" outlineLevel="1">
      <c r="B131" s="640" t="s">
        <v>252</v>
      </c>
      <c r="C131" s="640"/>
      <c r="D131" s="640"/>
      <c r="E131" s="640"/>
      <c r="F131" s="640"/>
      <c r="G131" s="640"/>
      <c r="H131" s="640"/>
      <c r="I131" s="640"/>
      <c r="J131" s="640"/>
      <c r="K131" s="640"/>
      <c r="L131" s="640"/>
      <c r="M131" s="640"/>
      <c r="N131" s="640"/>
      <c r="O131" s="640"/>
      <c r="P131" s="640"/>
      <c r="Q131" s="640"/>
      <c r="R131" s="640"/>
      <c r="S131" s="640"/>
      <c r="T131" s="640"/>
      <c r="U131" s="640"/>
      <c r="V131" s="640"/>
      <c r="W131" s="640"/>
      <c r="X131" s="640"/>
      <c r="Y131" s="640"/>
      <c r="Z131" s="640"/>
      <c r="AA131" s="640"/>
      <c r="AB131" s="640"/>
      <c r="AC131" s="640"/>
      <c r="AD131" s="640"/>
      <c r="AE131" s="640"/>
      <c r="AF131" s="640"/>
      <c r="AG131" s="640"/>
      <c r="AH131" s="640"/>
      <c r="AI131" s="640"/>
      <c r="AJ131" s="640"/>
      <c r="AK131" s="640"/>
      <c r="AL131" s="640"/>
      <c r="AM131" s="640"/>
      <c r="AV131" s="355"/>
      <c r="AX131" s="355"/>
      <c r="AY131" s="355"/>
      <c r="AZ131" s="355"/>
      <c r="BA131" s="355"/>
      <c r="BD131" s="355"/>
    </row>
    <row r="132" spans="1:60" hidden="1" outlineLevel="1">
      <c r="B132" s="640"/>
      <c r="C132" s="640"/>
      <c r="D132" s="640"/>
      <c r="E132" s="640"/>
      <c r="F132" s="640"/>
      <c r="G132" s="640"/>
      <c r="H132" s="640"/>
      <c r="I132" s="640"/>
      <c r="J132" s="640"/>
      <c r="K132" s="640"/>
      <c r="L132" s="640"/>
      <c r="M132" s="640"/>
      <c r="N132" s="640"/>
      <c r="O132" s="640"/>
      <c r="P132" s="640"/>
      <c r="Q132" s="640"/>
      <c r="R132" s="640"/>
      <c r="S132" s="640"/>
      <c r="T132" s="640"/>
      <c r="U132" s="640"/>
      <c r="V132" s="640"/>
      <c r="W132" s="640"/>
      <c r="X132" s="640"/>
      <c r="Y132" s="640"/>
      <c r="Z132" s="640"/>
      <c r="AA132" s="640"/>
      <c r="AB132" s="640"/>
      <c r="AC132" s="640"/>
      <c r="AD132" s="640"/>
      <c r="AE132" s="640"/>
      <c r="AF132" s="640"/>
      <c r="AG132" s="640"/>
      <c r="AH132" s="640"/>
      <c r="AI132" s="640"/>
      <c r="AJ132" s="640"/>
      <c r="AK132" s="640"/>
      <c r="AL132" s="640"/>
      <c r="AM132" s="640"/>
      <c r="AV132" s="328"/>
      <c r="AX132" s="328"/>
      <c r="BA132" s="328"/>
      <c r="BD132" s="328"/>
    </row>
    <row r="133" spans="1:60" s="306" customFormat="1" collapsed="1">
      <c r="A133" s="346"/>
      <c r="B133" s="306" t="s">
        <v>711</v>
      </c>
      <c r="C133" s="654"/>
      <c r="D133" s="654"/>
      <c r="E133" s="654"/>
      <c r="F133" s="654"/>
      <c r="G133" s="654"/>
      <c r="H133" s="654"/>
      <c r="I133" s="654"/>
      <c r="J133" s="654"/>
      <c r="K133" s="654"/>
      <c r="L133" s="654"/>
      <c r="M133" s="654"/>
      <c r="N133" s="654"/>
      <c r="O133" s="654"/>
      <c r="P133" s="654"/>
      <c r="Q133" s="654"/>
      <c r="R133" s="654"/>
      <c r="S133" s="654"/>
      <c r="T133" s="654"/>
      <c r="U133" s="654"/>
      <c r="V133" s="654"/>
      <c r="W133" s="654"/>
      <c r="X133" s="654"/>
      <c r="Y133" s="654"/>
      <c r="Z133" s="654"/>
      <c r="AA133" s="655"/>
      <c r="AB133" s="656"/>
      <c r="AC133" s="654"/>
      <c r="AD133" s="655"/>
      <c r="AE133" s="656"/>
      <c r="AF133" s="654"/>
      <c r="AG133" s="655"/>
      <c r="AH133" s="655"/>
      <c r="AI133" s="654"/>
      <c r="AJ133" s="655"/>
      <c r="AK133" s="655"/>
      <c r="AL133" s="654"/>
      <c r="AM133" s="655"/>
      <c r="AN133" s="657">
        <f t="shared" ref="AN133:BA133" si="42">+AN136</f>
        <v>91.8</v>
      </c>
      <c r="AO133" s="657">
        <f t="shared" si="42"/>
        <v>94.7</v>
      </c>
      <c r="AP133" s="657">
        <f t="shared" si="42"/>
        <v>186.5</v>
      </c>
      <c r="AQ133" s="657">
        <f t="shared" si="42"/>
        <v>112.6</v>
      </c>
      <c r="AR133" s="657">
        <f t="shared" si="42"/>
        <v>146.20000000000002</v>
      </c>
      <c r="AS133" s="657">
        <f t="shared" si="42"/>
        <v>258.8</v>
      </c>
      <c r="AT133" s="657">
        <f t="shared" si="42"/>
        <v>149.19999999999999</v>
      </c>
      <c r="AU133" s="657">
        <f t="shared" si="42"/>
        <v>191.3</v>
      </c>
      <c r="AV133" s="657">
        <f t="shared" si="42"/>
        <v>340.5</v>
      </c>
      <c r="AW133" s="657">
        <f t="shared" si="42"/>
        <v>203.1</v>
      </c>
      <c r="AX133" s="657">
        <f t="shared" si="42"/>
        <v>242.79999999999998</v>
      </c>
      <c r="AY133" s="657">
        <f t="shared" si="42"/>
        <v>445.9</v>
      </c>
      <c r="AZ133" s="658">
        <f>+AZ136-SUM(AZ134:AZ135)</f>
        <v>273.09999999999997</v>
      </c>
      <c r="BA133" s="657">
        <f t="shared" si="42"/>
        <v>302.80000000000007</v>
      </c>
      <c r="BB133" s="658">
        <f>+BB136-SUM(BB134:BB135)</f>
        <v>577.70000000000005</v>
      </c>
      <c r="BC133" s="658">
        <f>+BC136-SUM(BC134:BC135)</f>
        <v>326.39999999999998</v>
      </c>
      <c r="BD133" s="657">
        <f t="shared" ref="BD133" si="43">+BD136</f>
        <v>350.50000000000006</v>
      </c>
      <c r="BE133" s="658">
        <f>+BE136-SUM(BE134:BE135)</f>
        <v>682.2</v>
      </c>
      <c r="BF133" s="658">
        <f t="shared" ref="BF133:BH133" si="44">+BF136-SUM(BF134:BF135)</f>
        <v>791.58500000000004</v>
      </c>
      <c r="BG133" s="658">
        <f t="shared" si="44"/>
        <v>1001.98125</v>
      </c>
      <c r="BH133" s="658">
        <f t="shared" si="44"/>
        <v>1242.4567500000001</v>
      </c>
    </row>
    <row r="134" spans="1:60" s="371" customFormat="1">
      <c r="A134" s="370"/>
      <c r="B134" s="371" t="s">
        <v>682</v>
      </c>
      <c r="AN134" s="374">
        <f>+AN136-AN133</f>
        <v>0</v>
      </c>
      <c r="AO134" s="374">
        <f>+AP134-AN134</f>
        <v>0</v>
      </c>
      <c r="AP134" s="374">
        <f>+AP136-AP133</f>
        <v>0</v>
      </c>
      <c r="AQ134" s="374">
        <f>+AQ136-AQ133</f>
        <v>0</v>
      </c>
      <c r="AR134" s="374">
        <f>+AS134-AQ134</f>
        <v>0</v>
      </c>
      <c r="AS134" s="374">
        <f>+AS136-AS133</f>
        <v>0</v>
      </c>
      <c r="AT134" s="374">
        <f>+AT136-AT133</f>
        <v>0</v>
      </c>
      <c r="AU134" s="374">
        <f>+AV134-AT134</f>
        <v>0</v>
      </c>
      <c r="AV134" s="374">
        <f>+AV136-AV133</f>
        <v>0</v>
      </c>
      <c r="AW134" s="374">
        <f>+AW136-AW133</f>
        <v>0</v>
      </c>
      <c r="AX134" s="374">
        <f>+AY134-AW134</f>
        <v>0</v>
      </c>
      <c r="AY134" s="374">
        <f>+AY136-AY133</f>
        <v>0</v>
      </c>
      <c r="AZ134" s="374"/>
      <c r="BA134" s="374"/>
      <c r="BB134" s="374"/>
      <c r="BC134" s="375">
        <v>-0.6</v>
      </c>
      <c r="BD134" s="374"/>
      <c r="BE134" s="374"/>
      <c r="BF134" s="375">
        <v>10</v>
      </c>
      <c r="BG134" s="375">
        <v>0</v>
      </c>
      <c r="BH134" s="375">
        <v>0</v>
      </c>
    </row>
    <row r="135" spans="1:60" s="371" customFormat="1">
      <c r="A135" s="370"/>
      <c r="B135" s="371" t="s">
        <v>226</v>
      </c>
      <c r="AN135" s="374"/>
      <c r="AO135" s="374"/>
      <c r="AP135" s="374"/>
      <c r="AQ135" s="374"/>
      <c r="AR135" s="374"/>
      <c r="AS135" s="374"/>
      <c r="AT135" s="374"/>
      <c r="AU135" s="374"/>
      <c r="AV135" s="374"/>
      <c r="AW135" s="374"/>
      <c r="AX135" s="374"/>
      <c r="AY135" s="374"/>
      <c r="AZ135" s="375">
        <v>1.8</v>
      </c>
      <c r="BA135" s="374"/>
      <c r="BB135" s="374"/>
      <c r="BC135" s="375">
        <v>5.9</v>
      </c>
      <c r="BD135" s="374"/>
      <c r="BE135" s="374"/>
      <c r="BF135" s="375"/>
      <c r="BG135" s="375"/>
      <c r="BH135" s="375"/>
    </row>
    <row r="136" spans="1:60" s="377" customFormat="1">
      <c r="A136" s="376"/>
      <c r="B136" s="377" t="s">
        <v>681</v>
      </c>
      <c r="AN136" s="378">
        <f t="shared" ref="AN136:BB136" si="45">+AN70</f>
        <v>91.8</v>
      </c>
      <c r="AO136" s="378">
        <f t="shared" si="45"/>
        <v>94.7</v>
      </c>
      <c r="AP136" s="378">
        <f t="shared" si="45"/>
        <v>186.5</v>
      </c>
      <c r="AQ136" s="378">
        <f t="shared" si="45"/>
        <v>112.6</v>
      </c>
      <c r="AR136" s="378">
        <f t="shared" si="45"/>
        <v>146.20000000000002</v>
      </c>
      <c r="AS136" s="378">
        <f t="shared" si="45"/>
        <v>258.8</v>
      </c>
      <c r="AT136" s="378">
        <f t="shared" si="45"/>
        <v>149.19999999999999</v>
      </c>
      <c r="AU136" s="378">
        <f t="shared" si="45"/>
        <v>191.3</v>
      </c>
      <c r="AV136" s="378">
        <f t="shared" si="45"/>
        <v>340.5</v>
      </c>
      <c r="AW136" s="378">
        <f t="shared" si="45"/>
        <v>203.1</v>
      </c>
      <c r="AX136" s="378">
        <f t="shared" si="45"/>
        <v>242.79999999999998</v>
      </c>
      <c r="AY136" s="378">
        <f t="shared" si="45"/>
        <v>445.9</v>
      </c>
      <c r="AZ136" s="378">
        <f t="shared" si="45"/>
        <v>274.89999999999998</v>
      </c>
      <c r="BA136" s="378">
        <f t="shared" si="45"/>
        <v>302.80000000000007</v>
      </c>
      <c r="BB136" s="378">
        <f t="shared" si="45"/>
        <v>577.70000000000005</v>
      </c>
      <c r="BC136" s="378">
        <f t="shared" ref="BC136:BE136" si="46">+BC70</f>
        <v>331.7</v>
      </c>
      <c r="BD136" s="378">
        <f t="shared" si="46"/>
        <v>350.50000000000006</v>
      </c>
      <c r="BE136" s="378">
        <f t="shared" si="46"/>
        <v>682.2</v>
      </c>
      <c r="BF136" s="378">
        <f>+BE136*(1+BF140)</f>
        <v>801.58500000000004</v>
      </c>
      <c r="BG136" s="378">
        <f>+BF136*(1+BG140)</f>
        <v>1001.98125</v>
      </c>
      <c r="BH136" s="378">
        <f t="shared" ref="BH136" si="47">+BG136*(1+BH140)</f>
        <v>1242.4567500000001</v>
      </c>
    </row>
    <row r="137" spans="1:60">
      <c r="AN137" s="314"/>
      <c r="AO137" s="314"/>
      <c r="AP137" s="314"/>
      <c r="AQ137" s="314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314"/>
      <c r="BG137" s="314"/>
      <c r="BH137" s="314"/>
    </row>
    <row r="138" spans="1:60">
      <c r="B138" s="372" t="s">
        <v>683</v>
      </c>
      <c r="AN138" s="314"/>
      <c r="AO138" s="314"/>
      <c r="AP138" s="314"/>
      <c r="AQ138" s="314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314"/>
      <c r="BG138" s="314"/>
      <c r="BH138" s="314"/>
    </row>
    <row r="139" spans="1:60">
      <c r="B139" s="338" t="s">
        <v>680</v>
      </c>
      <c r="AN139" s="314"/>
      <c r="AO139" s="314"/>
      <c r="AP139" s="314"/>
      <c r="AQ139" s="314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59">
        <f>+BC133/AZ133-1</f>
        <v>0.19516660563896004</v>
      </c>
      <c r="BD139" s="314"/>
      <c r="BE139" s="314"/>
      <c r="BF139" s="314"/>
      <c r="BG139" s="314"/>
      <c r="BH139" s="314"/>
    </row>
    <row r="140" spans="1:60" s="338" customFormat="1">
      <c r="A140" s="337"/>
      <c r="B140" s="338" t="s">
        <v>710</v>
      </c>
      <c r="AA140" s="339"/>
      <c r="AB140" s="339"/>
      <c r="AC140" s="339"/>
      <c r="AD140" s="339"/>
      <c r="AE140" s="339"/>
      <c r="AF140" s="339"/>
      <c r="AG140" s="339"/>
      <c r="AH140" s="339"/>
      <c r="AI140" s="339"/>
      <c r="AJ140" s="339"/>
      <c r="AK140" s="339"/>
      <c r="AL140" s="339"/>
      <c r="AM140" s="339"/>
      <c r="AN140" s="340"/>
      <c r="AO140" s="340"/>
      <c r="AP140" s="340"/>
      <c r="AQ140" s="359">
        <f t="shared" ref="AQ140:BC140" si="48">+AQ136/AN136-1</f>
        <v>0.22657952069716769</v>
      </c>
      <c r="AR140" s="359">
        <f t="shared" si="48"/>
        <v>0.54382259767687446</v>
      </c>
      <c r="AS140" s="359">
        <f t="shared" si="48"/>
        <v>0.3876675603217159</v>
      </c>
      <c r="AT140" s="359">
        <f t="shared" si="48"/>
        <v>0.32504440497335696</v>
      </c>
      <c r="AU140" s="359">
        <f t="shared" si="48"/>
        <v>0.30848153214774277</v>
      </c>
      <c r="AV140" s="359">
        <f t="shared" si="48"/>
        <v>0.31568778979907264</v>
      </c>
      <c r="AW140" s="359">
        <f t="shared" si="48"/>
        <v>0.36126005361930291</v>
      </c>
      <c r="AX140" s="359">
        <f t="shared" si="48"/>
        <v>0.26921066387872439</v>
      </c>
      <c r="AY140" s="359">
        <f t="shared" si="48"/>
        <v>0.30954478707782673</v>
      </c>
      <c r="AZ140" s="359">
        <f t="shared" si="48"/>
        <v>0.35352043328409644</v>
      </c>
      <c r="BA140" s="359">
        <f t="shared" si="48"/>
        <v>0.24711696869851774</v>
      </c>
      <c r="BB140" s="359">
        <f>+BB136/AY136-1</f>
        <v>0.29558196905135703</v>
      </c>
      <c r="BC140" s="359">
        <f t="shared" si="48"/>
        <v>0.206620589305202</v>
      </c>
      <c r="BD140" s="359">
        <f t="shared" ref="BD140" si="49">+BD136/BA136-1</f>
        <v>0.15752972258916764</v>
      </c>
      <c r="BE140" s="359">
        <f>+BE136/BB136-1</f>
        <v>0.18088973515665563</v>
      </c>
      <c r="BF140" s="1148">
        <v>0.17499999999999999</v>
      </c>
      <c r="BG140" s="1148">
        <v>0.25</v>
      </c>
      <c r="BH140" s="1148">
        <v>0.24</v>
      </c>
    </row>
    <row r="141" spans="1:60" s="338" customFormat="1">
      <c r="A141" s="337"/>
      <c r="AA141" s="339"/>
      <c r="AB141" s="339"/>
      <c r="AC141" s="339"/>
      <c r="AD141" s="339"/>
      <c r="AE141" s="339"/>
      <c r="AF141" s="339"/>
      <c r="AG141" s="339"/>
      <c r="AH141" s="339"/>
      <c r="AI141" s="339"/>
      <c r="AJ141" s="339"/>
      <c r="AK141" s="339"/>
      <c r="AL141" s="339"/>
      <c r="AM141" s="339"/>
      <c r="AN141" s="340"/>
      <c r="AO141" s="340"/>
      <c r="AP141" s="340"/>
      <c r="AQ141" s="359"/>
      <c r="AR141" s="359"/>
      <c r="AS141" s="359"/>
      <c r="AT141" s="359"/>
      <c r="AU141" s="359"/>
      <c r="AV141" s="359"/>
      <c r="AW141" s="359"/>
      <c r="AX141" s="359"/>
      <c r="AY141" s="359"/>
      <c r="AZ141" s="359"/>
      <c r="BA141" s="359"/>
      <c r="BB141" s="359"/>
      <c r="BC141" s="359"/>
      <c r="BD141" s="359"/>
      <c r="BE141" s="359"/>
      <c r="BF141" s="241"/>
      <c r="BG141" s="241"/>
      <c r="BH141" s="241"/>
    </row>
    <row r="142" spans="1:60" s="338" customFormat="1">
      <c r="A142" s="337"/>
      <c r="AA142" s="339"/>
      <c r="AB142" s="339"/>
      <c r="AC142" s="339"/>
      <c r="AD142" s="339"/>
      <c r="AE142" s="339"/>
      <c r="AF142" s="339"/>
      <c r="AG142" s="339"/>
      <c r="AH142" s="339"/>
      <c r="AI142" s="339"/>
      <c r="AJ142" s="339"/>
      <c r="AK142" s="339"/>
      <c r="AL142" s="339"/>
      <c r="AM142" s="339"/>
      <c r="AN142" s="340"/>
      <c r="AO142" s="340"/>
      <c r="AP142" s="340"/>
      <c r="AQ142" s="359"/>
      <c r="AR142" s="359"/>
      <c r="AS142" s="359"/>
      <c r="AT142" s="359"/>
      <c r="AU142" s="359"/>
      <c r="AV142" s="359"/>
      <c r="AW142" s="359"/>
      <c r="AX142" s="359"/>
      <c r="AY142" s="359"/>
      <c r="AZ142" s="359"/>
      <c r="BA142" s="359"/>
      <c r="BB142" s="359"/>
      <c r="BC142" s="359"/>
      <c r="BD142" s="359"/>
      <c r="BE142" s="359"/>
      <c r="BF142" s="241"/>
      <c r="BG142" s="241"/>
      <c r="BH142" s="241"/>
    </row>
    <row r="143" spans="1:60" s="306" customFormat="1" collapsed="1">
      <c r="A143" s="346"/>
      <c r="B143" s="306" t="s">
        <v>674</v>
      </c>
      <c r="C143" s="654"/>
      <c r="D143" s="654"/>
      <c r="E143" s="654"/>
      <c r="F143" s="654"/>
      <c r="G143" s="654"/>
      <c r="H143" s="654"/>
      <c r="I143" s="654"/>
      <c r="J143" s="654"/>
      <c r="K143" s="654"/>
      <c r="L143" s="654"/>
      <c r="M143" s="654"/>
      <c r="N143" s="654"/>
      <c r="O143" s="654"/>
      <c r="P143" s="654"/>
      <c r="Q143" s="654"/>
      <c r="R143" s="654"/>
      <c r="S143" s="654"/>
      <c r="T143" s="654"/>
      <c r="U143" s="654"/>
      <c r="V143" s="654"/>
      <c r="W143" s="654"/>
      <c r="X143" s="654"/>
      <c r="Y143" s="654"/>
      <c r="Z143" s="654"/>
      <c r="AA143" s="655"/>
      <c r="AB143" s="656"/>
      <c r="AC143" s="654"/>
      <c r="AD143" s="655"/>
      <c r="AE143" s="656"/>
      <c r="AF143" s="654"/>
      <c r="AG143" s="655"/>
      <c r="AH143" s="655"/>
      <c r="AI143" s="654"/>
      <c r="AJ143" s="655"/>
      <c r="AK143" s="655"/>
      <c r="AL143" s="654"/>
      <c r="AM143" s="655"/>
      <c r="AN143" s="657"/>
      <c r="AO143" s="657"/>
      <c r="AP143" s="657"/>
      <c r="AQ143" s="657"/>
      <c r="AR143" s="657"/>
      <c r="AS143" s="657"/>
      <c r="AT143" s="657"/>
      <c r="AU143" s="657"/>
      <c r="AV143" s="657"/>
      <c r="AW143" s="657"/>
      <c r="AX143" s="657"/>
      <c r="AY143" s="657"/>
      <c r="AZ143" s="658"/>
      <c r="BA143" s="657"/>
      <c r="BB143" s="658"/>
      <c r="BC143" s="658"/>
      <c r="BD143" s="1146"/>
      <c r="BE143" s="658"/>
      <c r="BF143" s="658"/>
      <c r="BG143" s="658"/>
      <c r="BH143" s="658"/>
    </row>
    <row r="144" spans="1:60">
      <c r="B144" s="129" t="s">
        <v>716</v>
      </c>
      <c r="AI144" s="356"/>
      <c r="AJ144" s="356"/>
      <c r="AK144" s="356"/>
      <c r="AL144" s="356"/>
      <c r="AM144" s="356"/>
      <c r="AN144" s="1112">
        <f t="shared" ref="AN144:BB144" si="50">+AN71</f>
        <v>49.5</v>
      </c>
      <c r="AO144" s="1112">
        <f t="shared" si="50"/>
        <v>51.900000000000006</v>
      </c>
      <c r="AP144" s="1112">
        <f t="shared" si="50"/>
        <v>101.4</v>
      </c>
      <c r="AQ144" s="1112">
        <f t="shared" si="50"/>
        <v>57.4</v>
      </c>
      <c r="AR144" s="1112">
        <f t="shared" si="50"/>
        <v>60.800000000000004</v>
      </c>
      <c r="AS144" s="1112">
        <f t="shared" si="50"/>
        <v>118.2</v>
      </c>
      <c r="AT144" s="1112">
        <f t="shared" si="50"/>
        <v>58.5</v>
      </c>
      <c r="AU144" s="1112">
        <f t="shared" si="50"/>
        <v>61.900000000000006</v>
      </c>
      <c r="AV144" s="1112">
        <f t="shared" si="50"/>
        <v>120.4</v>
      </c>
      <c r="AW144" s="1112">
        <f t="shared" si="50"/>
        <v>52.2</v>
      </c>
      <c r="AX144" s="1112">
        <f t="shared" si="50"/>
        <v>54.099999999999994</v>
      </c>
      <c r="AY144" s="1112">
        <f t="shared" si="50"/>
        <v>106.3</v>
      </c>
      <c r="AZ144" s="1112">
        <f t="shared" si="50"/>
        <v>52.1</v>
      </c>
      <c r="BA144" s="1112">
        <f t="shared" si="50"/>
        <v>53.800000000000004</v>
      </c>
      <c r="BB144" s="1112">
        <f t="shared" si="50"/>
        <v>105.9</v>
      </c>
      <c r="BC144" s="1112">
        <f>+BC71</f>
        <v>49.3</v>
      </c>
      <c r="BD144" s="1112">
        <f t="shared" ref="BD144:BE144" si="51">+BD71</f>
        <v>47.2</v>
      </c>
      <c r="BE144" s="1112">
        <f t="shared" si="51"/>
        <v>96.5</v>
      </c>
      <c r="BF144" s="1112">
        <f>+BE144*(1+BF150)</f>
        <v>91.674999999999997</v>
      </c>
      <c r="BG144" s="1112">
        <f t="shared" ref="BG144:BH144" si="52">+BF144*(1+BG150)</f>
        <v>87.091249999999988</v>
      </c>
      <c r="BH144" s="1112">
        <f t="shared" si="52"/>
        <v>82.736687499999988</v>
      </c>
    </row>
    <row r="145" spans="1:60" s="678" customFormat="1">
      <c r="A145" s="1091"/>
      <c r="B145" s="678" t="s">
        <v>1044</v>
      </c>
      <c r="BF145" s="1104">
        <f>+BF156/12*11</f>
        <v>475.53075724513332</v>
      </c>
      <c r="BG145" s="1104">
        <f>+BG156</f>
        <v>538.91888060516999</v>
      </c>
      <c r="BH145" s="1104">
        <f>+BH156</f>
        <v>565.85338274702099</v>
      </c>
    </row>
    <row r="146" spans="1:60" s="678" customFormat="1">
      <c r="A146" s="1091"/>
      <c r="B146" s="678" t="s">
        <v>1045</v>
      </c>
      <c r="BF146" s="1104">
        <f>+BF157/12*11</f>
        <v>46.923196725166655</v>
      </c>
      <c r="BG146" s="1104">
        <f>+BG157</f>
        <v>40.95115350559999</v>
      </c>
      <c r="BH146" s="1104">
        <f>+BH157</f>
        <v>32.760922804479996</v>
      </c>
    </row>
    <row r="147" spans="1:60" s="1093" customFormat="1">
      <c r="A147" s="1092"/>
      <c r="B147" s="1093" t="s">
        <v>1046</v>
      </c>
      <c r="AN147" s="1105">
        <f t="shared" ref="AN147:BC147" si="53">SUM(AN144:AN146)</f>
        <v>49.5</v>
      </c>
      <c r="AO147" s="1105">
        <f t="shared" si="53"/>
        <v>51.900000000000006</v>
      </c>
      <c r="AP147" s="1105">
        <f t="shared" si="53"/>
        <v>101.4</v>
      </c>
      <c r="AQ147" s="1105">
        <f t="shared" si="53"/>
        <v>57.4</v>
      </c>
      <c r="AR147" s="1105">
        <f t="shared" si="53"/>
        <v>60.800000000000004</v>
      </c>
      <c r="AS147" s="1105">
        <f t="shared" si="53"/>
        <v>118.2</v>
      </c>
      <c r="AT147" s="1105">
        <f t="shared" si="53"/>
        <v>58.5</v>
      </c>
      <c r="AU147" s="1105">
        <f t="shared" si="53"/>
        <v>61.900000000000006</v>
      </c>
      <c r="AV147" s="1105">
        <f t="shared" si="53"/>
        <v>120.4</v>
      </c>
      <c r="AW147" s="1105">
        <f t="shared" si="53"/>
        <v>52.2</v>
      </c>
      <c r="AX147" s="1105">
        <f t="shared" si="53"/>
        <v>54.099999999999994</v>
      </c>
      <c r="AY147" s="1105">
        <f t="shared" si="53"/>
        <v>106.3</v>
      </c>
      <c r="AZ147" s="1105">
        <f t="shared" si="53"/>
        <v>52.1</v>
      </c>
      <c r="BA147" s="1105">
        <f t="shared" si="53"/>
        <v>53.800000000000004</v>
      </c>
      <c r="BB147" s="1105">
        <f t="shared" si="53"/>
        <v>105.9</v>
      </c>
      <c r="BC147" s="1105">
        <f t="shared" si="53"/>
        <v>49.3</v>
      </c>
      <c r="BD147" s="1105">
        <f t="shared" ref="BD147:BE147" si="54">SUM(BD144:BD146)</f>
        <v>47.2</v>
      </c>
      <c r="BE147" s="1105">
        <f t="shared" si="54"/>
        <v>96.5</v>
      </c>
      <c r="BF147" s="1105">
        <f>SUM(BF144:BF146)</f>
        <v>614.12895397030002</v>
      </c>
      <c r="BG147" s="1105">
        <f t="shared" ref="BG147:BH147" si="55">SUM(BG144:BG146)</f>
        <v>666.96128411076995</v>
      </c>
      <c r="BH147" s="1105">
        <f t="shared" si="55"/>
        <v>681.35099305150095</v>
      </c>
    </row>
    <row r="149" spans="1:60" s="635" customFormat="1">
      <c r="A149" s="1100"/>
      <c r="B149" s="1094" t="s">
        <v>683</v>
      </c>
      <c r="AY149" s="1110"/>
      <c r="BB149" s="1110"/>
      <c r="BC149" s="1110"/>
      <c r="BE149" s="1110"/>
      <c r="BF149" s="1110"/>
    </row>
    <row r="150" spans="1:60" s="1095" customFormat="1">
      <c r="A150" s="1101"/>
      <c r="B150" s="1095" t="str">
        <f>+B144</f>
        <v>WTC non-Cargowise revenue</v>
      </c>
      <c r="BF150" s="1108">
        <v>-0.05</v>
      </c>
      <c r="BG150" s="1108">
        <v>-5.0000000000000155E-2</v>
      </c>
      <c r="BH150" s="1108">
        <v>-5.0000000000000044E-2</v>
      </c>
    </row>
    <row r="151" spans="1:60" s="1095" customFormat="1">
      <c r="A151" s="1101"/>
      <c r="B151" s="1095" t="str">
        <f t="shared" ref="B151:B153" si="56">+B145</f>
        <v>E2Open subscription</v>
      </c>
      <c r="BG151" s="1107">
        <f t="shared" ref="BG151:BH151" si="57">+BG145/BF145-1</f>
        <v>0.13329973381166682</v>
      </c>
      <c r="BH151" s="1107">
        <f t="shared" si="57"/>
        <v>4.9978768811375307E-2</v>
      </c>
    </row>
    <row r="152" spans="1:60" s="1095" customFormat="1">
      <c r="A152" s="1101"/>
      <c r="B152" s="1095" t="str">
        <f t="shared" si="56"/>
        <v>E2Open other</v>
      </c>
      <c r="BG152" s="1107">
        <f t="shared" ref="BG152:BH152" si="58">+BG146/BF146-1</f>
        <v>-0.12727272727272732</v>
      </c>
      <c r="BH152" s="1107">
        <f t="shared" si="58"/>
        <v>-0.19999999999999984</v>
      </c>
    </row>
    <row r="153" spans="1:60" s="1096" customFormat="1">
      <c r="A153" s="1102"/>
      <c r="B153" s="1096" t="str">
        <f t="shared" si="56"/>
        <v>Total Non-Cargowise</v>
      </c>
      <c r="BB153" s="1111"/>
      <c r="BC153" s="1111"/>
      <c r="BE153" s="1111"/>
      <c r="BF153" s="1111"/>
      <c r="BG153" s="1109">
        <f t="shared" ref="BG153:BH153" si="59">+BG147/BF147-1</f>
        <v>8.6028072441321379E-2</v>
      </c>
      <c r="BH153" s="1109">
        <f t="shared" si="59"/>
        <v>2.1575028841315902E-2</v>
      </c>
    </row>
    <row r="154" spans="1:60">
      <c r="B154" s="338"/>
      <c r="BE154" s="1150"/>
    </row>
    <row r="155" spans="1:60" s="1090" customFormat="1">
      <c r="A155" s="1099"/>
      <c r="B155" s="1090" t="s">
        <v>1043</v>
      </c>
    </row>
    <row r="156" spans="1:60" s="678" customFormat="1">
      <c r="A156" s="1091"/>
      <c r="B156" s="678" t="s">
        <v>1035</v>
      </c>
      <c r="AQ156" s="1106">
        <f>+'Revenue Build'!AW197</f>
        <v>140.6</v>
      </c>
      <c r="AR156" s="1106">
        <f>+'Revenue Build'!AX197</f>
        <v>147.25066666666666</v>
      </c>
      <c r="AS156" s="1106">
        <f>+'Revenue Build'!AY197</f>
        <v>287.85066666666665</v>
      </c>
      <c r="AT156" s="1106">
        <f>+'Revenue Build'!AZ197</f>
        <v>208.738</v>
      </c>
      <c r="AU156" s="1106">
        <f>+'Revenue Build'!BA197</f>
        <v>254.93333333333334</v>
      </c>
      <c r="AV156" s="1106">
        <f>+'Revenue Build'!BB197</f>
        <v>463.67133333333334</v>
      </c>
      <c r="AW156" s="1106">
        <f>+'Revenue Build'!BC197</f>
        <v>268.26066666666668</v>
      </c>
      <c r="AX156" s="1106">
        <f>+'Revenue Build'!BD197</f>
        <v>271.07299999999998</v>
      </c>
      <c r="AY156" s="1106">
        <f>+'Revenue Build'!BE197</f>
        <v>539.33366666666666</v>
      </c>
      <c r="AZ156" s="1106">
        <f>+'Revenue Build'!BF197</f>
        <v>267.40766666666673</v>
      </c>
      <c r="BA156" s="1106">
        <f>+'Revenue Build'!BG197</f>
        <v>264.82566666666668</v>
      </c>
      <c r="BB156" s="1106">
        <f>+'Revenue Build'!BH197</f>
        <v>532.23333333333335</v>
      </c>
      <c r="BC156" s="1106">
        <f>+'Revenue Build'!BI197</f>
        <v>264.03633333333335</v>
      </c>
      <c r="BD156" s="1104">
        <f>+BE156-BC156</f>
        <v>265.31144838666671</v>
      </c>
      <c r="BE156" s="1106">
        <f>+'Revenue Build'!BK197</f>
        <v>529.34778172000006</v>
      </c>
      <c r="BF156" s="1104">
        <f t="shared" ref="BF156:BH157" si="60">+BE156*(1+BF172)</f>
        <v>518.7608260856</v>
      </c>
      <c r="BG156" s="1104">
        <f t="shared" si="60"/>
        <v>538.91888060516999</v>
      </c>
      <c r="BH156" s="1104">
        <f t="shared" si="60"/>
        <v>565.85338274702099</v>
      </c>
    </row>
    <row r="157" spans="1:60" s="678" customFormat="1">
      <c r="A157" s="1091"/>
      <c r="B157" s="678" t="s">
        <v>1036</v>
      </c>
      <c r="AQ157" s="1106">
        <f>+'Revenue Build'!AW198</f>
        <v>27.621333333333325</v>
      </c>
      <c r="AR157" s="1106">
        <f>+'Revenue Build'!AX198</f>
        <v>31.530333333333346</v>
      </c>
      <c r="AS157" s="1106">
        <f>+'Revenue Build'!AY198</f>
        <v>59.151666666666699</v>
      </c>
      <c r="AT157" s="1106">
        <f>+'Revenue Build'!AZ198</f>
        <v>50.385333333333335</v>
      </c>
      <c r="AU157" s="1106">
        <f>+'Revenue Build'!BA198</f>
        <v>59.418333333333351</v>
      </c>
      <c r="AV157" s="1106">
        <f>+'Revenue Build'!BB198</f>
        <v>109.80366666666669</v>
      </c>
      <c r="AW157" s="1106">
        <f>+'Revenue Build'!BC198</f>
        <v>59.171333333333337</v>
      </c>
      <c r="AX157" s="1106">
        <f>+'Revenue Build'!BD198</f>
        <v>52.719666666666683</v>
      </c>
      <c r="AY157" s="1106">
        <f>+'Revenue Build'!BE198</f>
        <v>111.89100000000008</v>
      </c>
      <c r="AZ157" s="1106">
        <f>+'Revenue Build'!BF198</f>
        <v>48.564333333333252</v>
      </c>
      <c r="BA157" s="1106">
        <f>+'Revenue Build'!BG198</f>
        <v>42.700666666666677</v>
      </c>
      <c r="BB157" s="1106">
        <f>+'Revenue Build'!BH198</f>
        <v>91.264999999999986</v>
      </c>
      <c r="BC157" s="1106">
        <f>+'Revenue Build'!BI198</f>
        <v>39.972666666666669</v>
      </c>
      <c r="BD157" s="1104">
        <f t="shared" ref="BD157:BD158" si="61">+BE157-BC157</f>
        <v>38.779551613333297</v>
      </c>
      <c r="BE157" s="1104">
        <f>+BE158-BE156</f>
        <v>78.752218279999965</v>
      </c>
      <c r="BF157" s="1104">
        <f t="shared" si="60"/>
        <v>51.18894188199998</v>
      </c>
      <c r="BG157" s="1104">
        <f t="shared" si="60"/>
        <v>40.95115350559999</v>
      </c>
      <c r="BH157" s="1104">
        <f t="shared" si="60"/>
        <v>32.760922804479996</v>
      </c>
    </row>
    <row r="158" spans="1:60" s="1093" customFormat="1">
      <c r="A158" s="1092"/>
      <c r="B158" s="1093" t="s">
        <v>1037</v>
      </c>
      <c r="AQ158" s="1105">
        <f>SUM(AQ156:AQ157)</f>
        <v>168.22133333333332</v>
      </c>
      <c r="AR158" s="1105">
        <f t="shared" ref="AR158:BC158" si="62">SUM(AR156:AR157)</f>
        <v>178.78100000000001</v>
      </c>
      <c r="AS158" s="1105">
        <f t="shared" si="62"/>
        <v>347.00233333333335</v>
      </c>
      <c r="AT158" s="1105">
        <f t="shared" si="62"/>
        <v>259.12333333333333</v>
      </c>
      <c r="AU158" s="1105">
        <f t="shared" si="62"/>
        <v>314.35166666666669</v>
      </c>
      <c r="AV158" s="1105">
        <f t="shared" si="62"/>
        <v>573.47500000000002</v>
      </c>
      <c r="AW158" s="1105">
        <f t="shared" si="62"/>
        <v>327.43200000000002</v>
      </c>
      <c r="AX158" s="1105">
        <f t="shared" si="62"/>
        <v>323.79266666666666</v>
      </c>
      <c r="AY158" s="1105">
        <f t="shared" si="62"/>
        <v>651.22466666666674</v>
      </c>
      <c r="AZ158" s="1105">
        <f t="shared" si="62"/>
        <v>315.97199999999998</v>
      </c>
      <c r="BA158" s="1105">
        <f t="shared" si="62"/>
        <v>307.52633333333335</v>
      </c>
      <c r="BB158" s="1105">
        <f t="shared" si="62"/>
        <v>623.49833333333333</v>
      </c>
      <c r="BC158" s="1105">
        <f t="shared" si="62"/>
        <v>304.00900000000001</v>
      </c>
      <c r="BD158" s="1105">
        <f t="shared" si="61"/>
        <v>304.09100000000001</v>
      </c>
      <c r="BE158" s="1147">
        <v>608.1</v>
      </c>
      <c r="BF158" s="1105">
        <f t="shared" ref="BF158" si="63">SUM(BF156:BF157)</f>
        <v>569.9497679676</v>
      </c>
      <c r="BG158" s="1105">
        <f t="shared" ref="BG158" si="64">SUM(BG156:BG157)</f>
        <v>579.87003411077001</v>
      </c>
      <c r="BH158" s="1105">
        <f t="shared" ref="BH158" si="65">SUM(BH156:BH157)</f>
        <v>598.61430555150093</v>
      </c>
    </row>
    <row r="159" spans="1:60" s="678" customFormat="1">
      <c r="A159" s="1091"/>
    </row>
    <row r="160" spans="1:60" s="678" customFormat="1">
      <c r="A160" s="1091"/>
      <c r="B160" s="678" t="s">
        <v>1034</v>
      </c>
      <c r="AQ160" s="1106">
        <f>+'Revenue Build'!AW201</f>
        <v>48.459333333333333</v>
      </c>
      <c r="AR160" s="1106">
        <f>+'Revenue Build'!AX201</f>
        <v>48.514000000000003</v>
      </c>
      <c r="AS160" s="1106">
        <f>+'Revenue Build'!AY201</f>
        <v>96.973333333333329</v>
      </c>
      <c r="AT160" s="1106">
        <f>+'Revenue Build'!AZ201</f>
        <v>74.656666666666666</v>
      </c>
      <c r="AU160" s="1106">
        <f>+'Revenue Build'!BA201</f>
        <v>96.121666666666655</v>
      </c>
      <c r="AV160" s="1106">
        <f>+'Revenue Build'!BB201</f>
        <v>170.77833333333331</v>
      </c>
      <c r="AW160" s="1106">
        <f>+'Revenue Build'!BC201</f>
        <v>103.72866666666665</v>
      </c>
      <c r="AX160" s="1106">
        <f>+'Revenue Build'!BD201</f>
        <v>99.122666666666674</v>
      </c>
      <c r="AY160" s="1106">
        <f>+'Revenue Build'!BE201</f>
        <v>202.85133333333334</v>
      </c>
      <c r="AZ160" s="1106">
        <f>+'Revenue Build'!BF201</f>
        <v>96.316666666666677</v>
      </c>
      <c r="BA160" s="1106">
        <f>+'Revenue Build'!BG201</f>
        <v>96.027000000000015</v>
      </c>
      <c r="BB160" s="1106">
        <f>+'Revenue Build'!BH201</f>
        <v>192.34366666666671</v>
      </c>
      <c r="BC160" s="1106">
        <f>+'Revenue Build'!BI201</f>
        <v>94.962666666666649</v>
      </c>
      <c r="BD160" s="1104">
        <f t="shared" ref="BD160:BD161" si="66">+BE160-BC160</f>
        <v>98.177355035724503</v>
      </c>
      <c r="BE160" s="1106">
        <f>+'Revenue Build'!BK201</f>
        <v>193.14002170239115</v>
      </c>
      <c r="BF160" s="1104">
        <f>+BF158-BF161</f>
        <v>177.94851544057474</v>
      </c>
      <c r="BG160" s="1104">
        <f>+BG158-BG161</f>
        <v>178.87068791143838</v>
      </c>
      <c r="BH160" s="1104">
        <f>+BH158-BH161</f>
        <v>182.05065613503285</v>
      </c>
    </row>
    <row r="161" spans="1:60" s="1093" customFormat="1">
      <c r="A161" s="1092"/>
      <c r="B161" s="1093" t="s">
        <v>1038</v>
      </c>
      <c r="AQ161" s="1105">
        <f>+AQ158-AQ160</f>
        <v>119.76199999999999</v>
      </c>
      <c r="AR161" s="1105">
        <f t="shared" ref="AR161:BE161" si="67">+AR158-AR160</f>
        <v>130.267</v>
      </c>
      <c r="AS161" s="1105">
        <f t="shared" si="67"/>
        <v>250.02900000000002</v>
      </c>
      <c r="AT161" s="1105">
        <f t="shared" si="67"/>
        <v>184.46666666666667</v>
      </c>
      <c r="AU161" s="1105">
        <f t="shared" si="67"/>
        <v>218.23000000000002</v>
      </c>
      <c r="AV161" s="1105">
        <f t="shared" si="67"/>
        <v>402.69666666666672</v>
      </c>
      <c r="AW161" s="1105">
        <f t="shared" si="67"/>
        <v>223.70333333333338</v>
      </c>
      <c r="AX161" s="1105">
        <f t="shared" si="67"/>
        <v>224.67</v>
      </c>
      <c r="AY161" s="1105">
        <f t="shared" si="67"/>
        <v>448.37333333333339</v>
      </c>
      <c r="AZ161" s="1105">
        <f t="shared" si="67"/>
        <v>219.65533333333332</v>
      </c>
      <c r="BA161" s="1105">
        <f t="shared" si="67"/>
        <v>211.49933333333334</v>
      </c>
      <c r="BB161" s="1105">
        <f t="shared" si="67"/>
        <v>431.15466666666663</v>
      </c>
      <c r="BC161" s="1105">
        <f t="shared" si="67"/>
        <v>209.04633333333337</v>
      </c>
      <c r="BD161" s="1105">
        <f t="shared" si="66"/>
        <v>205.91364496427551</v>
      </c>
      <c r="BE161" s="1105">
        <f t="shared" si="67"/>
        <v>414.95997829760887</v>
      </c>
      <c r="BF161" s="1105">
        <f>+BF158*BF187</f>
        <v>392.00125252702526</v>
      </c>
      <c r="BG161" s="1105">
        <f>+BG158*BG187</f>
        <v>400.99934619933163</v>
      </c>
      <c r="BH161" s="1105">
        <f>+BH158*BH187</f>
        <v>416.56364941646808</v>
      </c>
    </row>
    <row r="162" spans="1:60" s="678" customFormat="1">
      <c r="A162" s="1091"/>
    </row>
    <row r="163" spans="1:60" s="678" customFormat="1">
      <c r="A163" s="1091"/>
      <c r="B163" s="678" t="s">
        <v>1039</v>
      </c>
      <c r="AQ163" s="1106">
        <f>+'Revenue Build'!AW204</f>
        <v>32.239000000000004</v>
      </c>
      <c r="AR163" s="1106">
        <f>+'Revenue Build'!AX204</f>
        <v>35.347666666666669</v>
      </c>
      <c r="AS163" s="1106">
        <f>+'Revenue Build'!AY204</f>
        <v>67.586666666666673</v>
      </c>
      <c r="AT163" s="1106">
        <f>+'Revenue Build'!AZ204</f>
        <v>40.151666666666671</v>
      </c>
      <c r="AU163" s="1106">
        <f>+'Revenue Build'!BA204</f>
        <v>41.799666666666674</v>
      </c>
      <c r="AV163" s="1106">
        <f>+'Revenue Build'!BB204</f>
        <v>81.951333333333338</v>
      </c>
      <c r="AW163" s="1106">
        <f>+'Revenue Build'!BC204</f>
        <v>44.614666666666665</v>
      </c>
      <c r="AX163" s="1106">
        <f>+'Revenue Build'!BD204</f>
        <v>44.541999999999994</v>
      </c>
      <c r="AY163" s="1106">
        <f>+'Revenue Build'!BE204</f>
        <v>89.156666666666666</v>
      </c>
      <c r="AZ163" s="1106">
        <f>+'Revenue Build'!BF204</f>
        <v>43.625999999999998</v>
      </c>
      <c r="BA163" s="1106">
        <f>+'Revenue Build'!BG204</f>
        <v>43.786333333333339</v>
      </c>
      <c r="BB163" s="1106">
        <f>+'Revenue Build'!BH204</f>
        <v>87.412333333333336</v>
      </c>
      <c r="BC163" s="1106">
        <f>+'Revenue Build'!BI204</f>
        <v>41.593333333333334</v>
      </c>
      <c r="BD163" s="1104">
        <f t="shared" ref="BD163:BD166" si="68">+BE163-BC163</f>
        <v>44.091757203472639</v>
      </c>
      <c r="BE163" s="1104">
        <f>+BB163/BB166*BE166</f>
        <v>85.685090536805973</v>
      </c>
      <c r="BF163" s="1104">
        <f>+BE163*(1+BF179)</f>
        <v>81.400836009965673</v>
      </c>
      <c r="BG163" s="1104">
        <f>+BF163*(1+BG179)</f>
        <v>83.028852730164985</v>
      </c>
      <c r="BH163" s="1104">
        <f>+BG163*(1+BH179)</f>
        <v>85.104574048419096</v>
      </c>
    </row>
    <row r="164" spans="1:60" s="678" customFormat="1">
      <c r="A164" s="1091"/>
      <c r="B164" s="678" t="s">
        <v>1040</v>
      </c>
      <c r="AQ164" s="1106">
        <f>+'Revenue Build'!AW205</f>
        <v>26.816666666666666</v>
      </c>
      <c r="AR164" s="1106">
        <f>+'Revenue Build'!AX205</f>
        <v>27.47</v>
      </c>
      <c r="AS164" s="1106">
        <f>+'Revenue Build'!AY205</f>
        <v>54.286666666666662</v>
      </c>
      <c r="AT164" s="1106">
        <f>+'Revenue Build'!AZ205</f>
        <v>30.82566666666666</v>
      </c>
      <c r="AU164" s="1106">
        <f>+'Revenue Build'!BA205</f>
        <v>42.454000000000001</v>
      </c>
      <c r="AV164" s="1106">
        <f>+'Revenue Build'!BB205</f>
        <v>73.279666666666657</v>
      </c>
      <c r="AW164" s="1106">
        <f>+'Revenue Build'!BC205</f>
        <v>41.148666666666671</v>
      </c>
      <c r="AX164" s="1106">
        <f>+'Revenue Build'!BD205</f>
        <v>38.916333333333334</v>
      </c>
      <c r="AY164" s="1106">
        <f>+'Revenue Build'!BE205</f>
        <v>80.064999999999998</v>
      </c>
      <c r="AZ164" s="1106">
        <f>+'Revenue Build'!BF205</f>
        <v>43.430999999999997</v>
      </c>
      <c r="BA164" s="1106">
        <f>+'Revenue Build'!BG205</f>
        <v>41.465666666666671</v>
      </c>
      <c r="BB164" s="1106">
        <f>+'Revenue Build'!BH205</f>
        <v>84.896666666666675</v>
      </c>
      <c r="BC164" s="1106">
        <f>+'Revenue Build'!BI205</f>
        <v>39.963666666666668</v>
      </c>
      <c r="BD164" s="1104">
        <f t="shared" si="68"/>
        <v>43.255466059909352</v>
      </c>
      <c r="BE164" s="1104">
        <f>+BB164/BB166*BE166</f>
        <v>83.219132726576021</v>
      </c>
      <c r="BF164" s="1104">
        <f t="shared" ref="BF164:BH165" si="69">+BE164*(1+BF180)</f>
        <v>79.058176090247215</v>
      </c>
      <c r="BG164" s="1104">
        <f t="shared" si="69"/>
        <v>80.639339612052154</v>
      </c>
      <c r="BH164" s="1104">
        <f t="shared" si="69"/>
        <v>82.655323102353449</v>
      </c>
    </row>
    <row r="165" spans="1:60" s="678" customFormat="1">
      <c r="A165" s="1091"/>
      <c r="B165" s="678" t="s">
        <v>1033</v>
      </c>
      <c r="AQ165" s="1106">
        <f>+'Revenue Build'!AW206</f>
        <v>20.876999999999999</v>
      </c>
      <c r="AR165" s="1106">
        <f>+'Revenue Build'!AX206</f>
        <v>34.533000000000001</v>
      </c>
      <c r="AS165" s="1106">
        <f>+'Revenue Build'!AY206</f>
        <v>55.41</v>
      </c>
      <c r="AT165" s="1106">
        <f>+'Revenue Build'!AZ206</f>
        <v>33.795666666666662</v>
      </c>
      <c r="AU165" s="1106">
        <f>+'Revenue Build'!BA206</f>
        <v>37.032666666666678</v>
      </c>
      <c r="AV165" s="1106">
        <f>+'Revenue Build'!BB206</f>
        <v>70.828333333333347</v>
      </c>
      <c r="AW165" s="1106">
        <f>+'Revenue Build'!BC206</f>
        <v>38.913666666666664</v>
      </c>
      <c r="AX165" s="1106">
        <f>+'Revenue Build'!BD206</f>
        <v>37.889666666666642</v>
      </c>
      <c r="AY165" s="1106">
        <f>+'Revenue Build'!BE206</f>
        <v>76.803333333333313</v>
      </c>
      <c r="AZ165" s="1106">
        <f>+'Revenue Build'!BF206</f>
        <v>36.084999999999994</v>
      </c>
      <c r="BA165" s="1106">
        <f>+'Revenue Build'!BG206</f>
        <v>42.217999999999982</v>
      </c>
      <c r="BB165" s="1106">
        <f>+'Revenue Build'!BH206</f>
        <v>78.302999999999969</v>
      </c>
      <c r="BC165" s="1106">
        <f>+'Revenue Build'!BI206</f>
        <v>40.709666666666664</v>
      </c>
      <c r="BD165" s="1104">
        <f t="shared" si="68"/>
        <v>36.046088367560202</v>
      </c>
      <c r="BE165" s="1104">
        <f>+BE166-SUM(BE163:BE164)</f>
        <v>76.755755034226866</v>
      </c>
      <c r="BF165" s="1104">
        <f t="shared" si="69"/>
        <v>69.080179530804187</v>
      </c>
      <c r="BG165" s="1104">
        <f t="shared" si="69"/>
        <v>70.461783121420268</v>
      </c>
      <c r="BH165" s="1104">
        <f t="shared" si="69"/>
        <v>72.223327699455766</v>
      </c>
    </row>
    <row r="166" spans="1:60" s="1093" customFormat="1">
      <c r="A166" s="1092"/>
      <c r="B166" s="1093" t="s">
        <v>1041</v>
      </c>
      <c r="AQ166" s="1105">
        <f>SUM(AQ163:AQ165)</f>
        <v>79.932666666666663</v>
      </c>
      <c r="AR166" s="1105">
        <f t="shared" ref="AR166:BC166" si="70">SUM(AR163:AR165)</f>
        <v>97.350666666666669</v>
      </c>
      <c r="AS166" s="1105">
        <f t="shared" si="70"/>
        <v>177.28333333333333</v>
      </c>
      <c r="AT166" s="1105">
        <f t="shared" si="70"/>
        <v>104.773</v>
      </c>
      <c r="AU166" s="1105">
        <f t="shared" si="70"/>
        <v>121.28633333333335</v>
      </c>
      <c r="AV166" s="1105">
        <f t="shared" si="70"/>
        <v>226.05933333333334</v>
      </c>
      <c r="AW166" s="1105">
        <f t="shared" si="70"/>
        <v>124.67699999999999</v>
      </c>
      <c r="AX166" s="1105">
        <f t="shared" si="70"/>
        <v>121.34799999999997</v>
      </c>
      <c r="AY166" s="1105">
        <f t="shared" si="70"/>
        <v>246.02499999999998</v>
      </c>
      <c r="AZ166" s="1105">
        <f t="shared" si="70"/>
        <v>123.14199999999998</v>
      </c>
      <c r="BA166" s="1105">
        <f t="shared" si="70"/>
        <v>127.47</v>
      </c>
      <c r="BB166" s="1105">
        <f t="shared" si="70"/>
        <v>250.61199999999999</v>
      </c>
      <c r="BC166" s="1105">
        <f t="shared" si="70"/>
        <v>122.26666666666667</v>
      </c>
      <c r="BD166" s="1105">
        <f t="shared" si="68"/>
        <v>123.39331163094219</v>
      </c>
      <c r="BE166" s="1105">
        <f>+BE161-BE168</f>
        <v>245.65997829760886</v>
      </c>
      <c r="BF166" s="1105">
        <f>SUM(BF163:BF165)</f>
        <v>229.53919163101705</v>
      </c>
      <c r="BG166" s="1105">
        <f>SUM(BG163:BG165)</f>
        <v>234.12997546363741</v>
      </c>
      <c r="BH166" s="1105">
        <f>SUM(BH163:BH165)</f>
        <v>239.98322485022828</v>
      </c>
    </row>
    <row r="167" spans="1:60" s="678" customFormat="1">
      <c r="A167" s="1091"/>
    </row>
    <row r="168" spans="1:60" s="1093" customFormat="1">
      <c r="A168" s="1092"/>
      <c r="B168" s="1093" t="s">
        <v>993</v>
      </c>
      <c r="AQ168" s="1105">
        <f>+AQ161-AQ166</f>
        <v>39.829333333333324</v>
      </c>
      <c r="AR168" s="1105">
        <f t="shared" ref="AR168:BC168" si="71">+AR161-AR166</f>
        <v>32.916333333333327</v>
      </c>
      <c r="AS168" s="1105">
        <f t="shared" si="71"/>
        <v>72.745666666666693</v>
      </c>
      <c r="AT168" s="1105">
        <f t="shared" si="71"/>
        <v>79.693666666666672</v>
      </c>
      <c r="AU168" s="1105">
        <f t="shared" si="71"/>
        <v>96.943666666666672</v>
      </c>
      <c r="AV168" s="1105">
        <f t="shared" si="71"/>
        <v>176.63733333333337</v>
      </c>
      <c r="AW168" s="1105">
        <f t="shared" si="71"/>
        <v>99.026333333333383</v>
      </c>
      <c r="AX168" s="1105">
        <f t="shared" si="71"/>
        <v>103.32200000000002</v>
      </c>
      <c r="AY168" s="1105">
        <f t="shared" si="71"/>
        <v>202.34833333333341</v>
      </c>
      <c r="AZ168" s="1105">
        <f t="shared" si="71"/>
        <v>96.513333333333335</v>
      </c>
      <c r="BA168" s="1105">
        <f t="shared" si="71"/>
        <v>84.029333333333341</v>
      </c>
      <c r="BB168" s="1105">
        <f t="shared" si="71"/>
        <v>180.54266666666663</v>
      </c>
      <c r="BC168" s="1105">
        <f t="shared" si="71"/>
        <v>86.779666666666699</v>
      </c>
      <c r="BD168" s="1105">
        <f>+BE168-BC168</f>
        <v>82.520333333333312</v>
      </c>
      <c r="BE168" s="1147">
        <v>169.3</v>
      </c>
      <c r="BF168" s="1105">
        <f>+BF161-BF166</f>
        <v>162.46206089600821</v>
      </c>
      <c r="BG168" s="1105">
        <f>+BG161-BG166</f>
        <v>166.86937073569422</v>
      </c>
      <c r="BH168" s="1105">
        <f>+BH161-BH166</f>
        <v>176.5804245662398</v>
      </c>
    </row>
    <row r="169" spans="1:60">
      <c r="AQ169" s="678"/>
      <c r="AR169" s="678"/>
      <c r="AS169" s="678"/>
      <c r="AT169" s="678"/>
      <c r="AU169" s="678"/>
      <c r="AV169" s="678"/>
      <c r="AW169" s="678"/>
      <c r="AX169" s="678"/>
      <c r="AY169" s="678"/>
      <c r="AZ169" s="678"/>
      <c r="BA169" s="678"/>
      <c r="BB169" s="678"/>
      <c r="BC169" s="678"/>
      <c r="BD169" s="678"/>
      <c r="BE169" s="678"/>
      <c r="BF169" s="678"/>
      <c r="BG169" s="678"/>
      <c r="BH169" s="678"/>
    </row>
    <row r="171" spans="1:60" s="635" customFormat="1">
      <c r="A171" s="1100"/>
      <c r="B171" s="1094" t="s">
        <v>683</v>
      </c>
    </row>
    <row r="172" spans="1:60" s="1095" customFormat="1">
      <c r="A172" s="1101"/>
      <c r="B172" s="1095" t="str">
        <f>+B156</f>
        <v>Subscription revenue</v>
      </c>
      <c r="AV172" s="1107">
        <f>+AV156/AS156-1</f>
        <v>0.61080513970206773</v>
      </c>
      <c r="AW172" s="1107">
        <f t="shared" ref="AW172:BE172" si="72">+AW156/AT156-1</f>
        <v>0.28515491509292357</v>
      </c>
      <c r="AX172" s="1107">
        <f t="shared" si="72"/>
        <v>6.3309361924686058E-2</v>
      </c>
      <c r="AY172" s="1107">
        <f t="shared" si="72"/>
        <v>0.16318096007660587</v>
      </c>
      <c r="AZ172" s="1107">
        <f t="shared" si="72"/>
        <v>-3.1797430857050113E-3</v>
      </c>
      <c r="BA172" s="1107">
        <f t="shared" si="72"/>
        <v>-2.304668238199048E-2</v>
      </c>
      <c r="BB172" s="1107">
        <f t="shared" si="72"/>
        <v>-1.3165010404814326E-2</v>
      </c>
      <c r="BC172" s="1107">
        <f t="shared" si="72"/>
        <v>-1.260746700107096E-2</v>
      </c>
      <c r="BD172" s="1107">
        <f t="shared" si="72"/>
        <v>1.8343453114439967E-3</v>
      </c>
      <c r="BE172" s="1107">
        <f t="shared" si="72"/>
        <v>-5.4215913070707611E-3</v>
      </c>
      <c r="BF172" s="1108">
        <v>-0.02</v>
      </c>
      <c r="BG172" s="1108">
        <v>3.8858089327361345E-2</v>
      </c>
      <c r="BH172" s="1108">
        <v>4.9978768811375307E-2</v>
      </c>
    </row>
    <row r="173" spans="1:60" s="1095" customFormat="1">
      <c r="A173" s="1101"/>
      <c r="B173" s="1095" t="str">
        <f t="shared" ref="B173:B184" si="73">+B157</f>
        <v>Other revenue</v>
      </c>
      <c r="AV173" s="1107">
        <f t="shared" ref="AV173:BE173" si="74">+AV157/AS157-1</f>
        <v>0.85630723281958732</v>
      </c>
      <c r="AW173" s="1107">
        <f t="shared" si="74"/>
        <v>0.17437614120511258</v>
      </c>
      <c r="AX173" s="1107">
        <f t="shared" si="74"/>
        <v>-0.11273737062073996</v>
      </c>
      <c r="AY173" s="1107">
        <f t="shared" si="74"/>
        <v>1.9009686986773966E-2</v>
      </c>
      <c r="AZ173" s="1107">
        <f t="shared" si="74"/>
        <v>-0.17925910069065121</v>
      </c>
      <c r="BA173" s="1107">
        <f t="shared" si="74"/>
        <v>-0.19004293148034579</v>
      </c>
      <c r="BB173" s="1107">
        <f t="shared" si="74"/>
        <v>-0.1843401167207378</v>
      </c>
      <c r="BC173" s="1107">
        <f t="shared" si="74"/>
        <v>-0.17691309808981759</v>
      </c>
      <c r="BD173" s="1107">
        <f t="shared" si="74"/>
        <v>-9.1827958657945574E-2</v>
      </c>
      <c r="BE173" s="1107">
        <f t="shared" si="74"/>
        <v>-0.1371038373965926</v>
      </c>
      <c r="BF173" s="1108">
        <v>-0.35</v>
      </c>
      <c r="BG173" s="1108">
        <v>-0.2</v>
      </c>
      <c r="BH173" s="1108">
        <v>-0.2</v>
      </c>
    </row>
    <row r="174" spans="1:60" s="1096" customFormat="1">
      <c r="A174" s="1102"/>
      <c r="B174" s="1096" t="str">
        <f t="shared" si="73"/>
        <v>Total revenue</v>
      </c>
      <c r="AV174" s="1109">
        <f t="shared" ref="AV174:BE174" si="75">+AV158/AS158-1</f>
        <v>0.65265459310071883</v>
      </c>
      <c r="AW174" s="1109">
        <f t="shared" si="75"/>
        <v>0.26361449502810763</v>
      </c>
      <c r="AX174" s="1109">
        <f t="shared" si="75"/>
        <v>3.0033243024001788E-2</v>
      </c>
      <c r="AY174" s="1109">
        <f t="shared" si="75"/>
        <v>0.13557638374238934</v>
      </c>
      <c r="AZ174" s="1109">
        <f t="shared" si="75"/>
        <v>-3.4999633511691108E-2</v>
      </c>
      <c r="BA174" s="1109">
        <f t="shared" si="75"/>
        <v>-5.0236879978751703E-2</v>
      </c>
      <c r="BB174" s="1109">
        <f t="shared" si="75"/>
        <v>-4.2575680487123346E-2</v>
      </c>
      <c r="BC174" s="1109">
        <f t="shared" si="75"/>
        <v>-3.7860949704404123E-2</v>
      </c>
      <c r="BD174" s="1109">
        <f t="shared" si="75"/>
        <v>-1.1170859080902651E-2</v>
      </c>
      <c r="BE174" s="1109">
        <f t="shared" si="75"/>
        <v>-2.4696671202008025E-2</v>
      </c>
      <c r="BF174" s="1109">
        <f t="shared" ref="BF174" si="76">+BF158/BE158-1</f>
        <v>-6.2736773610261531E-2</v>
      </c>
      <c r="BG174" s="1109">
        <f t="shared" ref="BG174" si="77">+BG158/BF158-1</f>
        <v>1.7405509574194511E-2</v>
      </c>
      <c r="BH174" s="1109">
        <f t="shared" ref="BH174" si="78">+BH158/BG158-1</f>
        <v>3.2324952727511125E-2</v>
      </c>
    </row>
    <row r="175" spans="1:60" s="1095" customFormat="1">
      <c r="A175" s="1101"/>
    </row>
    <row r="176" spans="1:60" s="1095" customFormat="1">
      <c r="A176" s="1101"/>
      <c r="B176" s="1095" t="str">
        <f t="shared" si="73"/>
        <v>Cost of sales</v>
      </c>
      <c r="AV176" s="1107">
        <f t="shared" ref="AV176:BE176" si="79">+AV160/AS160-1</f>
        <v>0.76108552179293265</v>
      </c>
      <c r="AW176" s="1107">
        <f t="shared" si="79"/>
        <v>0.3894092958878419</v>
      </c>
      <c r="AX176" s="1107">
        <f t="shared" si="79"/>
        <v>3.122084857732399E-2</v>
      </c>
      <c r="AY176" s="1107">
        <f t="shared" si="79"/>
        <v>0.18780485424575732</v>
      </c>
      <c r="AZ176" s="1107">
        <f t="shared" si="79"/>
        <v>-7.1455656745483154E-2</v>
      </c>
      <c r="BA176" s="1107">
        <f t="shared" si="79"/>
        <v>-3.1230663689435278E-2</v>
      </c>
      <c r="BB176" s="1107">
        <f t="shared" si="79"/>
        <v>-5.1799840277115816E-2</v>
      </c>
      <c r="BC176" s="1107">
        <f t="shared" si="79"/>
        <v>-1.4057795466343892E-2</v>
      </c>
      <c r="BD176" s="1107">
        <f t="shared" si="79"/>
        <v>2.2393233525201062E-2</v>
      </c>
      <c r="BE176" s="1107">
        <f t="shared" si="79"/>
        <v>4.140271678945151E-3</v>
      </c>
      <c r="BF176" s="1107">
        <f t="shared" ref="BF176:BF177" si="80">+BF160/BE160-1</f>
        <v>-7.8655403100373222E-2</v>
      </c>
      <c r="BG176" s="1107">
        <f t="shared" ref="BG176:BG177" si="81">+BG160/BF160-1</f>
        <v>5.1822431256618451E-3</v>
      </c>
      <c r="BH176" s="1107">
        <f t="shared" ref="BH176:BH177" si="82">+BH160/BG160-1</f>
        <v>1.7778028701767701E-2</v>
      </c>
    </row>
    <row r="177" spans="1:60" s="1096" customFormat="1">
      <c r="A177" s="1102"/>
      <c r="B177" s="1096" t="str">
        <f t="shared" si="73"/>
        <v>Gross profit</v>
      </c>
      <c r="AV177" s="1109">
        <f t="shared" ref="AV177:BE177" si="83">+AV161/AS161-1</f>
        <v>0.61059983708556476</v>
      </c>
      <c r="AW177" s="1109">
        <f t="shared" si="83"/>
        <v>0.21270328876039057</v>
      </c>
      <c r="AX177" s="1109">
        <f t="shared" si="83"/>
        <v>2.9510149841909694E-2</v>
      </c>
      <c r="AY177" s="1109">
        <f t="shared" si="83"/>
        <v>0.11342697977799676</v>
      </c>
      <c r="AZ177" s="1109">
        <f t="shared" si="83"/>
        <v>-1.8095394197672809E-2</v>
      </c>
      <c r="BA177" s="1109">
        <f t="shared" si="83"/>
        <v>-5.8622275633892551E-2</v>
      </c>
      <c r="BB177" s="1109">
        <f t="shared" si="83"/>
        <v>-3.8402521708100656E-2</v>
      </c>
      <c r="BC177" s="1109">
        <f t="shared" si="83"/>
        <v>-4.8298394757847696E-2</v>
      </c>
      <c r="BD177" s="1109">
        <f t="shared" si="83"/>
        <v>-2.6409957331896217E-2</v>
      </c>
      <c r="BE177" s="1109">
        <f t="shared" si="83"/>
        <v>-3.756120395092033E-2</v>
      </c>
      <c r="BF177" s="1109">
        <f t="shared" si="80"/>
        <v>-5.5327566443329701E-2</v>
      </c>
      <c r="BG177" s="1109">
        <f t="shared" si="81"/>
        <v>2.295424724870232E-2</v>
      </c>
      <c r="BH177" s="1109">
        <f t="shared" si="82"/>
        <v>3.8813787016499512E-2</v>
      </c>
    </row>
    <row r="178" spans="1:60" s="1095" customFormat="1">
      <c r="A178" s="1101"/>
    </row>
    <row r="179" spans="1:60" s="1095" customFormat="1">
      <c r="A179" s="1101"/>
      <c r="B179" s="1095" t="str">
        <f t="shared" si="73"/>
        <v>Research &amp; Development</v>
      </c>
      <c r="AV179" s="1107">
        <f t="shared" ref="AV179:BE179" si="84">+AV163/AS163-1</f>
        <v>0.21253698954428879</v>
      </c>
      <c r="AW179" s="1107">
        <f t="shared" si="84"/>
        <v>0.11115354281681933</v>
      </c>
      <c r="AX179" s="1107">
        <f t="shared" si="84"/>
        <v>6.5606583784559414E-2</v>
      </c>
      <c r="AY179" s="1107">
        <f t="shared" si="84"/>
        <v>8.7922100108194234E-2</v>
      </c>
      <c r="AZ179" s="1107">
        <f t="shared" si="84"/>
        <v>-2.2160126714682815E-2</v>
      </c>
      <c r="BA179" s="1107">
        <f t="shared" si="84"/>
        <v>-1.6965261251552621E-2</v>
      </c>
      <c r="BB179" s="1107">
        <f t="shared" si="84"/>
        <v>-1.956481100684182E-2</v>
      </c>
      <c r="BC179" s="1107">
        <f t="shared" si="84"/>
        <v>-4.6593010284386893E-2</v>
      </c>
      <c r="BD179" s="1107">
        <f t="shared" si="84"/>
        <v>6.9753241910939234E-3</v>
      </c>
      <c r="BE179" s="1107">
        <f t="shared" si="84"/>
        <v>-1.9759715027178104E-2</v>
      </c>
      <c r="BF179" s="1108">
        <v>-0.05</v>
      </c>
      <c r="BG179" s="1108">
        <v>0.02</v>
      </c>
      <c r="BH179" s="1108">
        <v>2.5000000000000001E-2</v>
      </c>
    </row>
    <row r="180" spans="1:60" s="1095" customFormat="1">
      <c r="A180" s="1101"/>
      <c r="B180" s="1095" t="str">
        <f t="shared" si="73"/>
        <v>Sales &amp; Marketing</v>
      </c>
      <c r="AV180" s="1107">
        <f t="shared" ref="AV180:BE180" si="85">+AV164/AS164-1</f>
        <v>0.34986491465062008</v>
      </c>
      <c r="AW180" s="1107">
        <f t="shared" si="85"/>
        <v>0.33488326827211123</v>
      </c>
      <c r="AX180" s="1107">
        <f t="shared" si="85"/>
        <v>-8.3329407515585485E-2</v>
      </c>
      <c r="AY180" s="1107">
        <f t="shared" si="85"/>
        <v>9.2595035457766928E-2</v>
      </c>
      <c r="AZ180" s="1107">
        <f t="shared" si="85"/>
        <v>5.5465547688867911E-2</v>
      </c>
      <c r="BA180" s="1107">
        <f t="shared" si="85"/>
        <v>6.5508055743518145E-2</v>
      </c>
      <c r="BB180" s="1107">
        <f t="shared" si="85"/>
        <v>6.0346801557068286E-2</v>
      </c>
      <c r="BC180" s="1107">
        <f t="shared" si="85"/>
        <v>-7.9835447798423442E-2</v>
      </c>
      <c r="BD180" s="1107">
        <f t="shared" si="85"/>
        <v>4.3163405706954761E-2</v>
      </c>
      <c r="BE180" s="1107">
        <f t="shared" si="85"/>
        <v>-1.9759715027177993E-2</v>
      </c>
      <c r="BF180" s="1108">
        <v>-0.05</v>
      </c>
      <c r="BG180" s="1108">
        <v>0.02</v>
      </c>
      <c r="BH180" s="1108">
        <v>2.5000000000000001E-2</v>
      </c>
    </row>
    <row r="181" spans="1:60" s="1095" customFormat="1">
      <c r="A181" s="1101"/>
      <c r="B181" s="1095" t="str">
        <f t="shared" si="73"/>
        <v>G&amp;A</v>
      </c>
      <c r="AV181" s="1107">
        <f t="shared" ref="AV181:BE181" si="86">+AV165/AS165-1</f>
        <v>0.27825903868134549</v>
      </c>
      <c r="AW181" s="1107">
        <f t="shared" si="86"/>
        <v>0.15143953366802454</v>
      </c>
      <c r="AX181" s="1107">
        <f t="shared" si="86"/>
        <v>2.3141730724224541E-2</v>
      </c>
      <c r="AY181" s="1107">
        <f t="shared" si="86"/>
        <v>8.4358895922064692E-2</v>
      </c>
      <c r="AZ181" s="1107">
        <f t="shared" si="86"/>
        <v>-7.2690828415038489E-2</v>
      </c>
      <c r="BA181" s="1107">
        <f t="shared" si="86"/>
        <v>0.11423519165295759</v>
      </c>
      <c r="BB181" s="1107">
        <f t="shared" si="86"/>
        <v>1.9526062236882025E-2</v>
      </c>
      <c r="BC181" s="1107">
        <f t="shared" si="86"/>
        <v>0.12816036210798587</v>
      </c>
      <c r="BD181" s="1107">
        <f t="shared" si="86"/>
        <v>-0.14619147359988116</v>
      </c>
      <c r="BE181" s="1107">
        <f t="shared" si="86"/>
        <v>-1.9759715027177771E-2</v>
      </c>
      <c r="BF181" s="1108">
        <v>-0.1</v>
      </c>
      <c r="BG181" s="1108">
        <v>0.02</v>
      </c>
      <c r="BH181" s="1108">
        <v>2.5000000000000001E-2</v>
      </c>
    </row>
    <row r="182" spans="1:60" s="1096" customFormat="1">
      <c r="A182" s="1102"/>
      <c r="B182" s="1096" t="str">
        <f t="shared" si="73"/>
        <v>Total operating expenses</v>
      </c>
      <c r="AV182" s="1109">
        <f t="shared" ref="AV182:BE182" si="87">+AV166/AS166-1</f>
        <v>0.27513020588511794</v>
      </c>
      <c r="AW182" s="1109">
        <f t="shared" si="87"/>
        <v>0.18997260744657485</v>
      </c>
      <c r="AX182" s="1109">
        <f t="shared" si="87"/>
        <v>5.0843870840044936E-4</v>
      </c>
      <c r="AY182" s="1109">
        <f t="shared" si="87"/>
        <v>8.8320470436964893E-2</v>
      </c>
      <c r="AZ182" s="1109">
        <f t="shared" si="87"/>
        <v>-1.2311813726669785E-2</v>
      </c>
      <c r="BA182" s="1109">
        <f t="shared" si="87"/>
        <v>5.0449945610970381E-2</v>
      </c>
      <c r="BB182" s="1109">
        <f t="shared" si="87"/>
        <v>1.8644446702571038E-2</v>
      </c>
      <c r="BC182" s="1109">
        <f t="shared" si="87"/>
        <v>-7.108324806591737E-3</v>
      </c>
      <c r="BD182" s="1109">
        <f t="shared" si="87"/>
        <v>-3.1981551494922766E-2</v>
      </c>
      <c r="BE182" s="1109">
        <f t="shared" si="87"/>
        <v>-1.9759715027177993E-2</v>
      </c>
      <c r="BF182" s="1145">
        <v>0</v>
      </c>
      <c r="BG182" s="1145">
        <v>0.02</v>
      </c>
      <c r="BH182" s="1145">
        <v>2.5000000000000001E-2</v>
      </c>
    </row>
    <row r="183" spans="1:60" s="1096" customFormat="1">
      <c r="A183" s="1102"/>
    </row>
    <row r="184" spans="1:60" s="1096" customFormat="1">
      <c r="A184" s="1102"/>
      <c r="B184" s="1096" t="str">
        <f t="shared" si="73"/>
        <v>Adjusted EBITDA</v>
      </c>
      <c r="AV184" s="1109">
        <f t="shared" ref="AV184:BE184" si="88">+AV168/AS168-1</f>
        <v>1.428149213927977</v>
      </c>
      <c r="AW184" s="1109">
        <f t="shared" si="88"/>
        <v>0.24258724030767875</v>
      </c>
      <c r="AX184" s="1109">
        <f t="shared" si="88"/>
        <v>6.5794224137041946E-2</v>
      </c>
      <c r="AY184" s="1109">
        <f t="shared" si="88"/>
        <v>0.14555813040655829</v>
      </c>
      <c r="AZ184" s="1109">
        <f t="shared" si="88"/>
        <v>-2.5377088249253998E-2</v>
      </c>
      <c r="BA184" s="1109">
        <f t="shared" si="88"/>
        <v>-0.18672370518056824</v>
      </c>
      <c r="BB184" s="1109">
        <f t="shared" si="88"/>
        <v>-0.10776301592139026</v>
      </c>
      <c r="BC184" s="1109">
        <f t="shared" si="88"/>
        <v>-0.10085307729501936</v>
      </c>
      <c r="BD184" s="1109">
        <f t="shared" si="88"/>
        <v>-1.7958014661547117E-2</v>
      </c>
      <c r="BE184" s="1109">
        <f t="shared" si="88"/>
        <v>-6.2271522151734926E-2</v>
      </c>
      <c r="BF184" s="1109">
        <f t="shared" ref="BF184" si="89">+BF168/BE168-1</f>
        <v>-4.0389480826885982E-2</v>
      </c>
      <c r="BG184" s="1109">
        <f t="shared" ref="BG184" si="90">+BG168/BF168-1</f>
        <v>2.7128240374268753E-2</v>
      </c>
      <c r="BH184" s="1109">
        <f t="shared" ref="BH184" si="91">+BH168/BG168-1</f>
        <v>5.8195544141692812E-2</v>
      </c>
    </row>
    <row r="186" spans="1:60" s="635" customFormat="1">
      <c r="A186" s="1100"/>
      <c r="B186" s="1094" t="s">
        <v>1047</v>
      </c>
    </row>
    <row r="187" spans="1:60" s="1095" customFormat="1">
      <c r="A187" s="1101"/>
      <c r="B187" s="1095" t="s">
        <v>1048</v>
      </c>
      <c r="AV187" s="1107">
        <f>+AV161/AV158</f>
        <v>0.70220439716930416</v>
      </c>
      <c r="AW187" s="1107">
        <f t="shared" ref="AW187:BE187" si="92">+AW161/AW158</f>
        <v>0.68320546963440765</v>
      </c>
      <c r="AX187" s="1107">
        <f t="shared" si="92"/>
        <v>0.69386994558246118</v>
      </c>
      <c r="AY187" s="1107">
        <f t="shared" si="92"/>
        <v>0.6885079086889625</v>
      </c>
      <c r="AZ187" s="1107">
        <f t="shared" si="92"/>
        <v>0.69517341199009197</v>
      </c>
      <c r="BA187" s="1107">
        <f t="shared" si="92"/>
        <v>0.68774381380889871</v>
      </c>
      <c r="BB187" s="1107">
        <f t="shared" si="92"/>
        <v>0.69150893212759179</v>
      </c>
      <c r="BC187" s="1107">
        <f t="shared" si="92"/>
        <v>0.68763205475276512</v>
      </c>
      <c r="BD187" s="1107">
        <f t="shared" si="92"/>
        <v>0.67714481837435336</v>
      </c>
      <c r="BE187" s="1107">
        <f t="shared" si="92"/>
        <v>0.68238772948134985</v>
      </c>
      <c r="BF187" s="1108">
        <v>0.68778210740373424</v>
      </c>
      <c r="BG187" s="1108">
        <v>0.69153314123959453</v>
      </c>
      <c r="BH187" s="1108">
        <v>0.69587987716513</v>
      </c>
    </row>
    <row r="188" spans="1:60" s="1095" customFormat="1">
      <c r="A188" s="1101"/>
      <c r="B188" s="1095" t="s">
        <v>1049</v>
      </c>
      <c r="AQ188" s="1107">
        <f t="shared" ref="AQ188:AU188" si="93">+AQ168/AQ158</f>
        <v>0.23676743338141809</v>
      </c>
      <c r="AR188" s="1107">
        <f t="shared" si="93"/>
        <v>0.18411538884631659</v>
      </c>
      <c r="AS188" s="1107">
        <f t="shared" si="93"/>
        <v>0.20964028099714993</v>
      </c>
      <c r="AT188" s="1107">
        <f t="shared" si="93"/>
        <v>0.30755110179193951</v>
      </c>
      <c r="AU188" s="1107">
        <f t="shared" si="93"/>
        <v>0.30839240553308134</v>
      </c>
      <c r="AV188" s="1107">
        <f>+AV168/AV158</f>
        <v>0.30801226441141005</v>
      </c>
      <c r="AW188" s="1107">
        <f t="shared" ref="AW188:BH188" si="94">+AW168/AW158</f>
        <v>0.30243327876729637</v>
      </c>
      <c r="AX188" s="1107">
        <f t="shared" si="94"/>
        <v>0.31909925899083574</v>
      </c>
      <c r="AY188" s="1107">
        <f t="shared" si="94"/>
        <v>0.31071970042084818</v>
      </c>
      <c r="AZ188" s="1107">
        <f t="shared" si="94"/>
        <v>0.30544900603007019</v>
      </c>
      <c r="BA188" s="1107">
        <f t="shared" si="94"/>
        <v>0.27324272501325092</v>
      </c>
      <c r="BB188" s="1107">
        <f t="shared" si="94"/>
        <v>0.28956399241911895</v>
      </c>
      <c r="BC188" s="1107">
        <f t="shared" si="94"/>
        <v>0.28545097897321031</v>
      </c>
      <c r="BD188" s="1107">
        <f t="shared" si="94"/>
        <v>0.27136723327337314</v>
      </c>
      <c r="BE188" s="1107">
        <f t="shared" si="94"/>
        <v>0.2784081565531985</v>
      </c>
      <c r="BF188" s="1107">
        <f t="shared" si="94"/>
        <v>0.28504627956133094</v>
      </c>
      <c r="BG188" s="1107">
        <f t="shared" si="94"/>
        <v>0.28777029492753181</v>
      </c>
      <c r="BH188" s="1107">
        <f t="shared" si="94"/>
        <v>0.29498196573093416</v>
      </c>
    </row>
    <row r="192" spans="1:60" s="167" customFormat="1">
      <c r="A192" s="346"/>
      <c r="B192" s="167" t="s">
        <v>1050</v>
      </c>
    </row>
    <row r="193" spans="1:60" s="678" customFormat="1">
      <c r="A193" s="1091"/>
      <c r="B193" s="678" t="s">
        <v>1051</v>
      </c>
      <c r="AQ193" s="678">
        <f t="shared" ref="AQ193:BH193" si="95">+AQ84</f>
        <v>144.9</v>
      </c>
      <c r="AR193" s="678">
        <f t="shared" si="95"/>
        <v>174.1</v>
      </c>
      <c r="AS193" s="678">
        <f t="shared" si="95"/>
        <v>319</v>
      </c>
      <c r="AT193" s="678">
        <f t="shared" si="95"/>
        <v>179.4</v>
      </c>
      <c r="AU193" s="678">
        <f t="shared" si="95"/>
        <v>220.79999999999998</v>
      </c>
      <c r="AV193" s="678">
        <f t="shared" si="95"/>
        <v>400.2</v>
      </c>
      <c r="AW193" s="678">
        <f t="shared" si="95"/>
        <v>220.6</v>
      </c>
      <c r="AX193" s="678">
        <f t="shared" si="95"/>
        <v>254.70000000000002</v>
      </c>
      <c r="AY193" s="678">
        <f t="shared" si="95"/>
        <v>475.3</v>
      </c>
      <c r="AZ193" s="678">
        <f t="shared" si="95"/>
        <v>275.5</v>
      </c>
      <c r="BA193" s="678">
        <f t="shared" si="95"/>
        <v>307.89999999999998</v>
      </c>
      <c r="BB193" s="678">
        <f t="shared" si="95"/>
        <v>583.4</v>
      </c>
      <c r="BC193" s="678">
        <f t="shared" si="95"/>
        <v>329</v>
      </c>
      <c r="BD193" s="678">
        <f t="shared" si="95"/>
        <v>307.89999999999998</v>
      </c>
      <c r="BE193" s="678">
        <f t="shared" si="95"/>
        <v>583.4</v>
      </c>
      <c r="BF193" s="678">
        <f t="shared" si="95"/>
        <v>854.70446475000006</v>
      </c>
      <c r="BG193" s="678">
        <f t="shared" si="95"/>
        <v>1082.1664639125001</v>
      </c>
      <c r="BH193" s="678">
        <f t="shared" si="95"/>
        <v>1339.1709425088752</v>
      </c>
    </row>
    <row r="194" spans="1:60" s="678" customFormat="1">
      <c r="A194" s="1091"/>
      <c r="B194" s="678" t="s">
        <v>1052</v>
      </c>
      <c r="AQ194" s="678">
        <f>+AQ161</f>
        <v>119.76199999999999</v>
      </c>
      <c r="AR194" s="678">
        <f t="shared" ref="AR194:BH194" si="96">+AR161</f>
        <v>130.267</v>
      </c>
      <c r="AS194" s="678">
        <f t="shared" si="96"/>
        <v>250.02900000000002</v>
      </c>
      <c r="AT194" s="678">
        <f t="shared" si="96"/>
        <v>184.46666666666667</v>
      </c>
      <c r="AU194" s="678">
        <f t="shared" si="96"/>
        <v>218.23000000000002</v>
      </c>
      <c r="AV194" s="678">
        <f t="shared" si="96"/>
        <v>402.69666666666672</v>
      </c>
      <c r="AW194" s="678">
        <f t="shared" si="96"/>
        <v>223.70333333333338</v>
      </c>
      <c r="AX194" s="678">
        <f t="shared" si="96"/>
        <v>224.67</v>
      </c>
      <c r="AY194" s="678">
        <f t="shared" si="96"/>
        <v>448.37333333333339</v>
      </c>
      <c r="AZ194" s="678">
        <f t="shared" si="96"/>
        <v>219.65533333333332</v>
      </c>
      <c r="BA194" s="678">
        <f t="shared" si="96"/>
        <v>211.49933333333334</v>
      </c>
      <c r="BB194" s="678">
        <f t="shared" si="96"/>
        <v>431.15466666666663</v>
      </c>
      <c r="BC194" s="678">
        <f t="shared" si="96"/>
        <v>209.04633333333337</v>
      </c>
      <c r="BD194" s="678">
        <f t="shared" si="96"/>
        <v>205.91364496427551</v>
      </c>
      <c r="BE194" s="678">
        <f t="shared" si="96"/>
        <v>414.95997829760887</v>
      </c>
      <c r="BF194" s="678">
        <f t="shared" si="96"/>
        <v>392.00125252702526</v>
      </c>
      <c r="BG194" s="678">
        <f t="shared" si="96"/>
        <v>400.99934619933163</v>
      </c>
      <c r="BH194" s="678">
        <f t="shared" si="96"/>
        <v>416.56364941646808</v>
      </c>
    </row>
    <row r="195" spans="1:60" s="167" customFormat="1">
      <c r="A195" s="346"/>
      <c r="B195" s="167" t="s">
        <v>1053</v>
      </c>
      <c r="AQ195" s="1093">
        <f>SUM(AQ193:AQ194)</f>
        <v>264.66199999999998</v>
      </c>
      <c r="AR195" s="1093">
        <f t="shared" ref="AR195:BH195" si="97">SUM(AR193:AR194)</f>
        <v>304.36699999999996</v>
      </c>
      <c r="AS195" s="1093">
        <f t="shared" si="97"/>
        <v>569.029</v>
      </c>
      <c r="AT195" s="1093">
        <f t="shared" si="97"/>
        <v>363.86666666666667</v>
      </c>
      <c r="AU195" s="1093">
        <f t="shared" si="97"/>
        <v>439.03</v>
      </c>
      <c r="AV195" s="1093">
        <f t="shared" si="97"/>
        <v>802.89666666666676</v>
      </c>
      <c r="AW195" s="1093">
        <f t="shared" si="97"/>
        <v>444.3033333333334</v>
      </c>
      <c r="AX195" s="1093">
        <f t="shared" si="97"/>
        <v>479.37</v>
      </c>
      <c r="AY195" s="1093">
        <f t="shared" si="97"/>
        <v>923.6733333333334</v>
      </c>
      <c r="AZ195" s="1093">
        <f t="shared" si="97"/>
        <v>495.15533333333332</v>
      </c>
      <c r="BA195" s="1093">
        <f t="shared" si="97"/>
        <v>519.39933333333329</v>
      </c>
      <c r="BB195" s="1093">
        <f t="shared" si="97"/>
        <v>1014.5546666666667</v>
      </c>
      <c r="BC195" s="1093">
        <f t="shared" si="97"/>
        <v>538.04633333333334</v>
      </c>
      <c r="BD195" s="1093">
        <f t="shared" si="97"/>
        <v>513.81364496427545</v>
      </c>
      <c r="BE195" s="1093">
        <f t="shared" si="97"/>
        <v>998.3599782976089</v>
      </c>
      <c r="BF195" s="1093">
        <f t="shared" si="97"/>
        <v>1246.7057172770253</v>
      </c>
      <c r="BG195" s="1093">
        <f t="shared" si="97"/>
        <v>1483.1658101118319</v>
      </c>
      <c r="BH195" s="1093">
        <f t="shared" si="97"/>
        <v>1755.7345919253432</v>
      </c>
    </row>
    <row r="196" spans="1:60" s="344" customFormat="1">
      <c r="A196" s="1103"/>
    </row>
    <row r="197" spans="1:60">
      <c r="BF197" s="344"/>
    </row>
  </sheetData>
  <mergeCells count="2">
    <mergeCell ref="BI6:BI8"/>
    <mergeCell ref="BJ6:BJ8"/>
  </mergeCells>
  <phoneticPr fontId="0" type="noConversion"/>
  <pageMargins left="0.74803149606299202" right="0.74803149606299202" top="0.39370078740157499" bottom="0.98425196850393704" header="0.35433070866141703" footer="0.511811023622047"/>
  <pageSetup paperSize="187" scale="10" orientation="landscape" r:id="rId1"/>
  <headerFooter alignWithMargins="0">
    <oddFooter>&amp;L&amp;"Verdana,Bold"Goldman Sachs
CME Research&amp;R&amp;"Verdana,Bold"Christian Guerra
+613-9679-1302
christian.guerra@gs.com
Page &amp;P of &amp;N</oddFooter>
  </headerFooter>
  <customProperties>
    <customPr name="Qube.Worksheet.Visibility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5">
    <tabColor theme="4"/>
    <pageSetUpPr fitToPage="1"/>
  </sheetPr>
  <dimension ref="A2:P87"/>
  <sheetViews>
    <sheetView showGridLines="0" zoomScaleNormal="100" workbookViewId="0"/>
  </sheetViews>
  <sheetFormatPr defaultColWidth="9.140625" defaultRowHeight="12.75" outlineLevelRow="1"/>
  <cols>
    <col min="1" max="1" width="2.7109375" style="110" customWidth="1"/>
    <col min="2" max="2" width="27.42578125" style="110" customWidth="1"/>
    <col min="3" max="3" width="15.140625" style="111" customWidth="1"/>
    <col min="4" max="4" width="12.42578125" style="111" customWidth="1"/>
    <col min="5" max="5" width="9.140625" style="111" customWidth="1"/>
    <col min="6" max="6" width="3.5703125" style="110" customWidth="1"/>
    <col min="7" max="7" width="9.140625" style="110"/>
    <col min="8" max="8" width="18" style="110" customWidth="1"/>
    <col min="9" max="9" width="9.140625" style="110"/>
    <col min="10" max="10" width="15.28515625" style="110" customWidth="1"/>
    <col min="11" max="11" width="9.140625" style="110"/>
    <col min="12" max="12" width="20.5703125" style="110" bestFit="1" customWidth="1"/>
    <col min="13" max="15" width="9.140625" style="110"/>
    <col min="16" max="16" width="25.85546875" style="110" customWidth="1"/>
    <col min="17" max="16384" width="9.140625" style="110"/>
  </cols>
  <sheetData>
    <row r="2" spans="1:16" s="112" customFormat="1">
      <c r="A2" s="110"/>
      <c r="C2" s="113"/>
      <c r="D2" s="114"/>
      <c r="E2" s="115"/>
      <c r="F2" s="116"/>
    </row>
    <row r="3" spans="1:16" s="112" customFormat="1" ht="21.75" customHeight="1">
      <c r="A3" s="110"/>
      <c r="B3" s="123" t="s">
        <v>612</v>
      </c>
      <c r="C3" s="124"/>
      <c r="D3" s="124"/>
      <c r="E3" s="125"/>
      <c r="F3" s="116"/>
    </row>
    <row r="4" spans="1:16" s="112" customFormat="1" ht="6.75" customHeight="1">
      <c r="A4" s="110"/>
      <c r="B4" s="110"/>
      <c r="C4" s="131"/>
      <c r="D4" s="117"/>
      <c r="E4" s="115"/>
      <c r="F4" s="116"/>
    </row>
    <row r="5" spans="1:16" s="120" customFormat="1" ht="15" customHeight="1">
      <c r="A5" s="118"/>
      <c r="B5" s="1155" t="s">
        <v>618</v>
      </c>
      <c r="C5" s="166" t="s">
        <v>714</v>
      </c>
      <c r="D5" s="166" t="s">
        <v>310</v>
      </c>
      <c r="E5" s="166" t="s">
        <v>231</v>
      </c>
      <c r="F5" s="119"/>
      <c r="G5" s="129"/>
      <c r="H5" s="129"/>
      <c r="I5" s="129"/>
      <c r="J5" s="129"/>
      <c r="K5" s="129"/>
      <c r="L5" s="129"/>
      <c r="M5" s="129"/>
      <c r="N5" s="129"/>
      <c r="O5" s="129"/>
      <c r="P5" s="129"/>
    </row>
    <row r="6" spans="1:16" s="120" customFormat="1" ht="15" customHeight="1">
      <c r="A6" s="118"/>
      <c r="B6" s="1155"/>
      <c r="C6" s="166" t="s">
        <v>684</v>
      </c>
      <c r="D6" s="166" t="s">
        <v>311</v>
      </c>
      <c r="E6" s="166" t="s">
        <v>684</v>
      </c>
      <c r="F6" s="119"/>
      <c r="G6" s="129"/>
      <c r="H6" s="129"/>
      <c r="I6" s="129"/>
      <c r="J6" s="129"/>
      <c r="K6" s="129"/>
      <c r="L6" s="129"/>
      <c r="M6" s="129"/>
      <c r="N6" s="129"/>
      <c r="O6" s="129"/>
      <c r="P6" s="129"/>
    </row>
    <row r="7" spans="1:16" s="112" customFormat="1">
      <c r="A7" s="110"/>
      <c r="B7" s="110"/>
      <c r="C7" s="126"/>
      <c r="D7" s="127"/>
      <c r="E7" s="126"/>
      <c r="F7" s="128"/>
      <c r="G7" s="129"/>
      <c r="H7" s="129"/>
      <c r="I7" s="129"/>
      <c r="J7" s="129"/>
      <c r="K7" s="129"/>
      <c r="L7" s="129"/>
      <c r="M7" s="129"/>
      <c r="N7" s="129"/>
      <c r="O7" s="129"/>
      <c r="P7" s="129"/>
    </row>
    <row r="8" spans="1:16" ht="18.75" customHeight="1">
      <c r="B8" s="167" t="s">
        <v>613</v>
      </c>
      <c r="C8" s="177">
        <f>MODEL!AT24</f>
        <v>758.97888631427418</v>
      </c>
      <c r="D8" s="287">
        <v>40</v>
      </c>
      <c r="E8" s="177">
        <f>D8*C8</f>
        <v>30359.155452570965</v>
      </c>
      <c r="F8" s="130"/>
      <c r="G8" s="129"/>
      <c r="H8" s="129"/>
      <c r="I8" s="129"/>
      <c r="J8" s="129"/>
      <c r="K8" s="129"/>
      <c r="L8" s="129"/>
      <c r="M8" s="129"/>
      <c r="N8" s="129"/>
      <c r="O8" s="129"/>
      <c r="P8" s="129"/>
    </row>
    <row r="9" spans="1:16" s="112" customFormat="1" ht="3.75" customHeight="1">
      <c r="A9" s="110"/>
      <c r="B9" s="110"/>
      <c r="C9" s="173"/>
      <c r="D9" s="117"/>
      <c r="E9" s="115"/>
      <c r="F9" s="116"/>
      <c r="G9" s="129"/>
      <c r="H9" s="129"/>
      <c r="I9" s="129"/>
      <c r="J9" s="129"/>
      <c r="K9" s="129"/>
      <c r="L9" s="129"/>
      <c r="M9" s="129"/>
      <c r="N9" s="129"/>
      <c r="O9" s="129"/>
      <c r="P9" s="129"/>
    </row>
    <row r="10" spans="1:16">
      <c r="B10" s="129" t="s">
        <v>715</v>
      </c>
      <c r="C10" s="121"/>
      <c r="D10" s="117"/>
      <c r="E10" s="126">
        <f>MODEL!AS127</f>
        <v>1938.1314199984577</v>
      </c>
      <c r="G10" s="129"/>
      <c r="H10" s="129"/>
      <c r="I10" s="129"/>
      <c r="J10" s="129"/>
      <c r="K10" s="129"/>
      <c r="L10" s="129"/>
      <c r="M10" s="129"/>
      <c r="N10" s="129"/>
      <c r="O10" s="129"/>
      <c r="P10" s="129"/>
    </row>
    <row r="11" spans="1:16" ht="18.75" customHeight="1">
      <c r="B11" s="129" t="s">
        <v>309</v>
      </c>
      <c r="C11" s="131"/>
      <c r="D11" s="117"/>
      <c r="E11" s="115">
        <f>E8-SUM(E10:E10)</f>
        <v>28421.024032572506</v>
      </c>
      <c r="G11" s="129"/>
      <c r="L11" s="129"/>
      <c r="M11" s="129"/>
      <c r="N11" s="129"/>
      <c r="O11" s="129"/>
      <c r="P11" s="129"/>
    </row>
    <row r="12" spans="1:16" s="112" customFormat="1" ht="4.5" customHeight="1">
      <c r="A12" s="110"/>
      <c r="B12" s="110"/>
      <c r="C12" s="132"/>
      <c r="D12" s="117"/>
      <c r="E12" s="115"/>
      <c r="F12" s="116"/>
      <c r="G12" s="129"/>
      <c r="L12" s="129"/>
      <c r="M12" s="129"/>
      <c r="N12" s="129"/>
      <c r="O12" s="129"/>
      <c r="P12" s="129"/>
    </row>
    <row r="13" spans="1:16" ht="18.75" customHeight="1">
      <c r="B13" s="129" t="s">
        <v>257</v>
      </c>
      <c r="C13" s="131"/>
      <c r="D13" s="117"/>
      <c r="E13" s="115">
        <f>MODEL!AS249</f>
        <v>334.6</v>
      </c>
      <c r="F13" s="129"/>
      <c r="G13" s="129"/>
      <c r="H13" s="129"/>
      <c r="I13" s="129"/>
      <c r="L13" s="129"/>
      <c r="M13" s="129"/>
      <c r="N13" s="129"/>
      <c r="O13" s="129"/>
      <c r="P13" s="129"/>
    </row>
    <row r="14" spans="1:16" ht="18.75" customHeight="1">
      <c r="B14" s="129" t="s">
        <v>686</v>
      </c>
      <c r="C14" s="131"/>
      <c r="D14" s="117"/>
      <c r="E14" s="1152">
        <v>0.64500000000000002</v>
      </c>
      <c r="F14" s="129"/>
      <c r="G14" s="129"/>
      <c r="H14" s="129"/>
      <c r="I14" s="129"/>
      <c r="L14" s="129"/>
      <c r="M14" s="129"/>
      <c r="N14" s="129"/>
      <c r="O14" s="129"/>
      <c r="P14" s="129"/>
    </row>
    <row r="15" spans="1:16" ht="18.75" customHeight="1">
      <c r="B15" s="167" t="s">
        <v>685</v>
      </c>
      <c r="C15" s="168"/>
      <c r="D15" s="168"/>
      <c r="E15" s="260">
        <f>+MROUND(E11/E13/E14,1)</f>
        <v>132</v>
      </c>
      <c r="F15" s="344"/>
      <c r="G15" s="129"/>
      <c r="H15" s="129"/>
      <c r="I15" s="129"/>
      <c r="L15" s="129"/>
      <c r="M15" s="129"/>
      <c r="N15" s="129"/>
      <c r="O15" s="129"/>
      <c r="P15" s="129"/>
    </row>
    <row r="16" spans="1:16" ht="7.5" customHeight="1">
      <c r="C16" s="121"/>
      <c r="D16" s="117"/>
      <c r="E16" s="115"/>
      <c r="F16" s="129"/>
      <c r="G16" s="129"/>
      <c r="H16" s="129"/>
      <c r="I16" s="129"/>
      <c r="L16" s="129"/>
      <c r="M16" s="129"/>
      <c r="N16" s="129"/>
      <c r="O16" s="129"/>
      <c r="P16" s="129"/>
    </row>
    <row r="17" spans="1:16" ht="15" hidden="1" customHeight="1" outlineLevel="1">
      <c r="B17" s="261"/>
      <c r="C17" s="262"/>
      <c r="D17" s="262"/>
      <c r="E17" s="262"/>
      <c r="F17" s="129"/>
      <c r="G17" s="129"/>
      <c r="H17" s="129"/>
      <c r="I17" s="348"/>
      <c r="L17" s="129"/>
      <c r="M17" s="129"/>
      <c r="N17" s="129"/>
      <c r="O17" s="129"/>
      <c r="P17" s="129"/>
    </row>
    <row r="18" spans="1:16" s="112" customFormat="1" ht="15" hidden="1" customHeight="1" outlineLevel="1">
      <c r="A18" s="110"/>
      <c r="B18" s="269" t="s">
        <v>650</v>
      </c>
      <c r="C18" s="166"/>
      <c r="D18" s="166"/>
      <c r="E18" s="166"/>
      <c r="F18" s="110"/>
      <c r="G18" s="129"/>
      <c r="H18" s="129"/>
      <c r="I18" s="129"/>
      <c r="L18" s="129"/>
      <c r="M18" s="129"/>
      <c r="N18" s="129"/>
      <c r="O18" s="129"/>
      <c r="P18" s="129"/>
    </row>
    <row r="19" spans="1:16" hidden="1" outlineLevel="1">
      <c r="C19" s="128"/>
      <c r="D19" s="263"/>
      <c r="E19" s="128"/>
      <c r="F19" s="348"/>
      <c r="G19" s="129"/>
      <c r="H19" s="129"/>
      <c r="I19" s="129"/>
      <c r="L19" s="129"/>
      <c r="M19" s="129"/>
      <c r="N19" s="129"/>
      <c r="O19" s="129"/>
      <c r="P19" s="129"/>
    </row>
    <row r="20" spans="1:16" hidden="1" outlineLevel="1">
      <c r="B20" s="129" t="s">
        <v>651</v>
      </c>
      <c r="C20" s="129"/>
      <c r="D20" s="129"/>
      <c r="E20" s="270">
        <v>1.6639999999999999</v>
      </c>
      <c r="F20" s="129"/>
      <c r="G20" s="129"/>
      <c r="H20" s="129"/>
      <c r="I20" s="129"/>
      <c r="L20" s="129"/>
      <c r="M20" s="129"/>
      <c r="N20" s="129"/>
      <c r="O20" s="129"/>
      <c r="P20" s="129"/>
    </row>
    <row r="21" spans="1:16" hidden="1" outlineLevel="1">
      <c r="F21" s="129"/>
      <c r="G21" s="129"/>
      <c r="H21" s="129"/>
      <c r="I21" s="129"/>
      <c r="L21" s="129"/>
      <c r="M21" s="129"/>
      <c r="N21" s="129"/>
      <c r="O21" s="129"/>
      <c r="P21" s="129"/>
    </row>
    <row r="22" spans="1:16" hidden="1" outlineLevel="1">
      <c r="B22" s="129" t="s">
        <v>652</v>
      </c>
      <c r="C22" s="262"/>
      <c r="D22" s="262"/>
      <c r="E22" s="271">
        <f>H8</f>
        <v>0</v>
      </c>
      <c r="F22" s="129"/>
      <c r="G22" s="129"/>
      <c r="H22" s="129"/>
      <c r="I22" s="129"/>
      <c r="L22" s="129"/>
      <c r="M22" s="356"/>
      <c r="N22" s="129"/>
      <c r="O22" s="129"/>
      <c r="P22" s="129"/>
    </row>
    <row r="23" spans="1:16" hidden="1" outlineLevel="1">
      <c r="B23" s="129"/>
      <c r="C23" s="262"/>
      <c r="D23" s="262"/>
      <c r="E23" s="264"/>
      <c r="F23" s="129"/>
      <c r="G23" s="129"/>
      <c r="H23" s="129"/>
      <c r="I23" s="129"/>
      <c r="L23" s="129"/>
      <c r="M23" s="356"/>
      <c r="N23" s="129"/>
      <c r="O23" s="129"/>
      <c r="P23" s="129"/>
    </row>
    <row r="24" spans="1:16" hidden="1" outlineLevel="1">
      <c r="B24" s="272" t="s">
        <v>653</v>
      </c>
      <c r="C24" s="273"/>
      <c r="D24" s="273"/>
      <c r="E24" s="274">
        <f>E22*E20*100</f>
        <v>0</v>
      </c>
      <c r="F24" s="129"/>
      <c r="G24" s="129"/>
      <c r="H24" s="129"/>
      <c r="I24" s="485"/>
      <c r="L24" s="129"/>
      <c r="M24" s="356"/>
      <c r="N24" s="129"/>
      <c r="O24" s="129"/>
      <c r="P24" s="129"/>
    </row>
    <row r="25" spans="1:16" hidden="1" outlineLevel="1">
      <c r="F25" s="129"/>
      <c r="G25" s="129"/>
      <c r="H25" s="129"/>
      <c r="I25" s="485"/>
      <c r="L25" s="129"/>
      <c r="M25" s="486"/>
      <c r="N25" s="129"/>
      <c r="O25" s="129"/>
      <c r="P25" s="129"/>
    </row>
    <row r="26" spans="1:16" hidden="1" outlineLevel="1">
      <c r="F26" s="129"/>
      <c r="G26" s="129"/>
      <c r="H26" s="129"/>
      <c r="I26" s="129"/>
      <c r="L26" s="129"/>
      <c r="M26" s="314"/>
      <c r="N26" s="129"/>
      <c r="O26" s="129"/>
      <c r="P26" s="129"/>
    </row>
    <row r="27" spans="1:16" hidden="1" outlineLevel="1">
      <c r="F27" s="129"/>
      <c r="G27" s="129"/>
      <c r="H27" s="129"/>
      <c r="I27" s="129"/>
      <c r="L27" s="129"/>
      <c r="M27" s="322"/>
      <c r="N27" s="129"/>
      <c r="O27" s="129"/>
      <c r="P27" s="129"/>
    </row>
    <row r="28" spans="1:16" hidden="1" outlineLevel="1">
      <c r="F28" s="129"/>
      <c r="G28" s="129"/>
      <c r="H28" s="129"/>
      <c r="I28" s="129"/>
      <c r="L28" s="129"/>
      <c r="M28" s="129"/>
      <c r="N28" s="129"/>
      <c r="O28" s="129"/>
      <c r="P28" s="129"/>
    </row>
    <row r="29" spans="1:16" hidden="1" outlineLevel="1">
      <c r="F29" s="129"/>
      <c r="G29" s="129"/>
      <c r="H29" s="129"/>
      <c r="I29" s="129"/>
      <c r="L29" s="129"/>
      <c r="M29" s="129"/>
      <c r="N29" s="129"/>
      <c r="O29" s="129"/>
      <c r="P29" s="129"/>
    </row>
    <row r="30" spans="1:16" hidden="1" outlineLevel="1">
      <c r="C30" s="121"/>
      <c r="D30" s="265"/>
      <c r="E30" s="265"/>
      <c r="F30" s="129"/>
      <c r="G30" s="129"/>
      <c r="H30" s="129"/>
      <c r="I30" s="129"/>
      <c r="L30" s="129"/>
      <c r="M30" s="129"/>
      <c r="N30" s="129"/>
      <c r="O30" s="129"/>
      <c r="P30" s="129"/>
    </row>
    <row r="31" spans="1:16" hidden="1" outlineLevel="1">
      <c r="D31" s="122"/>
      <c r="E31" s="122"/>
      <c r="F31" s="129"/>
      <c r="G31" s="129"/>
      <c r="H31" s="129"/>
      <c r="I31" s="129"/>
      <c r="L31" s="129"/>
      <c r="M31" s="129"/>
      <c r="N31" s="129"/>
      <c r="O31" s="129"/>
      <c r="P31" s="129"/>
    </row>
    <row r="32" spans="1:16" hidden="1" outlineLevel="1">
      <c r="F32" s="129"/>
      <c r="G32" s="129"/>
      <c r="H32" s="129"/>
      <c r="I32" s="129"/>
      <c r="L32" s="129"/>
      <c r="M32" s="129"/>
      <c r="N32" s="129"/>
      <c r="O32" s="129"/>
      <c r="P32" s="129"/>
    </row>
    <row r="33" spans="3:16" hidden="1" outlineLevel="1">
      <c r="F33" s="129"/>
      <c r="G33" s="129"/>
      <c r="H33" s="129"/>
      <c r="I33" s="129"/>
      <c r="L33" s="129"/>
      <c r="M33" s="129"/>
      <c r="N33" s="129"/>
      <c r="O33" s="129"/>
      <c r="P33" s="129"/>
    </row>
    <row r="34" spans="3:16" hidden="1" outlineLevel="1">
      <c r="F34" s="129"/>
      <c r="G34" s="129"/>
      <c r="H34" s="129"/>
      <c r="I34" s="129"/>
      <c r="L34" s="129"/>
      <c r="M34" s="129"/>
      <c r="N34" s="129"/>
      <c r="O34" s="129"/>
      <c r="P34" s="129"/>
    </row>
    <row r="35" spans="3:16" hidden="1" outlineLevel="1">
      <c r="F35" s="129"/>
      <c r="G35" s="129"/>
      <c r="H35" s="129"/>
      <c r="I35" s="129"/>
      <c r="L35" s="129"/>
      <c r="M35" s="129"/>
      <c r="N35" s="129"/>
      <c r="O35" s="129"/>
      <c r="P35" s="129"/>
    </row>
    <row r="36" spans="3:16" hidden="1" outlineLevel="1">
      <c r="F36" s="129"/>
      <c r="G36" s="129"/>
      <c r="H36" s="129"/>
      <c r="I36" s="129"/>
      <c r="L36" s="129"/>
      <c r="M36" s="129"/>
      <c r="N36" s="129"/>
      <c r="O36" s="129"/>
      <c r="P36" s="129"/>
    </row>
    <row r="37" spans="3:16" hidden="1" outlineLevel="1">
      <c r="F37" s="129"/>
      <c r="G37" s="129"/>
      <c r="H37" s="129"/>
      <c r="I37" s="129"/>
      <c r="L37" s="129"/>
      <c r="M37" s="129"/>
      <c r="N37" s="129"/>
      <c r="O37" s="129"/>
      <c r="P37" s="129"/>
    </row>
    <row r="38" spans="3:16" hidden="1" outlineLevel="1">
      <c r="F38" s="129"/>
      <c r="G38" s="129"/>
      <c r="H38" s="129"/>
      <c r="I38" s="129"/>
      <c r="L38" s="129"/>
      <c r="M38" s="129"/>
      <c r="N38" s="129"/>
      <c r="O38" s="129"/>
      <c r="P38" s="129"/>
    </row>
    <row r="39" spans="3:16" hidden="1" outlineLevel="1">
      <c r="F39" s="129"/>
      <c r="G39" s="129"/>
      <c r="H39" s="129"/>
      <c r="I39" s="129"/>
      <c r="L39" s="129"/>
      <c r="M39" s="129"/>
      <c r="N39" s="129"/>
      <c r="O39" s="129"/>
      <c r="P39" s="129"/>
    </row>
    <row r="40" spans="3:16" collapsed="1">
      <c r="E40" s="179"/>
      <c r="F40" s="129"/>
      <c r="G40" s="129"/>
      <c r="H40" s="129"/>
      <c r="I40" s="129"/>
      <c r="L40" s="129"/>
      <c r="M40" s="129"/>
      <c r="N40" s="129"/>
      <c r="O40" s="129"/>
      <c r="P40" s="129"/>
    </row>
    <row r="41" spans="3:16">
      <c r="E41" s="179"/>
      <c r="F41" s="129"/>
      <c r="G41" s="129"/>
      <c r="H41" s="129"/>
      <c r="I41" s="129"/>
      <c r="L41" s="129"/>
      <c r="M41" s="129"/>
      <c r="N41" s="129"/>
      <c r="O41" s="129"/>
      <c r="P41" s="129"/>
    </row>
    <row r="42" spans="3:16">
      <c r="E42" s="288"/>
      <c r="F42" s="129"/>
      <c r="G42" s="129"/>
      <c r="H42" s="129"/>
      <c r="I42" s="129"/>
      <c r="L42" s="129"/>
      <c r="M42" s="129"/>
      <c r="N42" s="129"/>
      <c r="O42" s="129"/>
      <c r="P42" s="129"/>
    </row>
    <row r="43" spans="3:16">
      <c r="E43" s="193"/>
      <c r="F43" s="129"/>
      <c r="G43" s="129"/>
      <c r="H43" s="129"/>
      <c r="I43" s="129"/>
      <c r="J43" s="129"/>
      <c r="K43" s="129"/>
      <c r="L43" s="344"/>
      <c r="M43" s="129"/>
      <c r="N43" s="129"/>
      <c r="O43" s="129"/>
      <c r="P43" s="129"/>
    </row>
    <row r="44" spans="3:16">
      <c r="D44" s="286"/>
      <c r="F44" s="129"/>
      <c r="G44" s="129"/>
      <c r="H44" s="129"/>
      <c r="I44" s="129"/>
      <c r="J44" s="129"/>
      <c r="K44" s="129"/>
      <c r="L44" s="129"/>
      <c r="M44" s="129"/>
      <c r="N44" s="129"/>
      <c r="O44" s="129"/>
      <c r="P44" s="129"/>
    </row>
    <row r="45" spans="3:16">
      <c r="G45" s="129"/>
      <c r="H45" s="129"/>
      <c r="I45" s="129"/>
      <c r="J45" s="129"/>
      <c r="K45" s="129"/>
      <c r="L45" s="129"/>
      <c r="M45" s="129"/>
      <c r="N45" s="129"/>
      <c r="O45" s="129"/>
      <c r="P45" s="129"/>
    </row>
    <row r="46" spans="3:16">
      <c r="D46" s="286"/>
      <c r="G46" s="129"/>
      <c r="H46" s="129"/>
      <c r="I46" s="129"/>
      <c r="J46" s="129"/>
      <c r="K46" s="129"/>
      <c r="L46" s="129"/>
      <c r="M46" s="129"/>
      <c r="N46" s="129"/>
      <c r="O46" s="129"/>
      <c r="P46" s="129"/>
    </row>
    <row r="47" spans="3:16">
      <c r="G47" s="344"/>
      <c r="H47" s="129"/>
      <c r="I47" s="129"/>
      <c r="J47" s="129"/>
      <c r="K47" s="129"/>
      <c r="L47" s="129"/>
      <c r="M47" s="129"/>
      <c r="N47" s="129"/>
      <c r="O47" s="129"/>
      <c r="P47" s="129"/>
    </row>
    <row r="48" spans="3:16">
      <c r="C48" s="178"/>
      <c r="D48" s="179"/>
      <c r="G48" s="129"/>
      <c r="H48" s="129"/>
      <c r="I48" s="129"/>
      <c r="J48" s="129"/>
      <c r="K48" s="129"/>
      <c r="L48" s="129"/>
      <c r="M48" s="129"/>
      <c r="N48" s="129"/>
      <c r="O48" s="129"/>
      <c r="P48" s="129"/>
    </row>
    <row r="49" spans="2:16">
      <c r="C49" s="178"/>
      <c r="D49" s="179"/>
      <c r="E49" s="286"/>
      <c r="G49" s="129"/>
      <c r="H49" s="129"/>
      <c r="I49" s="129"/>
      <c r="J49" s="129"/>
      <c r="K49" s="129"/>
      <c r="L49" s="129"/>
      <c r="M49" s="129"/>
      <c r="N49" s="129"/>
      <c r="O49" s="129"/>
      <c r="P49" s="129"/>
    </row>
    <row r="50" spans="2:16">
      <c r="C50" s="178"/>
      <c r="D50" s="179"/>
      <c r="G50" s="129"/>
      <c r="H50" s="129"/>
      <c r="I50" s="129"/>
      <c r="J50" s="129"/>
      <c r="K50" s="129"/>
      <c r="L50" s="129"/>
      <c r="M50" s="129"/>
      <c r="N50" s="129"/>
      <c r="O50" s="129"/>
      <c r="P50" s="129"/>
    </row>
    <row r="51" spans="2:16">
      <c r="G51" s="129"/>
      <c r="H51" s="129"/>
      <c r="I51" s="129"/>
      <c r="J51" s="129"/>
      <c r="K51" s="129"/>
      <c r="L51" s="129"/>
      <c r="M51" s="129"/>
      <c r="N51" s="129"/>
      <c r="O51" s="129"/>
      <c r="P51" s="129"/>
    </row>
    <row r="52" spans="2:16">
      <c r="D52" s="674"/>
      <c r="G52" s="129"/>
      <c r="H52" s="129"/>
      <c r="I52" s="129"/>
      <c r="J52" s="129"/>
      <c r="K52" s="129"/>
      <c r="L52" s="129"/>
      <c r="M52" s="129"/>
      <c r="N52" s="129"/>
      <c r="O52" s="129"/>
      <c r="P52" s="129"/>
    </row>
    <row r="53" spans="2:16">
      <c r="G53" s="129"/>
      <c r="H53" s="129"/>
      <c r="I53" s="129"/>
      <c r="J53" s="129"/>
      <c r="K53" s="129"/>
      <c r="L53" s="350"/>
      <c r="M53" s="129"/>
      <c r="N53" s="129"/>
      <c r="O53" s="129"/>
      <c r="P53" s="129"/>
    </row>
    <row r="54" spans="2:16">
      <c r="G54" s="129"/>
      <c r="H54" s="129"/>
      <c r="I54" s="129"/>
      <c r="J54" s="129"/>
      <c r="K54" s="129"/>
      <c r="L54" s="129"/>
      <c r="M54" s="129"/>
      <c r="N54" s="129"/>
      <c r="O54" s="129"/>
      <c r="P54" s="129"/>
    </row>
    <row r="55" spans="2:16">
      <c r="E55" s="286"/>
      <c r="G55" s="129"/>
      <c r="H55" s="129"/>
      <c r="I55" s="129"/>
      <c r="J55" s="129"/>
      <c r="K55" s="129"/>
      <c r="L55" s="487"/>
      <c r="M55" s="129"/>
      <c r="N55" s="129"/>
      <c r="O55" s="129"/>
      <c r="P55" s="129"/>
    </row>
    <row r="56" spans="2:16">
      <c r="G56" s="129"/>
      <c r="H56" s="129"/>
      <c r="I56" s="129"/>
      <c r="J56" s="129"/>
      <c r="K56" s="129"/>
      <c r="L56" s="129"/>
      <c r="M56" s="129"/>
      <c r="N56" s="129"/>
      <c r="O56" s="129"/>
      <c r="P56" s="129"/>
    </row>
    <row r="57" spans="2:16">
      <c r="G57" s="129"/>
      <c r="H57" s="129"/>
      <c r="I57" s="129"/>
      <c r="J57" s="129"/>
      <c r="K57" s="129"/>
      <c r="L57" s="353"/>
      <c r="M57" s="129"/>
      <c r="N57" s="129"/>
      <c r="O57" s="129"/>
      <c r="P57" s="129"/>
    </row>
    <row r="58" spans="2:16">
      <c r="G58" s="129"/>
      <c r="H58" s="129"/>
      <c r="I58" s="129"/>
      <c r="J58" s="129"/>
      <c r="K58" s="129"/>
      <c r="L58" s="129"/>
      <c r="M58" s="129"/>
      <c r="N58" s="129"/>
      <c r="O58" s="129"/>
      <c r="P58" s="129"/>
    </row>
    <row r="59" spans="2:16">
      <c r="G59" s="129"/>
      <c r="H59" s="129"/>
      <c r="I59" s="129"/>
      <c r="J59" s="129"/>
      <c r="K59" s="129"/>
      <c r="L59" s="345"/>
      <c r="M59" s="129"/>
      <c r="N59" s="129"/>
      <c r="O59" s="129"/>
      <c r="P59" s="129"/>
    </row>
    <row r="60" spans="2:16">
      <c r="B60" s="129"/>
      <c r="C60" s="129"/>
      <c r="D60" s="129"/>
      <c r="E60" s="129"/>
      <c r="G60" s="129"/>
      <c r="H60" s="129"/>
      <c r="I60" s="129"/>
      <c r="J60" s="129"/>
      <c r="K60" s="129"/>
      <c r="L60" s="129"/>
      <c r="M60" s="129"/>
      <c r="N60" s="129"/>
      <c r="O60" s="129"/>
      <c r="P60" s="129"/>
    </row>
    <row r="61" spans="2:16">
      <c r="B61" s="129"/>
      <c r="C61" s="129"/>
      <c r="D61" s="129"/>
      <c r="E61" s="129"/>
      <c r="G61" s="129"/>
      <c r="H61" s="129"/>
      <c r="I61" s="129"/>
      <c r="J61" s="129"/>
      <c r="K61" s="129"/>
      <c r="L61" s="129"/>
      <c r="M61" s="129"/>
      <c r="N61" s="129"/>
      <c r="O61" s="129"/>
      <c r="P61" s="129"/>
    </row>
    <row r="62" spans="2:16">
      <c r="B62" s="129"/>
      <c r="C62" s="129"/>
      <c r="D62" s="129"/>
      <c r="E62" s="129"/>
      <c r="G62" s="129"/>
      <c r="H62" s="129"/>
      <c r="I62" s="129"/>
      <c r="J62" s="129"/>
      <c r="K62" s="129"/>
      <c r="L62" s="129"/>
      <c r="M62" s="129"/>
      <c r="N62" s="129"/>
      <c r="O62" s="129"/>
      <c r="P62" s="129"/>
    </row>
    <row r="63" spans="2:16">
      <c r="B63" s="129"/>
      <c r="C63" s="129"/>
      <c r="D63" s="129"/>
      <c r="E63" s="129"/>
    </row>
    <row r="64" spans="2:16">
      <c r="B64" s="129"/>
      <c r="C64" s="129"/>
      <c r="D64" s="129"/>
      <c r="E64" s="129"/>
    </row>
    <row r="65" spans="2:11">
      <c r="B65" s="129"/>
      <c r="C65" s="129"/>
      <c r="D65" s="129"/>
      <c r="E65" s="129"/>
    </row>
    <row r="66" spans="2:11">
      <c r="B66" s="129"/>
      <c r="C66" s="129"/>
      <c r="D66" s="129"/>
      <c r="E66" s="129"/>
    </row>
    <row r="67" spans="2:11">
      <c r="B67" s="129"/>
      <c r="C67" s="129"/>
      <c r="D67" s="129"/>
      <c r="E67" s="129"/>
      <c r="K67" s="289"/>
    </row>
    <row r="68" spans="2:11">
      <c r="B68" s="129"/>
      <c r="C68" s="129"/>
      <c r="D68" s="129"/>
      <c r="E68" s="129"/>
      <c r="K68" s="289"/>
    </row>
    <row r="69" spans="2:11">
      <c r="B69" s="129"/>
      <c r="C69" s="129"/>
      <c r="D69" s="129"/>
      <c r="E69" s="129"/>
      <c r="K69" s="289"/>
    </row>
    <row r="70" spans="2:11">
      <c r="B70" s="129"/>
      <c r="C70" s="129"/>
      <c r="D70" s="129"/>
      <c r="E70" s="129"/>
      <c r="K70" s="289"/>
    </row>
    <row r="71" spans="2:11">
      <c r="B71" s="129"/>
      <c r="C71" s="129"/>
      <c r="D71" s="129"/>
      <c r="E71" s="129"/>
      <c r="K71" s="289"/>
    </row>
    <row r="72" spans="2:11">
      <c r="B72" s="129"/>
      <c r="C72" s="129"/>
      <c r="D72" s="129"/>
      <c r="E72" s="129"/>
      <c r="K72" s="289"/>
    </row>
    <row r="73" spans="2:11">
      <c r="B73" s="129"/>
      <c r="C73" s="129"/>
      <c r="D73" s="129"/>
      <c r="E73" s="129"/>
      <c r="K73" s="289"/>
    </row>
    <row r="74" spans="2:11">
      <c r="B74" s="129"/>
      <c r="C74" s="129"/>
      <c r="D74" s="129"/>
      <c r="E74" s="129"/>
      <c r="K74" s="289"/>
    </row>
    <row r="75" spans="2:11">
      <c r="B75" s="129"/>
      <c r="C75" s="129"/>
      <c r="D75" s="129"/>
      <c r="E75" s="129"/>
      <c r="K75" s="289"/>
    </row>
    <row r="76" spans="2:11">
      <c r="K76" s="289"/>
    </row>
    <row r="77" spans="2:11">
      <c r="K77" s="289"/>
    </row>
    <row r="78" spans="2:11">
      <c r="K78" s="289"/>
    </row>
    <row r="79" spans="2:11">
      <c r="K79" s="289"/>
    </row>
    <row r="80" spans="2:11">
      <c r="K80" s="289"/>
    </row>
    <row r="81" spans="11:11">
      <c r="K81" s="289"/>
    </row>
    <row r="82" spans="11:11">
      <c r="K82" s="289"/>
    </row>
    <row r="83" spans="11:11">
      <c r="K83" s="289"/>
    </row>
    <row r="84" spans="11:11">
      <c r="K84" s="289"/>
    </row>
    <row r="85" spans="11:11">
      <c r="K85" s="289"/>
    </row>
    <row r="86" spans="11:11">
      <c r="K86" s="289"/>
    </row>
    <row r="87" spans="11:11">
      <c r="K87" s="289"/>
    </row>
  </sheetData>
  <sortState xmlns:xlrd2="http://schemas.microsoft.com/office/spreadsheetml/2017/richdata2" ref="G66:K87">
    <sortCondition descending="1" ref="K66:K87"/>
  </sortState>
  <mergeCells count="1">
    <mergeCell ref="B5:B6"/>
  </mergeCells>
  <printOptions horizontalCentered="1" verticalCentered="1"/>
  <pageMargins left="0" right="0" top="0.51181102362204722" bottom="0" header="0.51181102362204722" footer="0.51181102362204722"/>
  <pageSetup paperSize="9" scale="94" orientation="portrait" r:id="rId1"/>
  <headerFooter alignWithMargins="0"/>
  <customProperties>
    <customPr name="Qube.Worksheet.ID" r:id="rId2"/>
    <customPr name="Qube.Worksheet.Visibility" r:id="rId3"/>
  </customProperties>
  <drawing r:id="rId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1575A-A6A0-4143-8FDE-AFA73097A649}">
  <sheetPr>
    <tabColor rgb="FF00B0F0"/>
  </sheetPr>
  <dimension ref="A1"/>
  <sheetViews>
    <sheetView workbookViewId="0">
      <selection activeCell="N64" sqref="N64"/>
    </sheetView>
  </sheetViews>
  <sheetFormatPr defaultRowHeight="12.75"/>
  <sheetData/>
  <pageMargins left="0.7" right="0.7" top="0.75" bottom="0.75" header="0.3" footer="0.3"/>
  <customProperties>
    <customPr name="Qube.Worksheet.Visibility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81D4E-6330-4707-99CE-0ACE983F7642}">
  <sheetPr>
    <tabColor rgb="FF00B0F0"/>
    <pageSetUpPr autoPageBreaks="0"/>
  </sheetPr>
  <dimension ref="A1:DM227"/>
  <sheetViews>
    <sheetView zoomScaleNormal="100" workbookViewId="0">
      <pane xSplit="41" ySplit="42" topLeftCell="AQ181" activePane="bottomRight" state="frozen"/>
      <selection pane="topRight" activeCell="AP1" sqref="AP1"/>
      <selection pane="bottomLeft" activeCell="A43" sqref="A43"/>
      <selection pane="bottomRight" activeCell="BQ194" sqref="BQ194"/>
    </sheetView>
  </sheetViews>
  <sheetFormatPr defaultColWidth="9.140625" defaultRowHeight="12" customHeight="1" outlineLevelRow="1" outlineLevelCol="2"/>
  <cols>
    <col min="1" max="1" width="41" style="680" customWidth="1"/>
    <col min="2" max="5" width="9.140625" style="680" hidden="1" customWidth="1" outlineLevel="2"/>
    <col min="6" max="6" width="9.140625" style="680" hidden="1" customWidth="1" outlineLevel="1" collapsed="1"/>
    <col min="7" max="10" width="9.140625" style="680" hidden="1" customWidth="1" outlineLevel="2"/>
    <col min="11" max="11" width="9.140625" style="680" hidden="1" customWidth="1" outlineLevel="1" collapsed="1"/>
    <col min="12" max="15" width="9.140625" style="680" hidden="1" customWidth="1" outlineLevel="2"/>
    <col min="16" max="16" width="9.140625" style="680" hidden="1" customWidth="1" outlineLevel="1" collapsed="1"/>
    <col min="17" max="20" width="9.140625" style="680" hidden="1" customWidth="1" outlineLevel="2"/>
    <col min="21" max="21" width="9.140625" style="680" hidden="1" customWidth="1" outlineLevel="1" collapsed="1"/>
    <col min="22" max="25" width="9.140625" style="680" hidden="1" customWidth="1" outlineLevel="2"/>
    <col min="26" max="26" width="9.140625" style="680" hidden="1" customWidth="1" outlineLevel="1" collapsed="1"/>
    <col min="27" max="30" width="9.140625" style="680" hidden="1" customWidth="1" outlineLevel="2"/>
    <col min="31" max="31" width="9.140625" style="680" hidden="1" customWidth="1" outlineLevel="1" collapsed="1"/>
    <col min="32" max="35" width="9.140625" style="680" hidden="1" customWidth="1" outlineLevel="2"/>
    <col min="36" max="36" width="9.140625" style="680" hidden="1" customWidth="1" outlineLevel="1" collapsed="1"/>
    <col min="37" max="40" width="9.140625" style="680" hidden="1" customWidth="1" outlineLevel="2"/>
    <col min="41" max="41" width="9.140625" style="680" hidden="1" customWidth="1" outlineLevel="1" collapsed="1"/>
    <col min="42" max="45" width="9.140625" style="680" customWidth="1" outlineLevel="2"/>
    <col min="46" max="46" width="9.140625" style="680" customWidth="1" outlineLevel="1"/>
    <col min="47" max="50" width="9.140625" style="680" customWidth="1" outlineLevel="2"/>
    <col min="51" max="55" width="9.140625" style="680" customWidth="1" outlineLevel="1"/>
    <col min="56" max="56" width="9.140625" style="680" customWidth="1"/>
    <col min="57" max="60" width="9.140625" style="680" customWidth="1" outlineLevel="1"/>
    <col min="61" max="61" width="9.140625" style="680"/>
    <col min="62" max="65" width="9.140625" style="680" customWidth="1" outlineLevel="1"/>
    <col min="66" max="66" width="9.140625" style="680"/>
    <col min="67" max="70" width="9.140625" style="680" customWidth="1"/>
    <col min="71" max="71" width="9.140625" style="680"/>
    <col min="72" max="75" width="9.140625" style="680" customWidth="1"/>
    <col min="76" max="76" width="9.140625" style="680"/>
    <col min="77" max="80" width="9.140625" style="680" customWidth="1" outlineLevel="1"/>
    <col min="81" max="81" width="9.140625" style="680"/>
    <col min="82" max="85" width="9.140625" style="680" customWidth="1" outlineLevel="1"/>
    <col min="86" max="86" width="9.140625" style="680"/>
    <col min="87" max="90" width="9.140625" style="680" customWidth="1" outlineLevel="1"/>
    <col min="91" max="91" width="9.140625" style="680"/>
    <col min="92" max="95" width="9.140625" style="680" customWidth="1" outlineLevel="1"/>
    <col min="96" max="100" width="9.140625" style="680"/>
    <col min="101" max="104" width="6.7109375" style="680" customWidth="1" outlineLevel="1"/>
    <col min="105" max="105" width="7" style="680" customWidth="1" outlineLevel="1"/>
    <col min="106" max="107" width="6.7109375" style="680" customWidth="1" outlineLevel="1"/>
    <col min="108" max="108" width="6.7109375" style="680" customWidth="1"/>
    <col min="109" max="111" width="6.7109375" style="680" bestFit="1" customWidth="1"/>
    <col min="112" max="113" width="6.7109375" style="680" customWidth="1"/>
    <col min="114" max="115" width="9.140625" style="680"/>
    <col min="116" max="117" width="9.140625" style="700"/>
    <col min="118" max="16384" width="9.140625" style="680"/>
  </cols>
  <sheetData>
    <row r="1" spans="1:114" ht="12" customHeight="1">
      <c r="A1" s="679" t="s">
        <v>717</v>
      </c>
      <c r="BA1" s="681"/>
      <c r="BB1" s="682"/>
      <c r="BC1" s="682"/>
      <c r="BE1" s="683"/>
      <c r="BF1" s="683"/>
      <c r="BG1" s="683"/>
      <c r="BH1" s="683"/>
      <c r="BI1" s="683"/>
      <c r="BJ1" s="683"/>
      <c r="BK1" s="683"/>
      <c r="BL1" s="683"/>
      <c r="BM1" s="683"/>
      <c r="BN1" s="683"/>
      <c r="BO1" s="683"/>
      <c r="BP1" s="683"/>
      <c r="BQ1" s="683"/>
      <c r="BR1" s="683"/>
      <c r="BS1" s="683"/>
      <c r="BT1" s="683"/>
    </row>
    <row r="2" spans="1:114" ht="12" customHeight="1">
      <c r="A2" s="684" t="s">
        <v>718</v>
      </c>
      <c r="AZ2" s="681"/>
      <c r="BA2" s="681"/>
      <c r="BB2" s="681"/>
      <c r="BC2" s="681"/>
      <c r="BE2" s="681"/>
      <c r="BF2" s="681"/>
      <c r="BG2" s="681"/>
      <c r="BH2" s="681"/>
      <c r="BJ2" s="681"/>
      <c r="BK2" s="681"/>
      <c r="BL2" s="681"/>
      <c r="BM2" s="681"/>
      <c r="BO2" s="681"/>
      <c r="BP2" s="681"/>
      <c r="BQ2" s="681"/>
      <c r="BU2" s="685"/>
    </row>
    <row r="3" spans="1:114" ht="12" customHeight="1">
      <c r="A3" s="684" t="s">
        <v>719</v>
      </c>
      <c r="AO3" s="681"/>
      <c r="AW3" s="686"/>
      <c r="AX3" s="686"/>
      <c r="AZ3" s="687"/>
      <c r="BA3" s="687"/>
      <c r="BB3" s="687"/>
      <c r="BC3" s="687"/>
      <c r="BE3" s="687"/>
      <c r="BF3" s="687"/>
      <c r="BG3" s="687"/>
      <c r="BH3" s="687"/>
      <c r="BJ3" s="687"/>
      <c r="BK3" s="687"/>
      <c r="BL3" s="687"/>
      <c r="BM3" s="687"/>
      <c r="BN3" s="686"/>
      <c r="BO3" s="687"/>
      <c r="BP3" s="687"/>
      <c r="BQ3" s="687"/>
      <c r="BR3" s="686"/>
      <c r="BS3" s="688"/>
      <c r="BT3" s="686"/>
    </row>
    <row r="4" spans="1:114" ht="12" customHeight="1">
      <c r="AW4" s="681"/>
      <c r="AX4" s="681"/>
      <c r="AZ4" s="681"/>
      <c r="BA4" s="681"/>
      <c r="BB4" s="681"/>
      <c r="BC4" s="681"/>
      <c r="BJ4" s="686"/>
      <c r="BK4" s="686"/>
      <c r="BL4" s="686"/>
      <c r="BM4" s="686"/>
      <c r="BO4" s="686"/>
      <c r="BP4" s="686"/>
      <c r="BQ4" s="686"/>
      <c r="BS4" s="689"/>
    </row>
    <row r="5" spans="1:114" ht="12" customHeight="1" thickBot="1">
      <c r="AA5" s="690"/>
      <c r="AB5" s="690"/>
      <c r="AC5" s="690"/>
      <c r="AD5" s="690"/>
      <c r="AK5" s="690">
        <v>606</v>
      </c>
      <c r="AL5" s="690">
        <v>606</v>
      </c>
      <c r="AM5" s="690">
        <v>606</v>
      </c>
      <c r="AN5" s="690">
        <v>606</v>
      </c>
      <c r="BA5" s="686"/>
      <c r="BB5" s="686"/>
      <c r="BC5" s="686"/>
      <c r="BE5" s="686"/>
      <c r="BF5" s="686"/>
      <c r="BG5" s="686"/>
      <c r="BH5" s="686"/>
      <c r="BI5" s="686"/>
      <c r="BJ5" s="686"/>
      <c r="BK5" s="686"/>
      <c r="BL5" s="686"/>
      <c r="BM5" s="686"/>
      <c r="BN5" s="686"/>
      <c r="BO5" s="686"/>
      <c r="BP5" s="686"/>
      <c r="BQ5" s="686"/>
      <c r="BR5" s="686"/>
      <c r="BS5" s="686"/>
      <c r="BT5" s="686"/>
      <c r="BU5" s="686"/>
    </row>
    <row r="6" spans="1:114" s="700" customFormat="1" ht="12" customHeight="1">
      <c r="A6" s="691" t="s">
        <v>720</v>
      </c>
      <c r="B6" s="692">
        <v>2012</v>
      </c>
      <c r="C6" s="693"/>
      <c r="D6" s="693"/>
      <c r="E6" s="694"/>
      <c r="F6" s="695" t="s">
        <v>721</v>
      </c>
      <c r="G6" s="692">
        <f>+B6+1</f>
        <v>2013</v>
      </c>
      <c r="H6" s="693"/>
      <c r="I6" s="693"/>
      <c r="J6" s="693"/>
      <c r="K6" s="695" t="s">
        <v>721</v>
      </c>
      <c r="L6" s="693">
        <f>+G6+1</f>
        <v>2014</v>
      </c>
      <c r="M6" s="693"/>
      <c r="N6" s="693"/>
      <c r="O6" s="693"/>
      <c r="P6" s="695" t="s">
        <v>721</v>
      </c>
      <c r="Q6" s="693">
        <v>2015</v>
      </c>
      <c r="R6" s="693"/>
      <c r="S6" s="693"/>
      <c r="T6" s="693"/>
      <c r="U6" s="695" t="s">
        <v>721</v>
      </c>
      <c r="V6" s="693">
        <v>2016</v>
      </c>
      <c r="W6" s="693"/>
      <c r="X6" s="693"/>
      <c r="Y6" s="693"/>
      <c r="Z6" s="695" t="s">
        <v>721</v>
      </c>
      <c r="AA6" s="693">
        <f>+V6+1</f>
        <v>2017</v>
      </c>
      <c r="AB6" s="693"/>
      <c r="AC6" s="693"/>
      <c r="AD6" s="693"/>
      <c r="AE6" s="695" t="s">
        <v>721</v>
      </c>
      <c r="AF6" s="693">
        <f>+AA6+1</f>
        <v>2018</v>
      </c>
      <c r="AG6" s="693"/>
      <c r="AH6" s="693"/>
      <c r="AI6" s="693"/>
      <c r="AJ6" s="695" t="s">
        <v>721</v>
      </c>
      <c r="AK6" s="693">
        <f>+AF6+1</f>
        <v>2019</v>
      </c>
      <c r="AL6" s="693"/>
      <c r="AM6" s="693"/>
      <c r="AN6" s="693"/>
      <c r="AO6" s="695" t="s">
        <v>721</v>
      </c>
      <c r="AP6" s="693">
        <f>+AK6+1</f>
        <v>2020</v>
      </c>
      <c r="AQ6" s="693"/>
      <c r="AR6" s="693"/>
      <c r="AS6" s="693"/>
      <c r="AT6" s="695" t="s">
        <v>721</v>
      </c>
      <c r="AU6" s="693">
        <f>+AP6+1</f>
        <v>2021</v>
      </c>
      <c r="AV6" s="693"/>
      <c r="AW6" s="693"/>
      <c r="AX6" s="693"/>
      <c r="AY6" s="695" t="s">
        <v>721</v>
      </c>
      <c r="AZ6" s="693">
        <f>+AU6+1</f>
        <v>2022</v>
      </c>
      <c r="BA6" s="693"/>
      <c r="BB6" s="693"/>
      <c r="BC6" s="693"/>
      <c r="BD6" s="695" t="s">
        <v>721</v>
      </c>
      <c r="BE6" s="693">
        <f>+AZ6+1</f>
        <v>2023</v>
      </c>
      <c r="BF6" s="693"/>
      <c r="BG6" s="693"/>
      <c r="BH6" s="693"/>
      <c r="BI6" s="695" t="s">
        <v>721</v>
      </c>
      <c r="BJ6" s="693">
        <f>+BE6+1</f>
        <v>2024</v>
      </c>
      <c r="BK6" s="693"/>
      <c r="BL6" s="693"/>
      <c r="BM6" s="694"/>
      <c r="BN6" s="695" t="s">
        <v>721</v>
      </c>
      <c r="BO6" s="692">
        <f>+BJ6+1</f>
        <v>2025</v>
      </c>
      <c r="BP6" s="693"/>
      <c r="BQ6" s="693"/>
      <c r="BR6" s="694"/>
      <c r="BS6" s="695" t="s">
        <v>721</v>
      </c>
      <c r="BT6" s="692">
        <f>+BO6+1</f>
        <v>2026</v>
      </c>
      <c r="BU6" s="693"/>
      <c r="BV6" s="693"/>
      <c r="BW6" s="694"/>
      <c r="BX6" s="695" t="s">
        <v>722</v>
      </c>
      <c r="BY6" s="692">
        <f>+BT6+1</f>
        <v>2027</v>
      </c>
      <c r="BZ6" s="693"/>
      <c r="CA6" s="693"/>
      <c r="CB6" s="694"/>
      <c r="CC6" s="695" t="s">
        <v>722</v>
      </c>
      <c r="CD6" s="692">
        <f>+BY6+1</f>
        <v>2028</v>
      </c>
      <c r="CE6" s="693"/>
      <c r="CF6" s="693"/>
      <c r="CG6" s="694"/>
      <c r="CH6" s="695" t="s">
        <v>722</v>
      </c>
      <c r="CI6" s="692">
        <f>+CD6+1</f>
        <v>2029</v>
      </c>
      <c r="CJ6" s="693"/>
      <c r="CK6" s="693"/>
      <c r="CL6" s="694"/>
      <c r="CM6" s="695" t="s">
        <v>722</v>
      </c>
      <c r="CN6" s="692">
        <f>+CI6+1</f>
        <v>2030</v>
      </c>
      <c r="CO6" s="693"/>
      <c r="CP6" s="693"/>
      <c r="CQ6" s="694"/>
      <c r="CR6" s="695" t="s">
        <v>722</v>
      </c>
      <c r="CS6" s="696">
        <v>0</v>
      </c>
      <c r="CT6" s="697" t="s">
        <v>723</v>
      </c>
      <c r="CU6" s="697" t="s">
        <v>724</v>
      </c>
      <c r="CV6" s="680"/>
      <c r="CW6" s="698"/>
      <c r="CX6" s="698"/>
      <c r="CY6" s="698"/>
      <c r="CZ6" s="698"/>
      <c r="DA6" s="698"/>
      <c r="DB6" s="698"/>
      <c r="DC6" s="698"/>
      <c r="DD6" s="698"/>
      <c r="DE6" s="698"/>
      <c r="DF6" s="698"/>
      <c r="DG6" s="698"/>
      <c r="DH6" s="698"/>
      <c r="DI6" s="698"/>
      <c r="DJ6" s="699"/>
    </row>
    <row r="7" spans="1:114" s="700" customFormat="1" ht="12" customHeight="1">
      <c r="A7" s="701" t="s">
        <v>725</v>
      </c>
      <c r="B7" s="702" t="s">
        <v>726</v>
      </c>
      <c r="C7" s="703" t="s">
        <v>727</v>
      </c>
      <c r="D7" s="703" t="s">
        <v>728</v>
      </c>
      <c r="E7" s="704" t="s">
        <v>729</v>
      </c>
      <c r="F7" s="705">
        <v>2012</v>
      </c>
      <c r="G7" s="702" t="s">
        <v>730</v>
      </c>
      <c r="H7" s="703" t="s">
        <v>731</v>
      </c>
      <c r="I7" s="703" t="s">
        <v>732</v>
      </c>
      <c r="J7" s="703" t="s">
        <v>733</v>
      </c>
      <c r="K7" s="705">
        <v>2013</v>
      </c>
      <c r="L7" s="703" t="s">
        <v>734</v>
      </c>
      <c r="M7" s="703" t="s">
        <v>735</v>
      </c>
      <c r="N7" s="703" t="s">
        <v>736</v>
      </c>
      <c r="O7" s="703" t="s">
        <v>737</v>
      </c>
      <c r="P7" s="705">
        <v>2014</v>
      </c>
      <c r="Q7" s="703" t="s">
        <v>738</v>
      </c>
      <c r="R7" s="703" t="s">
        <v>739</v>
      </c>
      <c r="S7" s="703" t="s">
        <v>740</v>
      </c>
      <c r="T7" s="703" t="s">
        <v>741</v>
      </c>
      <c r="U7" s="705">
        <v>2015</v>
      </c>
      <c r="V7" s="703" t="s">
        <v>742</v>
      </c>
      <c r="W7" s="703" t="s">
        <v>743</v>
      </c>
      <c r="X7" s="703" t="s">
        <v>744</v>
      </c>
      <c r="Y7" s="703" t="s">
        <v>745</v>
      </c>
      <c r="Z7" s="705">
        <v>2016</v>
      </c>
      <c r="AA7" s="703" t="s">
        <v>746</v>
      </c>
      <c r="AB7" s="703" t="s">
        <v>747</v>
      </c>
      <c r="AC7" s="703" t="s">
        <v>748</v>
      </c>
      <c r="AD7" s="703" t="s">
        <v>749</v>
      </c>
      <c r="AE7" s="705">
        <v>2017</v>
      </c>
      <c r="AF7" s="703" t="s">
        <v>750</v>
      </c>
      <c r="AG7" s="703" t="s">
        <v>751</v>
      </c>
      <c r="AH7" s="703" t="s">
        <v>752</v>
      </c>
      <c r="AI7" s="703" t="s">
        <v>753</v>
      </c>
      <c r="AJ7" s="705">
        <v>2018</v>
      </c>
      <c r="AK7" s="703" t="s">
        <v>754</v>
      </c>
      <c r="AL7" s="703" t="s">
        <v>755</v>
      </c>
      <c r="AM7" s="703" t="s">
        <v>756</v>
      </c>
      <c r="AN7" s="703" t="s">
        <v>757</v>
      </c>
      <c r="AO7" s="705">
        <v>2019</v>
      </c>
      <c r="AP7" s="703" t="s">
        <v>758</v>
      </c>
      <c r="AQ7" s="703" t="s">
        <v>759</v>
      </c>
      <c r="AR7" s="703" t="s">
        <v>760</v>
      </c>
      <c r="AS7" s="703" t="s">
        <v>761</v>
      </c>
      <c r="AT7" s="705">
        <v>2020</v>
      </c>
      <c r="AU7" s="703" t="s">
        <v>762</v>
      </c>
      <c r="AV7" s="703" t="s">
        <v>763</v>
      </c>
      <c r="AW7" s="703" t="s">
        <v>764</v>
      </c>
      <c r="AX7" s="703" t="s">
        <v>765</v>
      </c>
      <c r="AY7" s="705">
        <v>2021</v>
      </c>
      <c r="AZ7" s="703" t="s">
        <v>766</v>
      </c>
      <c r="BA7" s="703" t="s">
        <v>767</v>
      </c>
      <c r="BB7" s="703" t="s">
        <v>768</v>
      </c>
      <c r="BC7" s="703" t="s">
        <v>769</v>
      </c>
      <c r="BD7" s="705">
        <v>2022</v>
      </c>
      <c r="BE7" s="703" t="s">
        <v>770</v>
      </c>
      <c r="BF7" s="703" t="s">
        <v>771</v>
      </c>
      <c r="BG7" s="703" t="s">
        <v>772</v>
      </c>
      <c r="BH7" s="703" t="s">
        <v>773</v>
      </c>
      <c r="BI7" s="705">
        <v>2023</v>
      </c>
      <c r="BJ7" s="703" t="s">
        <v>774</v>
      </c>
      <c r="BK7" s="703" t="s">
        <v>775</v>
      </c>
      <c r="BL7" s="703" t="s">
        <v>776</v>
      </c>
      <c r="BM7" s="704" t="s">
        <v>777</v>
      </c>
      <c r="BN7" s="705">
        <v>2024</v>
      </c>
      <c r="BO7" s="702" t="s">
        <v>778</v>
      </c>
      <c r="BP7" s="703" t="s">
        <v>779</v>
      </c>
      <c r="BQ7" s="703" t="s">
        <v>780</v>
      </c>
      <c r="BR7" s="704" t="s">
        <v>781</v>
      </c>
      <c r="BS7" s="705">
        <v>2025</v>
      </c>
      <c r="BT7" s="702" t="s">
        <v>782</v>
      </c>
      <c r="BU7" s="703" t="s">
        <v>783</v>
      </c>
      <c r="BV7" s="703" t="s">
        <v>784</v>
      </c>
      <c r="BW7" s="704" t="s">
        <v>785</v>
      </c>
      <c r="BX7" s="705">
        <v>2026</v>
      </c>
      <c r="BY7" s="702" t="s">
        <v>786</v>
      </c>
      <c r="BZ7" s="703" t="s">
        <v>787</v>
      </c>
      <c r="CA7" s="703" t="s">
        <v>788</v>
      </c>
      <c r="CB7" s="704" t="s">
        <v>789</v>
      </c>
      <c r="CC7" s="705">
        <v>2027</v>
      </c>
      <c r="CD7" s="702" t="s">
        <v>790</v>
      </c>
      <c r="CE7" s="703" t="s">
        <v>791</v>
      </c>
      <c r="CF7" s="703" t="s">
        <v>792</v>
      </c>
      <c r="CG7" s="704" t="s">
        <v>793</v>
      </c>
      <c r="CH7" s="705">
        <v>2028</v>
      </c>
      <c r="CI7" s="702" t="s">
        <v>794</v>
      </c>
      <c r="CJ7" s="703" t="s">
        <v>795</v>
      </c>
      <c r="CK7" s="703" t="s">
        <v>796</v>
      </c>
      <c r="CL7" s="704" t="s">
        <v>797</v>
      </c>
      <c r="CM7" s="705">
        <v>2029</v>
      </c>
      <c r="CN7" s="702" t="s">
        <v>798</v>
      </c>
      <c r="CO7" s="703" t="s">
        <v>799</v>
      </c>
      <c r="CP7" s="703" t="s">
        <v>800</v>
      </c>
      <c r="CQ7" s="704" t="s">
        <v>801</v>
      </c>
      <c r="CR7" s="705">
        <v>2030</v>
      </c>
      <c r="CS7" s="696">
        <v>0</v>
      </c>
      <c r="CT7" s="706" t="s">
        <v>802</v>
      </c>
      <c r="CU7" s="706" t="s">
        <v>802</v>
      </c>
      <c r="CV7" s="680"/>
      <c r="CW7" s="698"/>
      <c r="CX7" s="698"/>
      <c r="CY7" s="698"/>
      <c r="CZ7" s="698"/>
      <c r="DA7" s="698"/>
      <c r="DB7" s="698"/>
      <c r="DC7" s="698"/>
      <c r="DD7" s="698"/>
      <c r="DE7" s="698"/>
      <c r="DF7" s="698"/>
      <c r="DG7" s="698"/>
      <c r="DH7" s="698"/>
      <c r="DI7" s="698"/>
      <c r="DJ7" s="699"/>
    </row>
    <row r="8" spans="1:114" s="700" customFormat="1" ht="12" customHeight="1" thickBot="1">
      <c r="A8" s="707"/>
      <c r="B8" s="708" t="s">
        <v>803</v>
      </c>
      <c r="C8" s="708" t="s">
        <v>804</v>
      </c>
      <c r="D8" s="708" t="s">
        <v>805</v>
      </c>
      <c r="E8" s="708" t="s">
        <v>806</v>
      </c>
      <c r="F8" s="709"/>
      <c r="G8" s="708" t="s">
        <v>807</v>
      </c>
      <c r="H8" s="708" t="s">
        <v>808</v>
      </c>
      <c r="I8" s="708" t="s">
        <v>809</v>
      </c>
      <c r="J8" s="708" t="s">
        <v>810</v>
      </c>
      <c r="K8" s="709"/>
      <c r="L8" s="708" t="s">
        <v>811</v>
      </c>
      <c r="M8" s="708" t="s">
        <v>812</v>
      </c>
      <c r="N8" s="708" t="s">
        <v>813</v>
      </c>
      <c r="O8" s="708" t="s">
        <v>814</v>
      </c>
      <c r="P8" s="709"/>
      <c r="Q8" s="708" t="s">
        <v>815</v>
      </c>
      <c r="R8" s="708" t="s">
        <v>816</v>
      </c>
      <c r="S8" s="708" t="s">
        <v>817</v>
      </c>
      <c r="T8" s="708" t="s">
        <v>818</v>
      </c>
      <c r="U8" s="709"/>
      <c r="V8" s="708" t="s">
        <v>819</v>
      </c>
      <c r="W8" s="708" t="s">
        <v>820</v>
      </c>
      <c r="X8" s="708" t="s">
        <v>821</v>
      </c>
      <c r="Y8" s="708" t="s">
        <v>822</v>
      </c>
      <c r="Z8" s="709"/>
      <c r="AA8" s="708" t="s">
        <v>823</v>
      </c>
      <c r="AB8" s="708" t="s">
        <v>824</v>
      </c>
      <c r="AC8" s="708" t="s">
        <v>825</v>
      </c>
      <c r="AD8" s="708" t="s">
        <v>826</v>
      </c>
      <c r="AE8" s="709"/>
      <c r="AF8" s="708" t="s">
        <v>827</v>
      </c>
      <c r="AG8" s="708" t="s">
        <v>828</v>
      </c>
      <c r="AH8" s="708" t="s">
        <v>829</v>
      </c>
      <c r="AI8" s="708" t="s">
        <v>830</v>
      </c>
      <c r="AJ8" s="709"/>
      <c r="AK8" s="708" t="s">
        <v>831</v>
      </c>
      <c r="AL8" s="708" t="s">
        <v>832</v>
      </c>
      <c r="AM8" s="708" t="s">
        <v>833</v>
      </c>
      <c r="AN8" s="708" t="s">
        <v>834</v>
      </c>
      <c r="AO8" s="709"/>
      <c r="AP8" s="708" t="s">
        <v>835</v>
      </c>
      <c r="AQ8" s="708" t="s">
        <v>836</v>
      </c>
      <c r="AR8" s="708" t="s">
        <v>837</v>
      </c>
      <c r="AS8" s="708" t="s">
        <v>838</v>
      </c>
      <c r="AT8" s="709"/>
      <c r="AU8" s="708" t="s">
        <v>839</v>
      </c>
      <c r="AV8" s="708" t="s">
        <v>840</v>
      </c>
      <c r="AW8" s="708" t="s">
        <v>841</v>
      </c>
      <c r="AX8" s="708" t="s">
        <v>842</v>
      </c>
      <c r="AY8" s="709"/>
      <c r="AZ8" s="708" t="s">
        <v>843</v>
      </c>
      <c r="BA8" s="708" t="s">
        <v>844</v>
      </c>
      <c r="BB8" s="708" t="s">
        <v>845</v>
      </c>
      <c r="BC8" s="708" t="s">
        <v>846</v>
      </c>
      <c r="BD8" s="709"/>
      <c r="BE8" s="708" t="s">
        <v>847</v>
      </c>
      <c r="BF8" s="708" t="s">
        <v>848</v>
      </c>
      <c r="BG8" s="708" t="s">
        <v>849</v>
      </c>
      <c r="BH8" s="708" t="s">
        <v>850</v>
      </c>
      <c r="BI8" s="709"/>
      <c r="BJ8" s="708" t="s">
        <v>851</v>
      </c>
      <c r="BK8" s="708" t="s">
        <v>852</v>
      </c>
      <c r="BL8" s="708" t="s">
        <v>853</v>
      </c>
      <c r="BM8" s="708" t="s">
        <v>854</v>
      </c>
      <c r="BN8" s="709"/>
      <c r="BO8" s="708" t="s">
        <v>855</v>
      </c>
      <c r="BP8" s="708" t="s">
        <v>856</v>
      </c>
      <c r="BQ8" s="708" t="s">
        <v>857</v>
      </c>
      <c r="BR8" s="708" t="s">
        <v>858</v>
      </c>
      <c r="BS8" s="709"/>
      <c r="BT8" s="708" t="s">
        <v>859</v>
      </c>
      <c r="BU8" s="708" t="s">
        <v>860</v>
      </c>
      <c r="BV8" s="708" t="s">
        <v>861</v>
      </c>
      <c r="BW8" s="708" t="s">
        <v>862</v>
      </c>
      <c r="BX8" s="709"/>
      <c r="BY8" s="708" t="s">
        <v>863</v>
      </c>
      <c r="BZ8" s="708" t="s">
        <v>864</v>
      </c>
      <c r="CA8" s="708" t="s">
        <v>865</v>
      </c>
      <c r="CB8" s="708" t="s">
        <v>866</v>
      </c>
      <c r="CC8" s="709"/>
      <c r="CD8" s="708" t="s">
        <v>867</v>
      </c>
      <c r="CE8" s="708" t="s">
        <v>868</v>
      </c>
      <c r="CF8" s="708" t="s">
        <v>869</v>
      </c>
      <c r="CG8" s="708" t="s">
        <v>870</v>
      </c>
      <c r="CH8" s="709"/>
      <c r="CI8" s="708" t="s">
        <v>871</v>
      </c>
      <c r="CJ8" s="708" t="s">
        <v>872</v>
      </c>
      <c r="CK8" s="708" t="s">
        <v>873</v>
      </c>
      <c r="CL8" s="708" t="s">
        <v>874</v>
      </c>
      <c r="CM8" s="709"/>
      <c r="CN8" s="708" t="s">
        <v>875</v>
      </c>
      <c r="CO8" s="708" t="s">
        <v>876</v>
      </c>
      <c r="CP8" s="708" t="s">
        <v>877</v>
      </c>
      <c r="CQ8" s="708" t="s">
        <v>878</v>
      </c>
      <c r="CR8" s="709"/>
      <c r="CS8" s="696">
        <v>0</v>
      </c>
      <c r="CT8" s="710"/>
      <c r="CU8" s="710"/>
      <c r="CV8" s="680"/>
      <c r="CW8" s="711">
        <v>2018</v>
      </c>
      <c r="CX8" s="711">
        <v>2019</v>
      </c>
      <c r="CY8" s="711">
        <v>2020</v>
      </c>
      <c r="CZ8" s="711">
        <v>2021</v>
      </c>
      <c r="DA8" s="711">
        <v>2022</v>
      </c>
      <c r="DB8" s="711">
        <v>2023</v>
      </c>
      <c r="DC8" s="711">
        <v>2024</v>
      </c>
      <c r="DD8" s="711">
        <v>2025</v>
      </c>
      <c r="DE8" s="711">
        <v>2026</v>
      </c>
      <c r="DF8" s="711">
        <v>2027</v>
      </c>
      <c r="DG8" s="711">
        <v>2028</v>
      </c>
      <c r="DH8" s="711">
        <v>2029</v>
      </c>
      <c r="DI8" s="711">
        <v>2030</v>
      </c>
      <c r="DJ8" s="699"/>
    </row>
    <row r="9" spans="1:114" ht="12" customHeight="1">
      <c r="A9" s="712" t="s">
        <v>879</v>
      </c>
      <c r="B9" s="713"/>
      <c r="C9" s="714"/>
      <c r="D9" s="714"/>
      <c r="E9" s="714"/>
      <c r="F9" s="715"/>
      <c r="G9" s="713"/>
      <c r="H9" s="714"/>
      <c r="I9" s="714"/>
      <c r="J9" s="714"/>
      <c r="K9" s="715"/>
      <c r="L9" s="714"/>
      <c r="M9" s="714"/>
      <c r="N9" s="714"/>
      <c r="O9" s="714"/>
      <c r="P9" s="715"/>
      <c r="Q9" s="716"/>
      <c r="R9" s="714"/>
      <c r="S9" s="714"/>
      <c r="T9" s="714"/>
      <c r="U9" s="715"/>
      <c r="V9" s="716"/>
      <c r="W9" s="714"/>
      <c r="X9" s="714"/>
      <c r="Y9" s="714"/>
      <c r="Z9" s="715"/>
      <c r="AA9" s="714"/>
      <c r="AB9" s="714"/>
      <c r="AC9" s="714"/>
      <c r="AD9" s="714"/>
      <c r="AE9" s="715"/>
      <c r="AF9" s="714"/>
      <c r="AG9" s="714"/>
      <c r="AH9" s="714"/>
      <c r="AI9" s="714"/>
      <c r="AJ9" s="715"/>
      <c r="AK9" s="714"/>
      <c r="AL9" s="714"/>
      <c r="AM9" s="714"/>
      <c r="AN9" s="714"/>
      <c r="AO9" s="717"/>
      <c r="AP9" s="714"/>
      <c r="AQ9" s="714"/>
      <c r="AR9" s="714"/>
      <c r="AS9" s="714"/>
      <c r="AT9" s="717"/>
      <c r="AU9" s="714"/>
      <c r="AV9" s="714"/>
      <c r="AW9" s="714"/>
      <c r="AX9" s="714"/>
      <c r="AY9" s="717"/>
      <c r="AZ9" s="714"/>
      <c r="BA9" s="714"/>
      <c r="BB9" s="714"/>
      <c r="BC9" s="714"/>
      <c r="BD9" s="717"/>
      <c r="BE9" s="714"/>
      <c r="BF9" s="714"/>
      <c r="BG9" s="714"/>
      <c r="BH9" s="714"/>
      <c r="BI9" s="717"/>
      <c r="BJ9" s="714"/>
      <c r="BK9" s="714"/>
      <c r="BL9" s="714"/>
      <c r="BM9" s="714"/>
      <c r="BN9" s="717"/>
      <c r="BO9" s="714"/>
      <c r="BP9" s="714"/>
      <c r="BQ9" s="714"/>
      <c r="BR9" s="714"/>
      <c r="BS9" s="717"/>
      <c r="BT9" s="714"/>
      <c r="BU9" s="714"/>
      <c r="BV9" s="714"/>
      <c r="BW9" s="714"/>
      <c r="BX9" s="717"/>
      <c r="BY9" s="714"/>
      <c r="BZ9" s="714"/>
      <c r="CA9" s="714"/>
      <c r="CB9" s="714"/>
      <c r="CC9" s="717"/>
      <c r="CD9" s="714"/>
      <c r="CE9" s="714"/>
      <c r="CF9" s="714"/>
      <c r="CG9" s="714"/>
      <c r="CH9" s="717"/>
      <c r="CI9" s="714"/>
      <c r="CJ9" s="714"/>
      <c r="CK9" s="714"/>
      <c r="CL9" s="714"/>
      <c r="CM9" s="717"/>
      <c r="CN9" s="714"/>
      <c r="CO9" s="714"/>
      <c r="CP9" s="714"/>
      <c r="CQ9" s="714"/>
      <c r="CR9" s="717"/>
      <c r="CT9" s="717"/>
      <c r="CU9" s="717"/>
      <c r="CW9" s="718"/>
      <c r="CX9" s="718"/>
      <c r="CY9" s="718"/>
      <c r="CZ9" s="718"/>
      <c r="DA9" s="718"/>
      <c r="DB9" s="718"/>
      <c r="DC9" s="718"/>
      <c r="DD9" s="718"/>
      <c r="DE9" s="718"/>
      <c r="DF9" s="718"/>
      <c r="DG9" s="718"/>
      <c r="DH9" s="718"/>
      <c r="DI9" s="718"/>
    </row>
    <row r="10" spans="1:114" ht="12" customHeight="1">
      <c r="A10" s="719"/>
      <c r="B10" s="720"/>
      <c r="C10" s="721"/>
      <c r="D10" s="721"/>
      <c r="E10" s="721"/>
      <c r="F10" s="722"/>
      <c r="G10" s="720"/>
      <c r="H10" s="721"/>
      <c r="I10" s="721"/>
      <c r="J10" s="721"/>
      <c r="K10" s="722"/>
      <c r="L10" s="721"/>
      <c r="M10" s="721"/>
      <c r="N10" s="721"/>
      <c r="O10" s="721"/>
      <c r="P10" s="722"/>
      <c r="Q10" s="720"/>
      <c r="R10" s="721"/>
      <c r="S10" s="721"/>
      <c r="T10" s="721"/>
      <c r="U10" s="722"/>
      <c r="V10" s="720"/>
      <c r="W10" s="721"/>
      <c r="X10" s="721"/>
      <c r="Y10" s="721"/>
      <c r="Z10" s="722"/>
      <c r="AA10" s="721"/>
      <c r="AB10" s="721"/>
      <c r="AC10" s="721"/>
      <c r="AD10" s="721"/>
      <c r="AE10" s="722"/>
      <c r="AF10" s="721"/>
      <c r="AG10" s="721"/>
      <c r="AH10" s="721"/>
      <c r="AI10" s="721"/>
      <c r="AJ10" s="722"/>
      <c r="AK10" s="721"/>
      <c r="AL10" s="721"/>
      <c r="AM10" s="721"/>
      <c r="AN10" s="721"/>
      <c r="AO10" s="723"/>
      <c r="AP10" s="721"/>
      <c r="AQ10" s="721"/>
      <c r="AR10" s="721"/>
      <c r="AS10" s="721"/>
      <c r="AT10" s="723"/>
      <c r="AU10" s="721"/>
      <c r="AV10" s="721"/>
      <c r="AW10" s="721"/>
      <c r="AX10" s="721"/>
      <c r="AY10" s="723"/>
      <c r="AZ10" s="721"/>
      <c r="BA10" s="721"/>
      <c r="BB10" s="721"/>
      <c r="BC10" s="721"/>
      <c r="BD10" s="723"/>
      <c r="BE10" s="721"/>
      <c r="BF10" s="721"/>
      <c r="BG10" s="721"/>
      <c r="BH10" s="721"/>
      <c r="BI10" s="723"/>
      <c r="BJ10" s="721"/>
      <c r="BK10" s="724"/>
      <c r="BL10" s="724"/>
      <c r="BM10" s="724"/>
      <c r="BN10" s="723"/>
      <c r="BO10" s="724"/>
      <c r="BP10" s="724"/>
      <c r="BQ10" s="724"/>
      <c r="BR10" s="724"/>
      <c r="BS10" s="723"/>
      <c r="BT10" s="724"/>
      <c r="BU10" s="721"/>
      <c r="BV10" s="721"/>
      <c r="BW10" s="721"/>
      <c r="BX10" s="723"/>
      <c r="BY10" s="721"/>
      <c r="BZ10" s="721"/>
      <c r="CA10" s="721"/>
      <c r="CB10" s="721"/>
      <c r="CC10" s="723"/>
      <c r="CD10" s="721"/>
      <c r="CE10" s="721"/>
      <c r="CF10" s="721"/>
      <c r="CG10" s="721"/>
      <c r="CH10" s="723"/>
      <c r="CI10" s="721"/>
      <c r="CJ10" s="721"/>
      <c r="CK10" s="721"/>
      <c r="CL10" s="721"/>
      <c r="CM10" s="723"/>
      <c r="CN10" s="721"/>
      <c r="CO10" s="721"/>
      <c r="CP10" s="721"/>
      <c r="CQ10" s="721"/>
      <c r="CR10" s="723"/>
      <c r="CT10" s="723"/>
      <c r="CU10" s="723"/>
      <c r="CW10" s="725"/>
      <c r="CX10" s="725"/>
      <c r="CY10" s="725"/>
      <c r="CZ10" s="725"/>
      <c r="DA10" s="725"/>
      <c r="DB10" s="725"/>
      <c r="DC10" s="725"/>
      <c r="DD10" s="725"/>
      <c r="DE10" s="725"/>
      <c r="DF10" s="725"/>
      <c r="DG10" s="725"/>
      <c r="DH10" s="725"/>
      <c r="DI10" s="725"/>
    </row>
    <row r="11" spans="1:114" ht="12" customHeight="1">
      <c r="A11" s="726" t="s">
        <v>880</v>
      </c>
      <c r="B11" s="720"/>
      <c r="C11" s="721"/>
      <c r="D11" s="721"/>
      <c r="E11" s="721"/>
      <c r="F11" s="722"/>
      <c r="G11" s="720"/>
      <c r="H11" s="721"/>
      <c r="I11" s="721"/>
      <c r="J11" s="721"/>
      <c r="K11" s="722"/>
      <c r="L11" s="721"/>
      <c r="M11" s="721"/>
      <c r="N11" s="721"/>
      <c r="O11" s="721"/>
      <c r="P11" s="722"/>
      <c r="Q11" s="720"/>
      <c r="R11" s="721"/>
      <c r="S11" s="721"/>
      <c r="T11" s="721"/>
      <c r="U11" s="722"/>
      <c r="V11" s="720"/>
      <c r="W11" s="721"/>
      <c r="X11" s="721"/>
      <c r="Y11" s="721"/>
      <c r="Z11" s="722"/>
      <c r="AA11" s="721"/>
      <c r="AB11" s="721"/>
      <c r="AC11" s="721"/>
      <c r="AD11" s="721"/>
      <c r="AE11" s="722"/>
      <c r="AF11" s="721"/>
      <c r="AG11" s="721"/>
      <c r="AH11" s="721"/>
      <c r="AI11" s="721"/>
      <c r="AJ11" s="722"/>
      <c r="AK11" s="721"/>
      <c r="AL11" s="721"/>
      <c r="AM11" s="721"/>
      <c r="AN11" s="721"/>
      <c r="AO11" s="723"/>
      <c r="AP11" s="721"/>
      <c r="AQ11" s="721"/>
      <c r="AR11" s="721"/>
      <c r="AS11" s="721"/>
      <c r="AT11" s="723"/>
      <c r="AU11" s="727">
        <f>164.941-AV11</f>
        <v>83.124000000000009</v>
      </c>
      <c r="AV11" s="727">
        <v>81.816999999999993</v>
      </c>
      <c r="AW11" s="727">
        <v>84.081000000000003</v>
      </c>
      <c r="AX11" s="727">
        <f>29.162+308.647-SUM(AU11:AW11)</f>
        <v>88.786999999999978</v>
      </c>
      <c r="AY11" s="728">
        <f>+SUM(AU11:AX11)</f>
        <v>337.80899999999997</v>
      </c>
      <c r="AZ11" s="727">
        <v>88.828999999999994</v>
      </c>
      <c r="BA11" s="727">
        <v>92.281999999999996</v>
      </c>
      <c r="BB11" s="727">
        <v>147.39599999999999</v>
      </c>
      <c r="BC11" s="727">
        <f>479.125-SUM(AZ11:BB11)</f>
        <v>150.61800000000005</v>
      </c>
      <c r="BD11" s="728">
        <f>+SUM(AZ11:BC11)</f>
        <v>479.125</v>
      </c>
      <c r="BE11" s="727">
        <v>160.381</v>
      </c>
      <c r="BF11" s="727">
        <v>160.67599999999999</v>
      </c>
      <c r="BG11" s="727">
        <v>164.893</v>
      </c>
      <c r="BH11" s="727">
        <v>166.26499999999999</v>
      </c>
      <c r="BI11" s="729">
        <f>+BI34+BI59</f>
        <v>652.21500000000003</v>
      </c>
      <c r="BJ11" s="727">
        <v>160.12</v>
      </c>
      <c r="BK11" s="727">
        <v>158.488</v>
      </c>
      <c r="BL11" s="727">
        <v>157.49700000000001</v>
      </c>
      <c r="BM11" s="730">
        <v>158.44900000000001</v>
      </c>
      <c r="BN11" s="729">
        <f>+BN34+BN59</f>
        <v>634.55400000000009</v>
      </c>
      <c r="BO11" s="727">
        <v>151.16300000000001</v>
      </c>
      <c r="BP11" s="727">
        <v>152.19200000000001</v>
      </c>
      <c r="BQ11" s="727">
        <v>151.655</v>
      </c>
      <c r="BR11" s="730">
        <v>152.678</v>
      </c>
      <c r="BS11" s="1073">
        <f t="shared" ref="BS11:CR11" si="0">+BS34+BS59</f>
        <v>607.68799999999999</v>
      </c>
      <c r="BT11" s="727">
        <v>152.61000000000001</v>
      </c>
      <c r="BU11" s="731">
        <f t="shared" si="0"/>
        <v>150.51875516000001</v>
      </c>
      <c r="BV11" s="731">
        <f t="shared" si="0"/>
        <v>151.495406</v>
      </c>
      <c r="BW11" s="731">
        <f t="shared" si="0"/>
        <v>154.08441999999999</v>
      </c>
      <c r="BX11" s="729">
        <f t="shared" si="0"/>
        <v>608.70858115999999</v>
      </c>
      <c r="BY11" s="731">
        <f t="shared" si="0"/>
        <v>156.05559426000002</v>
      </c>
      <c r="BZ11" s="731">
        <f t="shared" si="0"/>
        <v>153.13629280360004</v>
      </c>
      <c r="CA11" s="731">
        <f t="shared" si="0"/>
        <v>155.31941563999999</v>
      </c>
      <c r="CB11" s="731">
        <f t="shared" si="0"/>
        <v>158.67039999999997</v>
      </c>
      <c r="CC11" s="729">
        <f t="shared" si="0"/>
        <v>623.18170270360008</v>
      </c>
      <c r="CD11" s="731">
        <f t="shared" si="0"/>
        <v>165.07653801180001</v>
      </c>
      <c r="CE11" s="731">
        <f t="shared" si="0"/>
        <v>158.84644870850806</v>
      </c>
      <c r="CF11" s="731">
        <f t="shared" si="0"/>
        <v>161.61900578919997</v>
      </c>
      <c r="CG11" s="731">
        <f t="shared" si="0"/>
        <v>165.12380359999997</v>
      </c>
      <c r="CH11" s="729">
        <f t="shared" si="0"/>
        <v>650.66579610950805</v>
      </c>
      <c r="CI11" s="731">
        <f t="shared" si="0"/>
        <v>175.07427346475401</v>
      </c>
      <c r="CJ11" s="731">
        <f t="shared" si="0"/>
        <v>164.94905810668337</v>
      </c>
      <c r="CK11" s="731">
        <f t="shared" si="0"/>
        <v>168.40696777487599</v>
      </c>
      <c r="CL11" s="731">
        <f t="shared" si="0"/>
        <v>172.07880222399999</v>
      </c>
      <c r="CM11" s="729">
        <f t="shared" si="0"/>
        <v>680.50910157031342</v>
      </c>
      <c r="CN11" s="731">
        <f t="shared" si="0"/>
        <v>185.79723784952475</v>
      </c>
      <c r="CO11" s="731">
        <f t="shared" si="0"/>
        <v>171.12617711115772</v>
      </c>
      <c r="CP11" s="731">
        <f t="shared" si="0"/>
        <v>175.74339420172228</v>
      </c>
      <c r="CQ11" s="731">
        <f t="shared" si="0"/>
        <v>179.59718265188002</v>
      </c>
      <c r="CR11" s="729">
        <f t="shared" si="0"/>
        <v>712.26399181428474</v>
      </c>
      <c r="CT11" s="732">
        <f>+(CC11/BN11)^(0.333333333333333)-1</f>
        <v>-6.0099528872722408E-3</v>
      </c>
      <c r="CU11" s="732">
        <f>+(CM11/BN11)^(0.2)-1</f>
        <v>1.4081991515477066E-2</v>
      </c>
      <c r="CW11" s="725"/>
      <c r="CX11" s="725"/>
      <c r="CY11" s="725"/>
      <c r="CZ11" s="725"/>
      <c r="DA11" s="725">
        <f>+BD11-SUM(AZ11:BC11)</f>
        <v>0</v>
      </c>
      <c r="DB11" s="725">
        <f>+BI11-SUM(BE11:BH11)</f>
        <v>0</v>
      </c>
      <c r="DC11" s="725">
        <f>+BN11-SUM(BJ11:BM11)</f>
        <v>0</v>
      </c>
      <c r="DD11" s="725">
        <f>+BS11-SUM(BO11:BR11)</f>
        <v>0</v>
      </c>
      <c r="DE11" s="725">
        <f>+BX11-SUM(BT11:BW11)</f>
        <v>0</v>
      </c>
      <c r="DF11" s="725">
        <f>+CC11-SUM(BY11:CB11)</f>
        <v>0</v>
      </c>
      <c r="DG11" s="725">
        <f>+CH11-SUM(CD11:CG11)</f>
        <v>0</v>
      </c>
      <c r="DH11" s="725">
        <f>+CM11-SUM(CI11:CL11)</f>
        <v>0</v>
      </c>
      <c r="DI11" s="725">
        <f>+CR11-SUM(CN11:CQ11)</f>
        <v>0</v>
      </c>
    </row>
    <row r="12" spans="1:114" ht="12" customHeight="1">
      <c r="A12" s="733" t="s">
        <v>881</v>
      </c>
      <c r="B12" s="720"/>
      <c r="C12" s="721"/>
      <c r="D12" s="721"/>
      <c r="E12" s="721"/>
      <c r="F12" s="722"/>
      <c r="G12" s="720"/>
      <c r="H12" s="721"/>
      <c r="I12" s="721"/>
      <c r="J12" s="721"/>
      <c r="K12" s="722"/>
      <c r="L12" s="721"/>
      <c r="M12" s="721"/>
      <c r="N12" s="721"/>
      <c r="O12" s="721"/>
      <c r="P12" s="722"/>
      <c r="Q12" s="720"/>
      <c r="R12" s="721"/>
      <c r="S12" s="721"/>
      <c r="T12" s="721"/>
      <c r="U12" s="722"/>
      <c r="V12" s="720"/>
      <c r="W12" s="721"/>
      <c r="X12" s="721"/>
      <c r="Y12" s="721"/>
      <c r="Z12" s="722"/>
      <c r="AA12" s="721"/>
      <c r="AB12" s="721"/>
      <c r="AC12" s="721"/>
      <c r="AD12" s="721"/>
      <c r="AE12" s="722"/>
      <c r="AF12" s="721"/>
      <c r="AG12" s="721"/>
      <c r="AH12" s="721"/>
      <c r="AI12" s="721"/>
      <c r="AJ12" s="722"/>
      <c r="AK12" s="721"/>
      <c r="AL12" s="721"/>
      <c r="AM12" s="721"/>
      <c r="AN12" s="721"/>
      <c r="AO12" s="723"/>
      <c r="AP12" s="721"/>
      <c r="AQ12" s="721"/>
      <c r="AR12" s="721"/>
      <c r="AS12" s="721"/>
      <c r="AT12" s="723"/>
      <c r="AU12" s="734"/>
      <c r="AV12" s="734"/>
      <c r="AW12" s="734"/>
      <c r="AX12" s="734"/>
      <c r="AY12" s="735"/>
      <c r="AZ12" s="734">
        <f>+AZ11/AU11-1</f>
        <v>6.8632404600355912E-2</v>
      </c>
      <c r="BA12" s="734">
        <f>+BA11/AV11-1</f>
        <v>0.12790740310693383</v>
      </c>
      <c r="BB12" s="734">
        <f>+BB11/AW18-1</f>
        <v>0.13836006827256497</v>
      </c>
      <c r="BC12" s="734">
        <f>+BC11/AX18-1</f>
        <v>0.1027257352456683</v>
      </c>
      <c r="BD12" s="735">
        <f>+BD11/AY18-1</f>
        <v>0.11163571990376076</v>
      </c>
      <c r="BE12" s="734">
        <f t="shared" ref="BE12:BL12" si="1">+BE11/AZ21-1</f>
        <v>9.7530264355466745E-2</v>
      </c>
      <c r="BF12" s="734">
        <f t="shared" si="1"/>
        <v>6.703324434527369E-2</v>
      </c>
      <c r="BG12" s="734">
        <f t="shared" si="1"/>
        <v>4.4313978821502564E-2</v>
      </c>
      <c r="BH12" s="734">
        <f t="shared" si="1"/>
        <v>2.9504643962848132E-2</v>
      </c>
      <c r="BI12" s="735">
        <f t="shared" si="1"/>
        <v>5.8659970523117222E-2</v>
      </c>
      <c r="BJ12" s="734">
        <f t="shared" si="1"/>
        <v>-1.627374813724769E-3</v>
      </c>
      <c r="BK12" s="734">
        <f t="shared" si="1"/>
        <v>-1.3617466205282591E-2</v>
      </c>
      <c r="BL12" s="734">
        <f t="shared" si="1"/>
        <v>-4.4853329128586306E-2</v>
      </c>
      <c r="BM12" s="734">
        <f>+BM11/BH21-1</f>
        <v>-4.7009292394670998E-2</v>
      </c>
      <c r="BN12" s="735">
        <f>+BN11/BI21-1</f>
        <v>-2.7078494054874502E-2</v>
      </c>
      <c r="BO12" s="734">
        <f>+BO11/BJ21-1</f>
        <v>-5.5939295528353639E-2</v>
      </c>
      <c r="BP12" s="734">
        <f t="shared" ref="BP12:BQ12" si="2">+BP11/BK21-1</f>
        <v>-3.9725405077986942E-2</v>
      </c>
      <c r="BQ12" s="734">
        <f t="shared" si="2"/>
        <v>-3.7092770021016297E-2</v>
      </c>
      <c r="BR12" s="734">
        <f>+BR11/BM21-1</f>
        <v>-3.6421813959065741E-2</v>
      </c>
      <c r="BS12" s="735">
        <f t="shared" ref="BS12:CR12" si="3">+BS11/BN11-1</f>
        <v>-4.2338398308103153E-2</v>
      </c>
      <c r="BT12" s="734">
        <f>+BT11/BO21-1</f>
        <v>9.5724482843024816E-3</v>
      </c>
      <c r="BU12" s="734">
        <f t="shared" si="3"/>
        <v>-1.0994302197224526E-2</v>
      </c>
      <c r="BV12" s="734">
        <f t="shared" si="3"/>
        <v>-1.0523490817975212E-3</v>
      </c>
      <c r="BW12" s="734">
        <f t="shared" si="3"/>
        <v>9.2116742425234488E-3</v>
      </c>
      <c r="BX12" s="735">
        <f t="shared" si="3"/>
        <v>1.6794492568554809E-3</v>
      </c>
      <c r="BY12" s="734">
        <f t="shared" si="3"/>
        <v>2.2577775113033161E-2</v>
      </c>
      <c r="BZ12" s="734">
        <f t="shared" si="3"/>
        <v>1.7390109563539813E-2</v>
      </c>
      <c r="CA12" s="734">
        <f t="shared" si="3"/>
        <v>2.524175313936583E-2</v>
      </c>
      <c r="CB12" s="734">
        <f t="shared" si="3"/>
        <v>2.9762775496704919E-2</v>
      </c>
      <c r="CC12" s="735">
        <f t="shared" si="3"/>
        <v>2.3776766077486577E-2</v>
      </c>
      <c r="CD12" s="734">
        <f t="shared" si="3"/>
        <v>5.7805962000762712E-2</v>
      </c>
      <c r="CE12" s="734">
        <f t="shared" si="3"/>
        <v>3.728806411835639E-2</v>
      </c>
      <c r="CF12" s="734">
        <f t="shared" si="3"/>
        <v>4.0558935425054621E-2</v>
      </c>
      <c r="CG12" s="734">
        <f t="shared" si="3"/>
        <v>4.0671754782240388E-2</v>
      </c>
      <c r="CH12" s="735">
        <f t="shared" si="3"/>
        <v>4.4102856817957781E-2</v>
      </c>
      <c r="CI12" s="734">
        <f t="shared" si="3"/>
        <v>6.0564242340964025E-2</v>
      </c>
      <c r="CJ12" s="734">
        <f t="shared" si="3"/>
        <v>3.8418292935046505E-2</v>
      </c>
      <c r="CK12" s="734">
        <f t="shared" si="3"/>
        <v>4.1999775660850114E-2</v>
      </c>
      <c r="CL12" s="734">
        <f t="shared" si="3"/>
        <v>4.211990320213288E-2</v>
      </c>
      <c r="CM12" s="735">
        <f t="shared" si="3"/>
        <v>4.5865797217628179E-2</v>
      </c>
      <c r="CN12" s="734">
        <f t="shared" si="3"/>
        <v>6.1248087297814724E-2</v>
      </c>
      <c r="CO12" s="734">
        <f t="shared" si="3"/>
        <v>3.7448646723882373E-2</v>
      </c>
      <c r="CP12" s="734">
        <f t="shared" si="3"/>
        <v>4.3563675088868825E-2</v>
      </c>
      <c r="CQ12" s="734">
        <f t="shared" si="3"/>
        <v>4.3691496748641478E-2</v>
      </c>
      <c r="CR12" s="735">
        <f t="shared" si="3"/>
        <v>4.6663432084442569E-2</v>
      </c>
      <c r="CT12" s="723"/>
      <c r="CU12" s="723"/>
      <c r="CW12" s="725"/>
      <c r="CX12" s="725"/>
      <c r="CY12" s="725"/>
      <c r="CZ12" s="725"/>
      <c r="DA12" s="725"/>
      <c r="DB12" s="725"/>
      <c r="DC12" s="725"/>
      <c r="DD12" s="725"/>
      <c r="DE12" s="725"/>
      <c r="DF12" s="725"/>
      <c r="DG12" s="725"/>
      <c r="DH12" s="725"/>
      <c r="DI12" s="725"/>
    </row>
    <row r="13" spans="1:114" ht="12" customHeight="1">
      <c r="A13" s="733" t="s">
        <v>882</v>
      </c>
      <c r="B13" s="720"/>
      <c r="C13" s="721"/>
      <c r="D13" s="721"/>
      <c r="E13" s="721"/>
      <c r="F13" s="722"/>
      <c r="G13" s="720"/>
      <c r="H13" s="721"/>
      <c r="I13" s="721"/>
      <c r="J13" s="721"/>
      <c r="K13" s="722"/>
      <c r="L13" s="721"/>
      <c r="M13" s="721"/>
      <c r="N13" s="721"/>
      <c r="O13" s="721"/>
      <c r="P13" s="722"/>
      <c r="Q13" s="720"/>
      <c r="R13" s="721"/>
      <c r="S13" s="721"/>
      <c r="T13" s="721"/>
      <c r="U13" s="722"/>
      <c r="V13" s="720"/>
      <c r="W13" s="721"/>
      <c r="X13" s="721"/>
      <c r="Y13" s="721"/>
      <c r="Z13" s="722"/>
      <c r="AA13" s="721"/>
      <c r="AB13" s="721"/>
      <c r="AC13" s="721"/>
      <c r="AD13" s="721"/>
      <c r="AE13" s="722"/>
      <c r="AF13" s="721"/>
      <c r="AG13" s="721"/>
      <c r="AH13" s="721"/>
      <c r="AI13" s="721"/>
      <c r="AJ13" s="722"/>
      <c r="AK13" s="721"/>
      <c r="AL13" s="721"/>
      <c r="AM13" s="721"/>
      <c r="AN13" s="721"/>
      <c r="AO13" s="723"/>
      <c r="AP13" s="721"/>
      <c r="AQ13" s="721"/>
      <c r="AR13" s="721"/>
      <c r="AS13" s="721"/>
      <c r="AT13" s="723"/>
      <c r="AU13" s="734"/>
      <c r="AV13" s="734"/>
      <c r="AW13" s="734"/>
      <c r="AX13" s="734"/>
      <c r="AY13" s="735"/>
      <c r="AZ13" s="734"/>
      <c r="BA13" s="734"/>
      <c r="BB13" s="734"/>
      <c r="BC13" s="734"/>
      <c r="BD13" s="735"/>
      <c r="BE13" s="734">
        <f t="shared" ref="BE13:BL13" si="4">+(BE11-BE16)/AZ21-1</f>
        <v>0.11326978217876005</v>
      </c>
      <c r="BF13" s="734">
        <f t="shared" si="4"/>
        <v>8.8284124264520258E-2</v>
      </c>
      <c r="BG13" s="734">
        <f t="shared" si="4"/>
        <v>6.711379642296178E-2</v>
      </c>
      <c r="BH13" s="734">
        <f t="shared" si="4"/>
        <v>4.1888544891640844E-2</v>
      </c>
      <c r="BI13" s="735">
        <f t="shared" si="4"/>
        <v>7.66772281341912E-2</v>
      </c>
      <c r="BJ13" s="734">
        <f t="shared" si="4"/>
        <v>2.7372319663800937E-3</v>
      </c>
      <c r="BK13" s="734">
        <f t="shared" si="4"/>
        <v>-1.8596430082899795E-2</v>
      </c>
      <c r="BL13" s="734">
        <f t="shared" si="4"/>
        <v>-5.1524321832946085E-2</v>
      </c>
      <c r="BM13" s="734">
        <f>+(BM11-BM16)/BH21-1</f>
        <v>-5.3023787327459049E-2</v>
      </c>
      <c r="BN13" s="735">
        <f>+(BN11-BN16)/BI21-1</f>
        <v>-3.0451614881595757E-2</v>
      </c>
      <c r="BO13" s="734">
        <f>+(BO11-BO16)/BJ21-1</f>
        <v>-5.5939295528353639E-2</v>
      </c>
      <c r="BP13" s="734">
        <f t="shared" ref="BP13:BQ13" si="5">+(BP11-BP16)/BK21-1</f>
        <v>-3.9725405077986942E-2</v>
      </c>
      <c r="BQ13" s="734">
        <f t="shared" si="5"/>
        <v>-4.0902366394280576E-2</v>
      </c>
      <c r="BR13" s="734">
        <f>+(BR11-BR16)/BM21-1</f>
        <v>-3.1372870765987826E-2</v>
      </c>
      <c r="BS13" s="735">
        <f>+(BS11-BS16)/BN21-1</f>
        <v>-4.2023216306256161E-2</v>
      </c>
      <c r="BT13" s="734">
        <f>+(BT11-BT16)/BO21-1</f>
        <v>9.5724482843024816E-3</v>
      </c>
      <c r="BU13" s="734">
        <f>+BU12-(BU17/10000)</f>
        <v>-6.3605398427556987E-3</v>
      </c>
      <c r="BV13" s="734">
        <f>+BV12-(BV17/10000)</f>
        <v>1.5379202170190836E-3</v>
      </c>
      <c r="BW13" s="734">
        <f>+BW12-(BW17/10000)</f>
        <v>9.2116742425234488E-3</v>
      </c>
      <c r="BX13" s="735">
        <f>+(BX11-BX16)/BS21-1</f>
        <v>3.4863778958336145E-3</v>
      </c>
      <c r="BY13" s="734">
        <f>+BY12-(BY17/10000)</f>
        <v>2.2577775113033161E-2</v>
      </c>
      <c r="BZ13" s="734">
        <f>+BZ12-(BZ17/10000)</f>
        <v>1.7390109563539813E-2</v>
      </c>
      <c r="CA13" s="734">
        <f>+CA12-(CA17/10000)</f>
        <v>2.524175313936583E-2</v>
      </c>
      <c r="CB13" s="734">
        <f>+CB12-(CB17/10000)</f>
        <v>2.9762775496704919E-2</v>
      </c>
      <c r="CC13" s="735">
        <f>+(CC11-CC16)/BX21-1</f>
        <v>2.3776766077486577E-2</v>
      </c>
      <c r="CD13" s="734"/>
      <c r="CE13" s="734"/>
      <c r="CF13" s="734"/>
      <c r="CG13" s="734"/>
      <c r="CH13" s="735"/>
      <c r="CI13" s="734"/>
      <c r="CJ13" s="734"/>
      <c r="CK13" s="734"/>
      <c r="CL13" s="734"/>
      <c r="CM13" s="735"/>
      <c r="CN13" s="734"/>
      <c r="CO13" s="734"/>
      <c r="CP13" s="734"/>
      <c r="CQ13" s="734"/>
      <c r="CR13" s="735"/>
      <c r="CT13" s="723"/>
      <c r="CU13" s="723"/>
      <c r="CW13" s="725"/>
      <c r="CX13" s="725"/>
      <c r="CY13" s="725"/>
      <c r="CZ13" s="725"/>
      <c r="DA13" s="725"/>
      <c r="DB13" s="725"/>
      <c r="DC13" s="725"/>
      <c r="DD13" s="725"/>
      <c r="DE13" s="725"/>
      <c r="DF13" s="725"/>
      <c r="DG13" s="725"/>
      <c r="DH13" s="725"/>
      <c r="DI13" s="725"/>
    </row>
    <row r="14" spans="1:114" ht="12" customHeight="1">
      <c r="A14" s="733" t="s">
        <v>883</v>
      </c>
      <c r="B14" s="720"/>
      <c r="C14" s="721"/>
      <c r="D14" s="721"/>
      <c r="E14" s="721"/>
      <c r="F14" s="722"/>
      <c r="G14" s="720"/>
      <c r="H14" s="721"/>
      <c r="I14" s="721"/>
      <c r="J14" s="721"/>
      <c r="K14" s="722"/>
      <c r="L14" s="721"/>
      <c r="M14" s="721"/>
      <c r="N14" s="721"/>
      <c r="O14" s="721"/>
      <c r="P14" s="722"/>
      <c r="Q14" s="720"/>
      <c r="R14" s="721"/>
      <c r="S14" s="721"/>
      <c r="T14" s="721"/>
      <c r="U14" s="722"/>
      <c r="V14" s="720"/>
      <c r="W14" s="721"/>
      <c r="X14" s="721"/>
      <c r="Y14" s="721"/>
      <c r="Z14" s="722"/>
      <c r="AA14" s="721"/>
      <c r="AB14" s="721"/>
      <c r="AC14" s="721"/>
      <c r="AD14" s="721"/>
      <c r="AE14" s="722"/>
      <c r="AF14" s="721"/>
      <c r="AG14" s="721"/>
      <c r="AH14" s="721"/>
      <c r="AI14" s="721"/>
      <c r="AJ14" s="722"/>
      <c r="AK14" s="721"/>
      <c r="AL14" s="721"/>
      <c r="AM14" s="721"/>
      <c r="AN14" s="721"/>
      <c r="AO14" s="723"/>
      <c r="AP14" s="721"/>
      <c r="AQ14" s="721"/>
      <c r="AR14" s="721"/>
      <c r="AS14" s="721"/>
      <c r="AT14" s="723"/>
      <c r="AU14" s="734"/>
      <c r="AV14" s="734">
        <f>+AV11/AU11-1</f>
        <v>-1.5723497425533139E-2</v>
      </c>
      <c r="AW14" s="734">
        <f>+AW11/AV11-1</f>
        <v>2.767151081071173E-2</v>
      </c>
      <c r="AX14" s="734">
        <f>+AX11/AW11-1</f>
        <v>5.5969838608008748E-2</v>
      </c>
      <c r="AY14" s="736"/>
      <c r="AZ14" s="734">
        <f>+AZ11/AX11-1</f>
        <v>4.7304222465016643E-4</v>
      </c>
      <c r="BA14" s="734">
        <f>+BA11/AZ11-1</f>
        <v>3.8872440306656708E-2</v>
      </c>
      <c r="BB14" s="734">
        <f>+BB11/BA18-1</f>
        <v>4.4754114628372088E-2</v>
      </c>
      <c r="BC14" s="734">
        <f>+BC11/BB11-1</f>
        <v>2.1859480582919977E-2</v>
      </c>
      <c r="BD14" s="736"/>
      <c r="BE14" s="734">
        <f>+BE11/BC11-1</f>
        <v>6.4819609873985495E-2</v>
      </c>
      <c r="BF14" s="734">
        <f>+BF11/BE11-1</f>
        <v>1.8393700001870794E-3</v>
      </c>
      <c r="BG14" s="734">
        <f>+BG11/BF11-1</f>
        <v>2.6245363339889138E-2</v>
      </c>
      <c r="BH14" s="734">
        <f>+BH11/BG11-1</f>
        <v>8.3205472639831246E-3</v>
      </c>
      <c r="BI14" s="723"/>
      <c r="BJ14" s="734">
        <f>+BJ11/BH11-1</f>
        <v>-3.6959071361982287E-2</v>
      </c>
      <c r="BK14" s="734">
        <f>+BK11/BJ11-1</f>
        <v>-1.0192355733200098E-2</v>
      </c>
      <c r="BL14" s="734">
        <f>+BL11/BK11-1</f>
        <v>-6.2528393316843012E-3</v>
      </c>
      <c r="BM14" s="734">
        <f>+BM11/BL11-1</f>
        <v>6.0445595789127005E-3</v>
      </c>
      <c r="BN14" s="723"/>
      <c r="BO14" s="734">
        <f>+BO11/BM11-1</f>
        <v>-4.5983250130956943E-2</v>
      </c>
      <c r="BP14" s="734">
        <f>+BP11/BO11-1</f>
        <v>6.8072213438472584E-3</v>
      </c>
      <c r="BQ14" s="734">
        <f>+BQ11/BP11-1</f>
        <v>-3.5284377628259644E-3</v>
      </c>
      <c r="BR14" s="734">
        <f>+BR11/BQ11-1</f>
        <v>6.7455738353499051E-3</v>
      </c>
      <c r="BS14" s="723"/>
      <c r="BT14" s="734">
        <f>+BT11/BR11-1</f>
        <v>-4.453817838849794E-4</v>
      </c>
      <c r="BU14" s="734">
        <f>+BU11/BT11-1</f>
        <v>-1.3703196645042937E-2</v>
      </c>
      <c r="BV14" s="734">
        <f>+BV11/BU11-1</f>
        <v>6.4885657535622698E-3</v>
      </c>
      <c r="BW14" s="734">
        <f>+BW11/BV11-1</f>
        <v>1.7089719539086223E-2</v>
      </c>
      <c r="BX14" s="723"/>
      <c r="BY14" s="734">
        <f>+BY11/BW11-1</f>
        <v>1.2792820065779642E-2</v>
      </c>
      <c r="BZ14" s="734">
        <f>+BZ11/BY11-1</f>
        <v>-1.8706804265768318E-2</v>
      </c>
      <c r="CA14" s="734">
        <f>+CA11/BZ11-1</f>
        <v>1.4256077357180263E-2</v>
      </c>
      <c r="CB14" s="734">
        <f>+CB11/CA11-1</f>
        <v>2.1574793764141509E-2</v>
      </c>
      <c r="CC14" s="723"/>
      <c r="CD14" s="734">
        <f>+CD11/CB11-1</f>
        <v>4.0373869428702802E-2</v>
      </c>
      <c r="CE14" s="734">
        <f>+CE11/CD11-1</f>
        <v>-3.7740610375816108E-2</v>
      </c>
      <c r="CF14" s="734">
        <f>+CF11/CE11-1</f>
        <v>1.7454322103100273E-2</v>
      </c>
      <c r="CG14" s="734">
        <f>+CG11/CF11-1</f>
        <v>2.1685554824977249E-2</v>
      </c>
      <c r="CH14" s="723"/>
      <c r="CI14" s="734">
        <f>+CI11/CG11-1</f>
        <v>6.0260662895449624E-2</v>
      </c>
      <c r="CJ14" s="734">
        <f>+CJ11/CI11-1</f>
        <v>-5.7833827653204883E-2</v>
      </c>
      <c r="CK14" s="734">
        <f>+CK11/CJ11-1</f>
        <v>2.0963500536972823E-2</v>
      </c>
      <c r="CL14" s="734">
        <f>+CL11/CK11-1</f>
        <v>2.180334042966936E-2</v>
      </c>
      <c r="CM14" s="723"/>
      <c r="CN14" s="734">
        <f>+CN11/CL11-1</f>
        <v>7.9721821910795798E-2</v>
      </c>
      <c r="CO14" s="734">
        <f>+CO11/CN11-1</f>
        <v>-7.896274943682946E-2</v>
      </c>
      <c r="CP14" s="734">
        <f>+CP11/CO11-1</f>
        <v>2.6981360587313263E-2</v>
      </c>
      <c r="CQ14" s="734">
        <f>+CQ11/CP11-1</f>
        <v>2.1928496758940819E-2</v>
      </c>
      <c r="CR14" s="723"/>
      <c r="CT14" s="723"/>
      <c r="CU14" s="723"/>
      <c r="CW14" s="725"/>
      <c r="CX14" s="725"/>
      <c r="CY14" s="725"/>
      <c r="CZ14" s="725"/>
      <c r="DA14" s="725"/>
      <c r="DB14" s="725"/>
      <c r="DC14" s="725"/>
      <c r="DD14" s="725"/>
      <c r="DE14" s="725"/>
      <c r="DF14" s="725"/>
      <c r="DG14" s="725"/>
      <c r="DH14" s="725"/>
      <c r="DI14" s="725"/>
    </row>
    <row r="15" spans="1:114" ht="12" customHeight="1">
      <c r="A15" s="737" t="s">
        <v>884</v>
      </c>
      <c r="B15" s="720"/>
      <c r="C15" s="721"/>
      <c r="D15" s="721"/>
      <c r="E15" s="721"/>
      <c r="F15" s="722"/>
      <c r="G15" s="720"/>
      <c r="H15" s="721"/>
      <c r="I15" s="721"/>
      <c r="J15" s="721"/>
      <c r="K15" s="722"/>
      <c r="L15" s="721"/>
      <c r="M15" s="721"/>
      <c r="N15" s="721"/>
      <c r="O15" s="721"/>
      <c r="P15" s="722"/>
      <c r="Q15" s="720"/>
      <c r="R15" s="721"/>
      <c r="S15" s="721"/>
      <c r="T15" s="721"/>
      <c r="U15" s="722"/>
      <c r="V15" s="720"/>
      <c r="W15" s="721"/>
      <c r="X15" s="721"/>
      <c r="Y15" s="721"/>
      <c r="Z15" s="722"/>
      <c r="AA15" s="721"/>
      <c r="AB15" s="721"/>
      <c r="AC15" s="721"/>
      <c r="AD15" s="721"/>
      <c r="AE15" s="722"/>
      <c r="AF15" s="721"/>
      <c r="AG15" s="721"/>
      <c r="AH15" s="721"/>
      <c r="AI15" s="721"/>
      <c r="AJ15" s="722"/>
      <c r="AK15" s="721"/>
      <c r="AL15" s="721"/>
      <c r="AM15" s="721"/>
      <c r="AN15" s="721"/>
      <c r="AO15" s="723"/>
      <c r="AP15" s="721"/>
      <c r="AQ15" s="721"/>
      <c r="AR15" s="721"/>
      <c r="AS15" s="721"/>
      <c r="AT15" s="723"/>
      <c r="AU15" s="738">
        <f>+AU11/SUM(AU11:AX11)</f>
        <v>0.24606804436826732</v>
      </c>
      <c r="AV15" s="738">
        <f>+AV11/SUM(AU11:AX11)</f>
        <v>0.24219899410613691</v>
      </c>
      <c r="AW15" s="738">
        <f>+AW11/SUM(AU11:AX11)</f>
        <v>0.24890100618988839</v>
      </c>
      <c r="AX15" s="738">
        <f>+AX11/SUM(AU11:AX11)</f>
        <v>0.26283195533570741</v>
      </c>
      <c r="AY15" s="729"/>
      <c r="AZ15" s="738">
        <f>+AZ11/SUM(AZ11:BC11)</f>
        <v>0.18539838246804069</v>
      </c>
      <c r="BA15" s="738">
        <f>+BA11/SUM(AZ11:BC11)</f>
        <v>0.1926052700234803</v>
      </c>
      <c r="BB15" s="738">
        <f>+BB11/SUM(AZ11:BC11)</f>
        <v>0.30763579441690581</v>
      </c>
      <c r="BC15" s="738">
        <f>+BC11/SUM(AZ11:BC11)</f>
        <v>0.31436055309157329</v>
      </c>
      <c r="BD15" s="729"/>
      <c r="BE15" s="738">
        <f>+BE11/SUM(BE11:BH11)</f>
        <v>0.24590204150471853</v>
      </c>
      <c r="BF15" s="738">
        <f>+BF11/SUM(BE11:BH11)</f>
        <v>0.24635434634284703</v>
      </c>
      <c r="BG15" s="738">
        <f>+BG11/SUM(BF11:BI11)</f>
        <v>0.14413106431630113</v>
      </c>
      <c r="BH15" s="738">
        <f>+BH11/SUM(BG11:BJ11)</f>
        <v>0.1454009775311261</v>
      </c>
      <c r="BI15" s="729"/>
      <c r="BJ15" s="738">
        <f>+BJ11/SUM(BJ11:BM11)</f>
        <v>0.25233471067868135</v>
      </c>
      <c r="BK15" s="738">
        <f>+BK11/SUM(BJ11:BM11)</f>
        <v>0.24976282554361012</v>
      </c>
      <c r="BL15" s="738">
        <f>+BL11/SUM(BK11:BN11)</f>
        <v>0.14201866927324733</v>
      </c>
      <c r="BM15" s="738">
        <f>+BM11/SUM(BL11:BO11)</f>
        <v>0.14382710502213472</v>
      </c>
      <c r="BN15" s="729"/>
      <c r="BO15" s="738">
        <f>+BO11/SUM(BO11:BR11)</f>
        <v>0.24875100380458395</v>
      </c>
      <c r="BP15" s="738">
        <f>+BP11/SUM(BO11:BR11)</f>
        <v>0.250444306946986</v>
      </c>
      <c r="BQ15" s="738">
        <f>+BQ11/SUM(BP11:BS11)</f>
        <v>0.14250436707689157</v>
      </c>
      <c r="BR15" s="738">
        <f>+BR11/SUM(BQ11:BT11)</f>
        <v>0.14340931271022545</v>
      </c>
      <c r="BS15" s="729"/>
      <c r="BT15" s="738">
        <f>+BT11/SUM(BT11:BW11)</f>
        <v>0.25071110334796848</v>
      </c>
      <c r="BU15" s="738">
        <f>+BU11/SUM(BT11:BW11)</f>
        <v>0.24727555979769558</v>
      </c>
      <c r="BV15" s="738">
        <f>+BV11/SUM(BT11:BW11)</f>
        <v>0.24888002352669183</v>
      </c>
      <c r="BW15" s="738">
        <f>+BW11/SUM(BT11:BW11)</f>
        <v>0.25313331332764416</v>
      </c>
      <c r="BX15" s="729"/>
      <c r="BY15" s="738">
        <f>+BY11/SUM(BY11:CB11)</f>
        <v>0.2504174843115119</v>
      </c>
      <c r="BZ15" s="738">
        <f>+BZ11/SUM(BY11:CB11)</f>
        <v>0.24573297344777034</v>
      </c>
      <c r="CA15" s="738">
        <f>+CA11/SUM(BY11:CB11)</f>
        <v>0.24923616172645172</v>
      </c>
      <c r="CB15" s="738">
        <f>+CB11/SUM(BY11:CB11)</f>
        <v>0.25461338051426613</v>
      </c>
      <c r="CC15" s="729"/>
      <c r="CD15" s="738">
        <f>+CD11/SUM(CD11:CG11)</f>
        <v>0.25370403515727047</v>
      </c>
      <c r="CE15" s="738">
        <f>+CE11/SUM(CD11:CG11)</f>
        <v>0.24412909001562758</v>
      </c>
      <c r="CF15" s="738">
        <f>+CF11/SUM(CD11:CG11)</f>
        <v>0.2483901977874971</v>
      </c>
      <c r="CG15" s="738">
        <f>+CG11/SUM(CD11:CG11)</f>
        <v>0.25377667703960483</v>
      </c>
      <c r="CH15" s="729"/>
      <c r="CI15" s="738">
        <f>+CI11/SUM(CI11:CL11)</f>
        <v>0.25726955460369327</v>
      </c>
      <c r="CJ15" s="738">
        <f>+CJ11/SUM(CI11:CL11)</f>
        <v>0.24239067152232652</v>
      </c>
      <c r="CK15" s="738">
        <f>+CK11/SUM(CI11:CL11)</f>
        <v>0.24747202849494201</v>
      </c>
      <c r="CL15" s="738">
        <f>+CL11/SUM(CI11:CL11)</f>
        <v>0.25286774537903811</v>
      </c>
      <c r="CM15" s="729"/>
      <c r="CN15" s="738">
        <f>+CN11/SUM(CN11:CQ11)</f>
        <v>0.26085445843788968</v>
      </c>
      <c r="CO15" s="738">
        <f>+CO11/SUM(CN11:CQ11)</f>
        <v>0.24025667319677876</v>
      </c>
      <c r="CP15" s="738">
        <f>+CP11/SUM(CN11:CQ11)</f>
        <v>0.24673912512980931</v>
      </c>
      <c r="CQ15" s="738">
        <f>+CQ11/SUM(CN11:CQ11)</f>
        <v>0.25214974323552225</v>
      </c>
      <c r="CR15" s="729"/>
      <c r="CT15" s="723"/>
      <c r="CU15" s="723"/>
      <c r="CW15" s="725"/>
      <c r="CX15" s="725"/>
      <c r="CY15" s="725"/>
      <c r="CZ15" s="725"/>
      <c r="DA15" s="725"/>
      <c r="DB15" s="725"/>
      <c r="DC15" s="725"/>
      <c r="DD15" s="725"/>
      <c r="DE15" s="725"/>
      <c r="DF15" s="725"/>
      <c r="DG15" s="725"/>
      <c r="DH15" s="725"/>
      <c r="DI15" s="725"/>
    </row>
    <row r="16" spans="1:114" ht="12" customHeight="1">
      <c r="A16" s="737" t="s">
        <v>885</v>
      </c>
      <c r="B16" s="720"/>
      <c r="C16" s="721"/>
      <c r="D16" s="721"/>
      <c r="E16" s="721"/>
      <c r="F16" s="722"/>
      <c r="G16" s="720"/>
      <c r="H16" s="721"/>
      <c r="I16" s="721"/>
      <c r="J16" s="721"/>
      <c r="K16" s="722"/>
      <c r="L16" s="721"/>
      <c r="M16" s="721"/>
      <c r="N16" s="721"/>
      <c r="O16" s="721"/>
      <c r="P16" s="722"/>
      <c r="Q16" s="720"/>
      <c r="R16" s="721"/>
      <c r="S16" s="721"/>
      <c r="T16" s="721"/>
      <c r="U16" s="722"/>
      <c r="V16" s="720"/>
      <c r="W16" s="721"/>
      <c r="X16" s="721"/>
      <c r="Y16" s="721"/>
      <c r="Z16" s="722"/>
      <c r="AA16" s="721"/>
      <c r="AB16" s="721"/>
      <c r="AC16" s="721"/>
      <c r="AD16" s="721"/>
      <c r="AE16" s="722"/>
      <c r="AF16" s="721"/>
      <c r="AG16" s="721"/>
      <c r="AH16" s="721"/>
      <c r="AI16" s="721"/>
      <c r="AJ16" s="722"/>
      <c r="AK16" s="721"/>
      <c r="AL16" s="721"/>
      <c r="AM16" s="721"/>
      <c r="AN16" s="721"/>
      <c r="AO16" s="723"/>
      <c r="AP16" s="721"/>
      <c r="AQ16" s="721"/>
      <c r="AR16" s="721"/>
      <c r="AS16" s="721"/>
      <c r="AT16" s="723"/>
      <c r="AU16" s="738"/>
      <c r="AV16" s="738"/>
      <c r="AW16" s="738"/>
      <c r="AX16" s="738"/>
      <c r="AY16" s="728"/>
      <c r="AZ16" s="739"/>
      <c r="BA16" s="739"/>
      <c r="BB16" s="739"/>
      <c r="BC16" s="739"/>
      <c r="BD16" s="740"/>
      <c r="BE16" s="741">
        <v>-2.2999999999999998</v>
      </c>
      <c r="BF16" s="741">
        <v>-3.2</v>
      </c>
      <c r="BG16" s="741">
        <v>-3.6</v>
      </c>
      <c r="BH16" s="741">
        <v>-2</v>
      </c>
      <c r="BI16" s="742">
        <f>+SUM(BE16:BH16)</f>
        <v>-11.1</v>
      </c>
      <c r="BJ16" s="741">
        <v>-0.7</v>
      </c>
      <c r="BK16" s="741">
        <v>0.8</v>
      </c>
      <c r="BL16" s="741">
        <v>1.1000000000000001</v>
      </c>
      <c r="BM16" s="741">
        <v>1</v>
      </c>
      <c r="BN16" s="742">
        <f>+SUM(BJ16:BM16)</f>
        <v>2.2000000000000002</v>
      </c>
      <c r="BO16" s="741">
        <v>0</v>
      </c>
      <c r="BP16" s="741">
        <v>0</v>
      </c>
      <c r="BQ16" s="741">
        <v>0.6</v>
      </c>
      <c r="BR16" s="741">
        <v>-0.8</v>
      </c>
      <c r="BS16" s="742">
        <f>+SUM(BO16:BR16)</f>
        <v>-0.20000000000000007</v>
      </c>
      <c r="BT16" s="741">
        <v>0</v>
      </c>
      <c r="BU16" s="739">
        <f>-(BP21*(1+BU13)-BU11)</f>
        <v>-0.70522156025131721</v>
      </c>
      <c r="BV16" s="739">
        <f>-(BQ21*(1+BV13)-BV11)</f>
        <v>-0.39282729051203091</v>
      </c>
      <c r="BW16" s="739">
        <f>-(BR21*(1+BW13)-BW11)</f>
        <v>0</v>
      </c>
      <c r="BX16" s="742">
        <f>+SUM(BT16:BW16)</f>
        <v>-1.0980488507633481</v>
      </c>
      <c r="BY16" s="739">
        <f>-(BT21*(1+BY13)-BY11)</f>
        <v>2.8421709430404007E-14</v>
      </c>
      <c r="BZ16" s="739">
        <f>-(BU21*(1+BZ13)-BZ11)</f>
        <v>0</v>
      </c>
      <c r="CA16" s="739">
        <f>-(BV21*(1+CA13)-CA11)</f>
        <v>-2.8421709430404007E-14</v>
      </c>
      <c r="CB16" s="739">
        <f>-(BW21*(1+CB13)-CB11)</f>
        <v>0</v>
      </c>
      <c r="CC16" s="742">
        <f>+SUM(BY16:CB16)</f>
        <v>0</v>
      </c>
      <c r="CD16" s="743"/>
      <c r="CE16" s="731"/>
      <c r="CF16" s="731"/>
      <c r="CG16" s="731"/>
      <c r="CH16" s="729"/>
      <c r="CI16" s="743"/>
      <c r="CJ16" s="731"/>
      <c r="CK16" s="731"/>
      <c r="CL16" s="731"/>
      <c r="CM16" s="729"/>
      <c r="CN16" s="743"/>
      <c r="CO16" s="731"/>
      <c r="CP16" s="731"/>
      <c r="CQ16" s="731"/>
      <c r="CR16" s="729"/>
      <c r="CT16" s="723"/>
      <c r="CU16" s="723"/>
      <c r="CW16" s="725"/>
      <c r="CX16" s="725"/>
      <c r="CY16" s="725"/>
      <c r="CZ16" s="725"/>
      <c r="DA16" s="725"/>
      <c r="DB16" s="725"/>
      <c r="DC16" s="725"/>
      <c r="DD16" s="725"/>
      <c r="DE16" s="725"/>
      <c r="DF16" s="725"/>
      <c r="DG16" s="725"/>
      <c r="DH16" s="725"/>
      <c r="DI16" s="725"/>
    </row>
    <row r="17" spans="1:113" ht="12" customHeight="1">
      <c r="A17" s="737" t="s">
        <v>886</v>
      </c>
      <c r="B17" s="720"/>
      <c r="C17" s="721"/>
      <c r="D17" s="721"/>
      <c r="E17" s="721"/>
      <c r="F17" s="722"/>
      <c r="G17" s="720"/>
      <c r="H17" s="721"/>
      <c r="I17" s="721"/>
      <c r="J17" s="721"/>
      <c r="K17" s="722"/>
      <c r="L17" s="721"/>
      <c r="M17" s="721"/>
      <c r="N17" s="721"/>
      <c r="O17" s="721"/>
      <c r="P17" s="722"/>
      <c r="Q17" s="720"/>
      <c r="R17" s="721"/>
      <c r="S17" s="721"/>
      <c r="T17" s="721"/>
      <c r="U17" s="722"/>
      <c r="V17" s="720"/>
      <c r="W17" s="721"/>
      <c r="X17" s="721"/>
      <c r="Y17" s="721"/>
      <c r="Z17" s="722"/>
      <c r="AA17" s="721"/>
      <c r="AB17" s="721"/>
      <c r="AC17" s="721"/>
      <c r="AD17" s="721"/>
      <c r="AE17" s="722"/>
      <c r="AF17" s="721"/>
      <c r="AG17" s="721"/>
      <c r="AH17" s="721"/>
      <c r="AI17" s="721"/>
      <c r="AJ17" s="722"/>
      <c r="AK17" s="721"/>
      <c r="AL17" s="721"/>
      <c r="AM17" s="721"/>
      <c r="AN17" s="721"/>
      <c r="AO17" s="723"/>
      <c r="AP17" s="721"/>
      <c r="AQ17" s="721"/>
      <c r="AR17" s="721"/>
      <c r="AS17" s="721"/>
      <c r="AT17" s="723"/>
      <c r="AU17" s="738"/>
      <c r="AV17" s="738"/>
      <c r="AW17" s="738"/>
      <c r="AX17" s="738"/>
      <c r="AY17" s="728"/>
      <c r="AZ17" s="744"/>
      <c r="BA17" s="744"/>
      <c r="BB17" s="744"/>
      <c r="BC17" s="744"/>
      <c r="BD17" s="745"/>
      <c r="BE17" s="744">
        <f>((BE12-BE13)*10000)</f>
        <v>-157.39517823293303</v>
      </c>
      <c r="BF17" s="744">
        <f>((BF12-BF13)*10000)</f>
        <v>-212.50879919246569</v>
      </c>
      <c r="BG17" s="744">
        <f>((BG12-BG13)*10000)</f>
        <v>-227.99817601459216</v>
      </c>
      <c r="BH17" s="744">
        <f>((BH12-BH13)*10000)</f>
        <v>-123.83900928792713</v>
      </c>
      <c r="BI17" s="729"/>
      <c r="BJ17" s="744">
        <f>((BJ12-BJ13)*10000)</f>
        <v>-43.64606780104863</v>
      </c>
      <c r="BK17" s="744">
        <f>((BK12-BK13)*10000)</f>
        <v>49.78963877617204</v>
      </c>
      <c r="BL17" s="744">
        <f>((BL12-BL13)*10000)</f>
        <v>66.709927043597787</v>
      </c>
      <c r="BM17" s="744">
        <f>((BM12-BM13)*10000)</f>
        <v>60.144949327880504</v>
      </c>
      <c r="BN17" s="729"/>
      <c r="BO17" s="744">
        <f>((BO12-BO13)*10000)</f>
        <v>0</v>
      </c>
      <c r="BP17" s="744">
        <f>((BP12-BP13)*10000)</f>
        <v>0</v>
      </c>
      <c r="BQ17" s="744">
        <f>((BQ12-BQ13)*10000)</f>
        <v>38.095963732642787</v>
      </c>
      <c r="BR17" s="744">
        <f>((BR12-BR13)*10000)</f>
        <v>-50.489431930779148</v>
      </c>
      <c r="BS17" s="746"/>
      <c r="BT17" s="744">
        <f>((BT12-BT13)*10000)</f>
        <v>0</v>
      </c>
      <c r="BU17" s="747">
        <v>-46.33762354468827</v>
      </c>
      <c r="BV17" s="747">
        <v>-25.902692988166049</v>
      </c>
      <c r="BW17" s="747">
        <v>0</v>
      </c>
      <c r="BX17" s="746"/>
      <c r="BY17" s="747">
        <v>0</v>
      </c>
      <c r="BZ17" s="747">
        <v>0</v>
      </c>
      <c r="CA17" s="747">
        <v>0</v>
      </c>
      <c r="CB17" s="747">
        <v>0</v>
      </c>
      <c r="CC17" s="746"/>
      <c r="CD17" s="743"/>
      <c r="CE17" s="731"/>
      <c r="CF17" s="731"/>
      <c r="CG17" s="731"/>
      <c r="CH17" s="729"/>
      <c r="CI17" s="743"/>
      <c r="CJ17" s="731"/>
      <c r="CK17" s="731"/>
      <c r="CL17" s="731"/>
      <c r="CM17" s="729"/>
      <c r="CN17" s="743"/>
      <c r="CO17" s="731"/>
      <c r="CP17" s="731"/>
      <c r="CQ17" s="731"/>
      <c r="CR17" s="729"/>
      <c r="CT17" s="723"/>
      <c r="CU17" s="723"/>
      <c r="CW17" s="725"/>
      <c r="CX17" s="725"/>
      <c r="CY17" s="725"/>
      <c r="CZ17" s="725"/>
      <c r="DA17" s="725"/>
      <c r="DB17" s="725"/>
      <c r="DC17" s="725"/>
      <c r="DD17" s="725"/>
      <c r="DE17" s="725"/>
      <c r="DF17" s="725"/>
      <c r="DG17" s="725"/>
      <c r="DH17" s="725"/>
      <c r="DI17" s="725"/>
    </row>
    <row r="18" spans="1:113" ht="12" hidden="1" customHeight="1" outlineLevel="1">
      <c r="A18" s="726" t="s">
        <v>887</v>
      </c>
      <c r="B18" s="720"/>
      <c r="C18" s="721"/>
      <c r="D18" s="721"/>
      <c r="E18" s="721"/>
      <c r="F18" s="722"/>
      <c r="G18" s="720"/>
      <c r="H18" s="721"/>
      <c r="I18" s="721"/>
      <c r="J18" s="721"/>
      <c r="K18" s="722"/>
      <c r="L18" s="721"/>
      <c r="M18" s="721"/>
      <c r="N18" s="721"/>
      <c r="O18" s="721"/>
      <c r="P18" s="722"/>
      <c r="Q18" s="720"/>
      <c r="R18" s="721"/>
      <c r="S18" s="721"/>
      <c r="T18" s="721"/>
      <c r="U18" s="722"/>
      <c r="V18" s="720"/>
      <c r="W18" s="721"/>
      <c r="X18" s="721"/>
      <c r="Y18" s="721"/>
      <c r="Z18" s="722"/>
      <c r="AA18" s="721"/>
      <c r="AB18" s="721"/>
      <c r="AC18" s="721"/>
      <c r="AD18" s="721"/>
      <c r="AE18" s="722"/>
      <c r="AF18" s="721"/>
      <c r="AG18" s="721"/>
      <c r="AH18" s="721"/>
      <c r="AI18" s="721"/>
      <c r="AJ18" s="722"/>
      <c r="AK18" s="721"/>
      <c r="AL18" s="721"/>
      <c r="AM18" s="721"/>
      <c r="AN18" s="721"/>
      <c r="AO18" s="723"/>
      <c r="AP18" s="721"/>
      <c r="AQ18" s="721"/>
      <c r="AR18" s="721"/>
      <c r="AS18" s="721"/>
      <c r="AT18" s="723"/>
      <c r="AU18" s="721"/>
      <c r="AV18" s="721"/>
      <c r="AW18" s="743">
        <f>+AW39+AW57</f>
        <v>129.48099999999999</v>
      </c>
      <c r="AX18" s="743">
        <f>+AX39+AX57</f>
        <v>136.58699999999996</v>
      </c>
      <c r="AY18" s="728">
        <f>+SUM(AW18:AX18,AU11:AV11)</f>
        <v>431.00900000000001</v>
      </c>
      <c r="AZ18" s="743">
        <f>+AZ39+AZ57</f>
        <v>136.72899999999998</v>
      </c>
      <c r="BA18" s="743">
        <f>+BA39+BA57</f>
        <v>141.08199999999999</v>
      </c>
      <c r="BB18" s="743">
        <f>+BB11</f>
        <v>147.39599999999999</v>
      </c>
      <c r="BC18" s="743">
        <f>+BC11</f>
        <v>150.61800000000005</v>
      </c>
      <c r="BD18" s="740"/>
      <c r="BE18" s="743">
        <f>+BE39+BE57</f>
        <v>160.381</v>
      </c>
      <c r="BF18" s="731">
        <f>+BF11</f>
        <v>160.67599999999999</v>
      </c>
      <c r="BG18" s="731">
        <f>+BG11</f>
        <v>164.893</v>
      </c>
      <c r="BH18" s="731">
        <f>+BH11</f>
        <v>166.26499999999999</v>
      </c>
      <c r="BI18" s="729">
        <f>+BI11</f>
        <v>652.21500000000003</v>
      </c>
      <c r="BJ18" s="743">
        <f>+BJ39+BJ57</f>
        <v>160.12</v>
      </c>
      <c r="BK18" s="731">
        <f>+BK11</f>
        <v>158.488</v>
      </c>
      <c r="BL18" s="731">
        <f>+BL11</f>
        <v>157.49700000000001</v>
      </c>
      <c r="BM18" s="731">
        <f>+BM11</f>
        <v>158.44900000000001</v>
      </c>
      <c r="BN18" s="729">
        <f>+BN11</f>
        <v>634.55400000000009</v>
      </c>
      <c r="BO18" s="743">
        <f>+BO39+BO57</f>
        <v>151.16300000000001</v>
      </c>
      <c r="BP18" s="731">
        <f>+BP11</f>
        <v>152.19200000000001</v>
      </c>
      <c r="BQ18" s="731">
        <f>+BQ11</f>
        <v>151.655</v>
      </c>
      <c r="BR18" s="731">
        <f>+BR11</f>
        <v>152.678</v>
      </c>
      <c r="BS18" s="729">
        <f>+BS11</f>
        <v>607.68799999999999</v>
      </c>
      <c r="BT18" s="743">
        <f>+BT39+BT57</f>
        <v>152.61000000000001</v>
      </c>
      <c r="BU18" s="731">
        <f>+BU11</f>
        <v>150.51875516000001</v>
      </c>
      <c r="BV18" s="731">
        <f>+BV11</f>
        <v>151.495406</v>
      </c>
      <c r="BW18" s="731">
        <f>+BW11</f>
        <v>154.08441999999999</v>
      </c>
      <c r="BX18" s="729">
        <f>+BX11</f>
        <v>608.70858115999999</v>
      </c>
      <c r="BY18" s="743">
        <f>+BY39+BY57</f>
        <v>156.05559426000002</v>
      </c>
      <c r="BZ18" s="731">
        <f>+BZ11</f>
        <v>153.13629280360004</v>
      </c>
      <c r="CA18" s="731">
        <f>+CA11</f>
        <v>155.31941563999999</v>
      </c>
      <c r="CB18" s="731">
        <f>+CB11</f>
        <v>158.67039999999997</v>
      </c>
      <c r="CC18" s="729">
        <f>+CC11</f>
        <v>623.18170270360008</v>
      </c>
      <c r="CD18" s="743">
        <f>+CD39+CD57</f>
        <v>165.07653801180001</v>
      </c>
      <c r="CE18" s="731">
        <f>+CE11</f>
        <v>158.84644870850806</v>
      </c>
      <c r="CF18" s="731">
        <f>+CF11</f>
        <v>161.61900578919997</v>
      </c>
      <c r="CG18" s="731">
        <f>+CG11</f>
        <v>165.12380359999997</v>
      </c>
      <c r="CH18" s="729">
        <f>+CH11</f>
        <v>650.66579610950805</v>
      </c>
      <c r="CI18" s="743">
        <f>+CI39+CI57</f>
        <v>175.07427346475401</v>
      </c>
      <c r="CJ18" s="731">
        <f>+CJ11</f>
        <v>164.94905810668337</v>
      </c>
      <c r="CK18" s="731">
        <f>+CK11</f>
        <v>168.40696777487599</v>
      </c>
      <c r="CL18" s="731">
        <f>+CL11</f>
        <v>172.07880222399999</v>
      </c>
      <c r="CM18" s="729">
        <f>+CM11</f>
        <v>680.50910157031342</v>
      </c>
      <c r="CN18" s="743">
        <f>+CN39+CN57</f>
        <v>185.79723784952475</v>
      </c>
      <c r="CO18" s="731">
        <f>+CO11</f>
        <v>171.12617711115772</v>
      </c>
      <c r="CP18" s="731">
        <f>+CP11</f>
        <v>175.74339420172228</v>
      </c>
      <c r="CQ18" s="731">
        <f>+CQ11</f>
        <v>179.59718265188002</v>
      </c>
      <c r="CR18" s="729">
        <f>+CR11</f>
        <v>712.26399181428474</v>
      </c>
      <c r="CT18" s="723"/>
      <c r="CU18" s="723"/>
      <c r="CW18" s="725"/>
      <c r="CX18" s="725"/>
      <c r="CY18" s="725"/>
      <c r="CZ18" s="725"/>
      <c r="DA18" s="725"/>
      <c r="DB18" s="725">
        <f>+BI18-SUM(BE18:BH18)</f>
        <v>0</v>
      </c>
      <c r="DC18" s="725">
        <f>+BN18-SUM(BJ18:BM18)</f>
        <v>0</v>
      </c>
      <c r="DD18" s="725">
        <f>+BS18-SUM(BO18:BR18)</f>
        <v>0</v>
      </c>
      <c r="DE18" s="725">
        <f>+BX18-SUM(BT18:BW18)</f>
        <v>0</v>
      </c>
      <c r="DF18" s="725">
        <f>+CC18-SUM(BY18:CB18)</f>
        <v>0</v>
      </c>
      <c r="DG18" s="725">
        <f>+CH18-SUM(CD18:CG18)</f>
        <v>0</v>
      </c>
      <c r="DH18" s="725">
        <f>+CM18-SUM(CI18:CL18)</f>
        <v>0</v>
      </c>
      <c r="DI18" s="725">
        <f>+CR18-SUM(CN18:CQ18)</f>
        <v>0</v>
      </c>
    </row>
    <row r="19" spans="1:113" ht="12" hidden="1" customHeight="1" outlineLevel="1">
      <c r="A19" s="733" t="s">
        <v>881</v>
      </c>
      <c r="B19" s="720"/>
      <c r="C19" s="721"/>
      <c r="D19" s="721"/>
      <c r="E19" s="721"/>
      <c r="F19" s="722"/>
      <c r="G19" s="720"/>
      <c r="H19" s="721"/>
      <c r="I19" s="721"/>
      <c r="J19" s="721"/>
      <c r="K19" s="722"/>
      <c r="L19" s="721"/>
      <c r="M19" s="721"/>
      <c r="N19" s="721"/>
      <c r="O19" s="721"/>
      <c r="P19" s="722"/>
      <c r="Q19" s="720"/>
      <c r="R19" s="721"/>
      <c r="S19" s="721"/>
      <c r="T19" s="721"/>
      <c r="U19" s="722"/>
      <c r="V19" s="720"/>
      <c r="W19" s="721"/>
      <c r="X19" s="721"/>
      <c r="Y19" s="721"/>
      <c r="Z19" s="722"/>
      <c r="AA19" s="721"/>
      <c r="AB19" s="721"/>
      <c r="AC19" s="721"/>
      <c r="AD19" s="721"/>
      <c r="AE19" s="722"/>
      <c r="AF19" s="721"/>
      <c r="AG19" s="721"/>
      <c r="AH19" s="721"/>
      <c r="AI19" s="721"/>
      <c r="AJ19" s="722"/>
      <c r="AK19" s="721"/>
      <c r="AL19" s="721"/>
      <c r="AM19" s="721"/>
      <c r="AN19" s="721"/>
      <c r="AO19" s="723"/>
      <c r="AP19" s="721"/>
      <c r="AQ19" s="721"/>
      <c r="AR19" s="721"/>
      <c r="AS19" s="721"/>
      <c r="AT19" s="723"/>
      <c r="AU19" s="734"/>
      <c r="AV19" s="734"/>
      <c r="AW19" s="734"/>
      <c r="AX19" s="734"/>
      <c r="AY19" s="735"/>
      <c r="AZ19" s="734"/>
      <c r="BA19" s="734"/>
      <c r="BB19" s="734">
        <f>+BB18/AW18-1</f>
        <v>0.13836006827256497</v>
      </c>
      <c r="BC19" s="734">
        <f>+BC18/AX18-1</f>
        <v>0.1027257352456683</v>
      </c>
      <c r="BD19" s="735"/>
      <c r="BE19" s="734">
        <f>+BE18/AZ21-1</f>
        <v>9.7530264355466745E-2</v>
      </c>
      <c r="BF19" s="734">
        <f t="shared" ref="BF19:BL19" si="6">+BF18/BA21-1</f>
        <v>6.703324434527369E-2</v>
      </c>
      <c r="BG19" s="734">
        <f t="shared" si="6"/>
        <v>4.4313978821502564E-2</v>
      </c>
      <c r="BH19" s="734">
        <f t="shared" si="6"/>
        <v>2.9504643962848132E-2</v>
      </c>
      <c r="BI19" s="735">
        <f t="shared" si="6"/>
        <v>5.8659970523117222E-2</v>
      </c>
      <c r="BJ19" s="734">
        <f>+BJ18/BE21-1</f>
        <v>-1.627374813724769E-3</v>
      </c>
      <c r="BK19" s="734">
        <f t="shared" si="6"/>
        <v>-1.3617466205282591E-2</v>
      </c>
      <c r="BL19" s="734">
        <f t="shared" si="6"/>
        <v>-4.4853329128586306E-2</v>
      </c>
      <c r="BM19" s="734">
        <f>+BM18/BH21-1</f>
        <v>-4.7009292394670998E-2</v>
      </c>
      <c r="BN19" s="735">
        <f>+BN18/BI21-1</f>
        <v>-2.7078494054874502E-2</v>
      </c>
      <c r="BO19" s="734">
        <f>+BO18/BJ21-1</f>
        <v>-5.5939295528353639E-2</v>
      </c>
      <c r="BP19" s="734">
        <f t="shared" ref="BP19:BQ19" si="7">+BP18/BK21-1</f>
        <v>-3.9725405077986942E-2</v>
      </c>
      <c r="BQ19" s="734">
        <f t="shared" si="7"/>
        <v>-3.7092770021016297E-2</v>
      </c>
      <c r="BR19" s="734">
        <f>+BR18/BM21-1</f>
        <v>-3.6421813959065741E-2</v>
      </c>
      <c r="BS19" s="735">
        <f t="shared" ref="BS19:CR19" si="8">+BS18/BN18-1</f>
        <v>-4.2338398308103153E-2</v>
      </c>
      <c r="BT19" s="734">
        <f>+BT18/BO21-1</f>
        <v>9.5724482843024816E-3</v>
      </c>
      <c r="BU19" s="734">
        <f t="shared" si="8"/>
        <v>-1.0994302197224526E-2</v>
      </c>
      <c r="BV19" s="734">
        <f t="shared" si="8"/>
        <v>-1.0523490817975212E-3</v>
      </c>
      <c r="BW19" s="734">
        <f t="shared" si="8"/>
        <v>9.2116742425234488E-3</v>
      </c>
      <c r="BX19" s="735">
        <f t="shared" si="8"/>
        <v>1.6794492568554809E-3</v>
      </c>
      <c r="BY19" s="734">
        <f t="shared" si="8"/>
        <v>2.2577775113033161E-2</v>
      </c>
      <c r="BZ19" s="734">
        <f t="shared" si="8"/>
        <v>1.7390109563539813E-2</v>
      </c>
      <c r="CA19" s="734">
        <f t="shared" si="8"/>
        <v>2.524175313936583E-2</v>
      </c>
      <c r="CB19" s="734">
        <f t="shared" si="8"/>
        <v>2.9762775496704919E-2</v>
      </c>
      <c r="CC19" s="735">
        <f t="shared" si="8"/>
        <v>2.3776766077486577E-2</v>
      </c>
      <c r="CD19" s="734">
        <f t="shared" si="8"/>
        <v>5.7805962000762712E-2</v>
      </c>
      <c r="CE19" s="734">
        <f t="shared" si="8"/>
        <v>3.728806411835639E-2</v>
      </c>
      <c r="CF19" s="734">
        <f t="shared" si="8"/>
        <v>4.0558935425054621E-2</v>
      </c>
      <c r="CG19" s="734">
        <f t="shared" si="8"/>
        <v>4.0671754782240388E-2</v>
      </c>
      <c r="CH19" s="735">
        <f t="shared" si="8"/>
        <v>4.4102856817957781E-2</v>
      </c>
      <c r="CI19" s="734">
        <f t="shared" si="8"/>
        <v>6.0564242340964025E-2</v>
      </c>
      <c r="CJ19" s="734">
        <f t="shared" si="8"/>
        <v>3.8418292935046505E-2</v>
      </c>
      <c r="CK19" s="734">
        <f t="shared" si="8"/>
        <v>4.1999775660850114E-2</v>
      </c>
      <c r="CL19" s="734">
        <f t="shared" si="8"/>
        <v>4.211990320213288E-2</v>
      </c>
      <c r="CM19" s="735">
        <f t="shared" si="8"/>
        <v>4.5865797217628179E-2</v>
      </c>
      <c r="CN19" s="734">
        <f t="shared" si="8"/>
        <v>6.1248087297814724E-2</v>
      </c>
      <c r="CO19" s="734">
        <f t="shared" si="8"/>
        <v>3.7448646723882373E-2</v>
      </c>
      <c r="CP19" s="734">
        <f t="shared" si="8"/>
        <v>4.3563675088868825E-2</v>
      </c>
      <c r="CQ19" s="734">
        <f t="shared" si="8"/>
        <v>4.3691496748641478E-2</v>
      </c>
      <c r="CR19" s="735">
        <f t="shared" si="8"/>
        <v>4.6663432084442569E-2</v>
      </c>
      <c r="CT19" s="723"/>
      <c r="CU19" s="723"/>
      <c r="CW19" s="725"/>
      <c r="CX19" s="725"/>
      <c r="CY19" s="725"/>
      <c r="CZ19" s="725"/>
      <c r="DA19" s="725"/>
      <c r="DB19" s="725"/>
      <c r="DC19" s="725"/>
      <c r="DD19" s="725"/>
      <c r="DE19" s="725"/>
      <c r="DF19" s="725"/>
      <c r="DG19" s="725"/>
      <c r="DH19" s="725"/>
      <c r="DI19" s="725"/>
    </row>
    <row r="20" spans="1:113" ht="12" hidden="1" customHeight="1" outlineLevel="1">
      <c r="A20" s="733" t="s">
        <v>883</v>
      </c>
      <c r="B20" s="720"/>
      <c r="C20" s="721"/>
      <c r="D20" s="721"/>
      <c r="E20" s="721"/>
      <c r="F20" s="722"/>
      <c r="G20" s="720"/>
      <c r="H20" s="721"/>
      <c r="I20" s="721"/>
      <c r="J20" s="721"/>
      <c r="K20" s="722"/>
      <c r="L20" s="721"/>
      <c r="M20" s="721"/>
      <c r="N20" s="721"/>
      <c r="O20" s="721"/>
      <c r="P20" s="722"/>
      <c r="Q20" s="720"/>
      <c r="R20" s="721"/>
      <c r="S20" s="721"/>
      <c r="T20" s="721"/>
      <c r="U20" s="722"/>
      <c r="V20" s="720"/>
      <c r="W20" s="721"/>
      <c r="X20" s="721"/>
      <c r="Y20" s="721"/>
      <c r="Z20" s="722"/>
      <c r="AA20" s="721"/>
      <c r="AB20" s="721"/>
      <c r="AC20" s="721"/>
      <c r="AD20" s="721"/>
      <c r="AE20" s="722"/>
      <c r="AF20" s="721"/>
      <c r="AG20" s="721"/>
      <c r="AH20" s="721"/>
      <c r="AI20" s="721"/>
      <c r="AJ20" s="722"/>
      <c r="AK20" s="721"/>
      <c r="AL20" s="721"/>
      <c r="AM20" s="721"/>
      <c r="AN20" s="721"/>
      <c r="AO20" s="723"/>
      <c r="AP20" s="721"/>
      <c r="AQ20" s="721"/>
      <c r="AR20" s="721"/>
      <c r="AS20" s="721"/>
      <c r="AT20" s="723"/>
      <c r="AU20" s="734"/>
      <c r="AV20" s="734"/>
      <c r="AW20" s="734"/>
      <c r="AX20" s="734">
        <f>+AX18/AW18-1</f>
        <v>5.4880638858210595E-2</v>
      </c>
      <c r="AY20" s="736"/>
      <c r="AZ20" s="734">
        <f>+AZ18/AX18-1</f>
        <v>1.0396304187076932E-3</v>
      </c>
      <c r="BA20" s="734">
        <f>+BA18/AY18-1</f>
        <v>-0.67267040827453717</v>
      </c>
      <c r="BB20" s="734">
        <f>+BB18/BA18-1</f>
        <v>4.4754114628372088E-2</v>
      </c>
      <c r="BC20" s="734">
        <f>+BC18/BB18-1</f>
        <v>2.1859480582919977E-2</v>
      </c>
      <c r="BD20" s="736"/>
      <c r="BE20" s="734">
        <f>+BE18/BC18-1</f>
        <v>6.4819609873985495E-2</v>
      </c>
      <c r="BF20" s="734">
        <f>+BF18/BE18-1</f>
        <v>1.8393700001870794E-3</v>
      </c>
      <c r="BG20" s="734">
        <f>+BG18/BF18-1</f>
        <v>2.6245363339889138E-2</v>
      </c>
      <c r="BH20" s="734">
        <f>+BH18/BG18-1</f>
        <v>8.3205472639831246E-3</v>
      </c>
      <c r="BI20" s="723"/>
      <c r="BJ20" s="734">
        <f>+BJ18/BH18-1</f>
        <v>-3.6959071361982287E-2</v>
      </c>
      <c r="BK20" s="734">
        <f>+BK18/BJ18-1</f>
        <v>-1.0192355733200098E-2</v>
      </c>
      <c r="BL20" s="734">
        <f>+BL18/BK18-1</f>
        <v>-6.2528393316843012E-3</v>
      </c>
      <c r="BM20" s="734">
        <f>+BM18/BL18-1</f>
        <v>6.0445595789127005E-3</v>
      </c>
      <c r="BN20" s="723"/>
      <c r="BO20" s="734">
        <f>+BO18/BM18-1</f>
        <v>-4.5983250130956943E-2</v>
      </c>
      <c r="BP20" s="734">
        <f>+BP18/BO18-1</f>
        <v>6.8072213438472584E-3</v>
      </c>
      <c r="BQ20" s="734">
        <f>+BQ18/BP18-1</f>
        <v>-3.5284377628259644E-3</v>
      </c>
      <c r="BR20" s="734">
        <f>+BR18/BQ18-1</f>
        <v>6.7455738353499051E-3</v>
      </c>
      <c r="BS20" s="723"/>
      <c r="BT20" s="734">
        <f>+BT18/BR18-1</f>
        <v>-4.453817838849794E-4</v>
      </c>
      <c r="BU20" s="734">
        <f>+BU18/BT18-1</f>
        <v>-1.3703196645042937E-2</v>
      </c>
      <c r="BV20" s="734">
        <f>+BV18/BU18-1</f>
        <v>6.4885657535622698E-3</v>
      </c>
      <c r="BW20" s="734">
        <f>+BW18/BV18-1</f>
        <v>1.7089719539086223E-2</v>
      </c>
      <c r="BX20" s="723"/>
      <c r="BY20" s="734">
        <f>+BY18/BW18-1</f>
        <v>1.2792820065779642E-2</v>
      </c>
      <c r="BZ20" s="734">
        <f>+BZ18/BY18-1</f>
        <v>-1.8706804265768318E-2</v>
      </c>
      <c r="CA20" s="734">
        <f>+CA18/BZ18-1</f>
        <v>1.4256077357180263E-2</v>
      </c>
      <c r="CB20" s="734">
        <f>+CB18/CA18-1</f>
        <v>2.1574793764141509E-2</v>
      </c>
      <c r="CC20" s="723"/>
      <c r="CD20" s="734">
        <f>+CD18/CB18-1</f>
        <v>4.0373869428702802E-2</v>
      </c>
      <c r="CE20" s="734">
        <f>+CE18/CD18-1</f>
        <v>-3.7740610375816108E-2</v>
      </c>
      <c r="CF20" s="734">
        <f>+CF18/CE18-1</f>
        <v>1.7454322103100273E-2</v>
      </c>
      <c r="CG20" s="734">
        <f>+CG18/CF18-1</f>
        <v>2.1685554824977249E-2</v>
      </c>
      <c r="CH20" s="723"/>
      <c r="CI20" s="734">
        <f>+CI18/CG18-1</f>
        <v>6.0260662895449624E-2</v>
      </c>
      <c r="CJ20" s="734">
        <f>+CJ18/CI18-1</f>
        <v>-5.7833827653204883E-2</v>
      </c>
      <c r="CK20" s="734">
        <f>+CK18/CJ18-1</f>
        <v>2.0963500536972823E-2</v>
      </c>
      <c r="CL20" s="734">
        <f>+CL18/CK18-1</f>
        <v>2.180334042966936E-2</v>
      </c>
      <c r="CM20" s="723"/>
      <c r="CN20" s="734">
        <f>+CN18/CL18-1</f>
        <v>7.9721821910795798E-2</v>
      </c>
      <c r="CO20" s="734">
        <f>+CO18/CN18-1</f>
        <v>-7.896274943682946E-2</v>
      </c>
      <c r="CP20" s="734">
        <f>+CP18/CO18-1</f>
        <v>2.6981360587313263E-2</v>
      </c>
      <c r="CQ20" s="734">
        <f>+CQ18/CP18-1</f>
        <v>2.1928496758940819E-2</v>
      </c>
      <c r="CR20" s="723"/>
      <c r="CT20" s="723"/>
      <c r="CU20" s="723"/>
      <c r="CW20" s="725"/>
      <c r="CX20" s="725"/>
      <c r="CY20" s="725"/>
      <c r="CZ20" s="725"/>
      <c r="DA20" s="725"/>
      <c r="DB20" s="725"/>
      <c r="DC20" s="725"/>
      <c r="DD20" s="725"/>
      <c r="DE20" s="725"/>
      <c r="DF20" s="725"/>
      <c r="DG20" s="725"/>
      <c r="DH20" s="725"/>
      <c r="DI20" s="725"/>
    </row>
    <row r="21" spans="1:113" ht="12" hidden="1" customHeight="1" outlineLevel="1">
      <c r="A21" s="748" t="s">
        <v>888</v>
      </c>
      <c r="B21" s="720"/>
      <c r="C21" s="721"/>
      <c r="D21" s="721"/>
      <c r="E21" s="721"/>
      <c r="F21" s="722"/>
      <c r="G21" s="720"/>
      <c r="H21" s="721"/>
      <c r="I21" s="721"/>
      <c r="J21" s="721"/>
      <c r="K21" s="722"/>
      <c r="L21" s="721"/>
      <c r="M21" s="721"/>
      <c r="N21" s="721"/>
      <c r="O21" s="721"/>
      <c r="P21" s="722"/>
      <c r="Q21" s="720"/>
      <c r="R21" s="721"/>
      <c r="S21" s="721"/>
      <c r="T21" s="721"/>
      <c r="U21" s="722"/>
      <c r="V21" s="720"/>
      <c r="W21" s="721"/>
      <c r="X21" s="721"/>
      <c r="Y21" s="721"/>
      <c r="Z21" s="722"/>
      <c r="AA21" s="721"/>
      <c r="AB21" s="721"/>
      <c r="AC21" s="721"/>
      <c r="AD21" s="721"/>
      <c r="AE21" s="722"/>
      <c r="AF21" s="721"/>
      <c r="AG21" s="721"/>
      <c r="AH21" s="721"/>
      <c r="AI21" s="721"/>
      <c r="AJ21" s="722"/>
      <c r="AK21" s="721"/>
      <c r="AL21" s="721"/>
      <c r="AM21" s="721"/>
      <c r="AN21" s="721"/>
      <c r="AO21" s="723"/>
      <c r="AP21" s="721"/>
      <c r="AQ21" s="721"/>
      <c r="AR21" s="721"/>
      <c r="AS21" s="721"/>
      <c r="AT21" s="723"/>
      <c r="AU21" s="743"/>
      <c r="AV21" s="743"/>
      <c r="AW21" s="743"/>
      <c r="AX21" s="743"/>
      <c r="AY21" s="728"/>
      <c r="AZ21" s="743">
        <f t="shared" ref="AZ21:BE21" si="9">+AZ41+AZ59</f>
        <v>146.12899999999999</v>
      </c>
      <c r="BA21" s="743">
        <f t="shared" si="9"/>
        <v>150.58199999999999</v>
      </c>
      <c r="BB21" s="749">
        <f t="shared" si="9"/>
        <v>157.89600000000002</v>
      </c>
      <c r="BC21" s="749">
        <v>161.5</v>
      </c>
      <c r="BD21" s="728">
        <f t="shared" si="9"/>
        <v>616.07600000000002</v>
      </c>
      <c r="BE21" s="743">
        <f t="shared" si="9"/>
        <v>160.381</v>
      </c>
      <c r="BF21" s="731">
        <f>+BF11</f>
        <v>160.67599999999999</v>
      </c>
      <c r="BG21" s="731">
        <f>+BG11</f>
        <v>164.893</v>
      </c>
      <c r="BH21" s="731">
        <f>+BH11</f>
        <v>166.26499999999999</v>
      </c>
      <c r="BI21" s="729">
        <f>+BI11</f>
        <v>652.21500000000003</v>
      </c>
      <c r="BJ21" s="743">
        <f>+BJ41+BJ59</f>
        <v>160.12</v>
      </c>
      <c r="BK21" s="731">
        <f>+BK11</f>
        <v>158.488</v>
      </c>
      <c r="BL21" s="731">
        <f>+BL11</f>
        <v>157.49700000000001</v>
      </c>
      <c r="BM21" s="731">
        <f>+BM11</f>
        <v>158.44900000000001</v>
      </c>
      <c r="BN21" s="729">
        <f>+BN11</f>
        <v>634.55400000000009</v>
      </c>
      <c r="BO21" s="743">
        <f>+BO41+BO59</f>
        <v>151.16300000000001</v>
      </c>
      <c r="BP21" s="731">
        <f>+BP11</f>
        <v>152.19200000000001</v>
      </c>
      <c r="BQ21" s="731">
        <f>+BQ11</f>
        <v>151.655</v>
      </c>
      <c r="BR21" s="731">
        <f>+BR11</f>
        <v>152.678</v>
      </c>
      <c r="BS21" s="729">
        <f>+BS11</f>
        <v>607.68799999999999</v>
      </c>
      <c r="BT21" s="743">
        <f>+BT41+BT59</f>
        <v>152.61000000000001</v>
      </c>
      <c r="BU21" s="731">
        <f>+BU11</f>
        <v>150.51875516000001</v>
      </c>
      <c r="BV21" s="731">
        <f>+BV11</f>
        <v>151.495406</v>
      </c>
      <c r="BW21" s="731">
        <f>+BW11</f>
        <v>154.08441999999999</v>
      </c>
      <c r="BX21" s="729">
        <f>+BX11</f>
        <v>608.70858115999999</v>
      </c>
      <c r="BY21" s="743">
        <f>+BY41+BY59</f>
        <v>156.05559426000002</v>
      </c>
      <c r="BZ21" s="731">
        <f>+BZ11</f>
        <v>153.13629280360004</v>
      </c>
      <c r="CA21" s="731">
        <f>+CA11</f>
        <v>155.31941563999999</v>
      </c>
      <c r="CB21" s="731">
        <f>+CB11</f>
        <v>158.67039999999997</v>
      </c>
      <c r="CC21" s="729">
        <f>+CC11</f>
        <v>623.18170270360008</v>
      </c>
      <c r="CD21" s="743">
        <f>+CD41+CD59</f>
        <v>165.07653801180001</v>
      </c>
      <c r="CE21" s="731">
        <f>+CE11</f>
        <v>158.84644870850806</v>
      </c>
      <c r="CF21" s="731">
        <f>+CF11</f>
        <v>161.61900578919997</v>
      </c>
      <c r="CG21" s="731">
        <f>+CG11</f>
        <v>165.12380359999997</v>
      </c>
      <c r="CH21" s="729">
        <f>+CH11</f>
        <v>650.66579610950805</v>
      </c>
      <c r="CI21" s="743">
        <f>+CI41+CI59</f>
        <v>175.07427346475401</v>
      </c>
      <c r="CJ21" s="731">
        <f>+CJ11</f>
        <v>164.94905810668337</v>
      </c>
      <c r="CK21" s="731">
        <f>+CK11</f>
        <v>168.40696777487599</v>
      </c>
      <c r="CL21" s="731">
        <f>+CL11</f>
        <v>172.07880222399999</v>
      </c>
      <c r="CM21" s="729">
        <f>+CM11</f>
        <v>680.50910157031342</v>
      </c>
      <c r="CN21" s="743">
        <f>+CN41+CN59</f>
        <v>185.79723784952475</v>
      </c>
      <c r="CO21" s="731">
        <f>+CO11</f>
        <v>171.12617711115772</v>
      </c>
      <c r="CP21" s="731">
        <f>+CP11</f>
        <v>175.74339420172228</v>
      </c>
      <c r="CQ21" s="731">
        <f>+CQ11</f>
        <v>179.59718265188002</v>
      </c>
      <c r="CR21" s="729">
        <f>+CR11</f>
        <v>712.26399181428474</v>
      </c>
      <c r="CT21" s="723"/>
      <c r="CU21" s="723"/>
      <c r="CW21" s="725"/>
      <c r="CX21" s="725"/>
      <c r="CY21" s="725"/>
      <c r="CZ21" s="725"/>
      <c r="DA21" s="725">
        <f>+BD21-SUM(AZ21:BC21)</f>
        <v>-3.0999999999949068E-2</v>
      </c>
      <c r="DB21" s="725">
        <f>+BI21-SUM(BE21:BH21)</f>
        <v>0</v>
      </c>
      <c r="DC21" s="725">
        <f>+BN21-SUM(BJ21:BM21)</f>
        <v>0</v>
      </c>
      <c r="DD21" s="725">
        <f>+BS21-SUM(BO21:BR21)</f>
        <v>0</v>
      </c>
      <c r="DE21" s="725">
        <f>+BX21-SUM(BT21:BW21)</f>
        <v>0</v>
      </c>
      <c r="DF21" s="725">
        <f>+CC21-SUM(BY21:CB21)</f>
        <v>0</v>
      </c>
      <c r="DG21" s="725">
        <f>+CH21-SUM(CD21:CG21)</f>
        <v>0</v>
      </c>
      <c r="DH21" s="725">
        <f>+CM21-SUM(CI21:CL21)</f>
        <v>0</v>
      </c>
      <c r="DI21" s="725">
        <f>+CR21-SUM(CN21:CQ21)</f>
        <v>0</v>
      </c>
    </row>
    <row r="22" spans="1:113" ht="12" hidden="1" customHeight="1" outlineLevel="1">
      <c r="A22" s="733" t="s">
        <v>881</v>
      </c>
      <c r="B22" s="720"/>
      <c r="C22" s="721"/>
      <c r="D22" s="721"/>
      <c r="E22" s="721"/>
      <c r="F22" s="722"/>
      <c r="G22" s="720"/>
      <c r="H22" s="721"/>
      <c r="I22" s="721"/>
      <c r="J22" s="721"/>
      <c r="K22" s="722"/>
      <c r="L22" s="721"/>
      <c r="M22" s="721"/>
      <c r="N22" s="721"/>
      <c r="O22" s="721"/>
      <c r="P22" s="722"/>
      <c r="Q22" s="720"/>
      <c r="R22" s="721"/>
      <c r="S22" s="721"/>
      <c r="T22" s="721"/>
      <c r="U22" s="722"/>
      <c r="V22" s="720"/>
      <c r="W22" s="721"/>
      <c r="X22" s="721"/>
      <c r="Y22" s="721"/>
      <c r="Z22" s="722"/>
      <c r="AA22" s="721"/>
      <c r="AB22" s="721"/>
      <c r="AC22" s="721"/>
      <c r="AD22" s="721"/>
      <c r="AE22" s="722"/>
      <c r="AF22" s="721"/>
      <c r="AG22" s="721"/>
      <c r="AH22" s="721"/>
      <c r="AI22" s="721"/>
      <c r="AJ22" s="722"/>
      <c r="AK22" s="721"/>
      <c r="AL22" s="721"/>
      <c r="AM22" s="721"/>
      <c r="AN22" s="721"/>
      <c r="AO22" s="723"/>
      <c r="AP22" s="721"/>
      <c r="AQ22" s="721"/>
      <c r="AR22" s="721"/>
      <c r="AS22" s="721"/>
      <c r="AT22" s="723"/>
      <c r="AU22" s="734"/>
      <c r="AV22" s="734"/>
      <c r="AW22" s="734"/>
      <c r="AX22" s="734"/>
      <c r="AY22" s="735"/>
      <c r="AZ22" s="734"/>
      <c r="BA22" s="734"/>
      <c r="BB22" s="734"/>
      <c r="BC22" s="734"/>
      <c r="BD22" s="735"/>
      <c r="BE22" s="734">
        <f t="shared" ref="BE22:CR22" si="10">+BE21/AZ21-1</f>
        <v>9.7530264355466745E-2</v>
      </c>
      <c r="BF22" s="734">
        <f t="shared" si="10"/>
        <v>6.703324434527369E-2</v>
      </c>
      <c r="BG22" s="734">
        <f t="shared" si="10"/>
        <v>4.4313978821502564E-2</v>
      </c>
      <c r="BH22" s="734">
        <f t="shared" si="10"/>
        <v>2.9504643962848132E-2</v>
      </c>
      <c r="BI22" s="735">
        <f>+BI21/BD21-1</f>
        <v>5.8659970523117222E-2</v>
      </c>
      <c r="BJ22" s="734">
        <f t="shared" si="10"/>
        <v>-1.627374813724769E-3</v>
      </c>
      <c r="BK22" s="734">
        <f t="shared" si="10"/>
        <v>-1.3617466205282591E-2</v>
      </c>
      <c r="BL22" s="734">
        <f t="shared" si="10"/>
        <v>-4.4853329128586306E-2</v>
      </c>
      <c r="BM22" s="734">
        <f t="shared" si="10"/>
        <v>-4.7009292394670998E-2</v>
      </c>
      <c r="BN22" s="735">
        <f t="shared" si="10"/>
        <v>-2.7078494054874502E-2</v>
      </c>
      <c r="BO22" s="734">
        <f t="shared" si="10"/>
        <v>-5.5939295528353639E-2</v>
      </c>
      <c r="BP22" s="734">
        <f t="shared" si="10"/>
        <v>-3.9725405077986942E-2</v>
      </c>
      <c r="BQ22" s="734">
        <f t="shared" si="10"/>
        <v>-3.7092770021016297E-2</v>
      </c>
      <c r="BR22" s="734">
        <f t="shared" si="10"/>
        <v>-3.6421813959065741E-2</v>
      </c>
      <c r="BS22" s="735">
        <f t="shared" si="10"/>
        <v>-4.2338398308103153E-2</v>
      </c>
      <c r="BT22" s="734">
        <f t="shared" si="10"/>
        <v>9.5724482843024816E-3</v>
      </c>
      <c r="BU22" s="734">
        <f t="shared" si="10"/>
        <v>-1.0994302197224526E-2</v>
      </c>
      <c r="BV22" s="734">
        <f t="shared" si="10"/>
        <v>-1.0523490817975212E-3</v>
      </c>
      <c r="BW22" s="734">
        <f t="shared" si="10"/>
        <v>9.2116742425234488E-3</v>
      </c>
      <c r="BX22" s="735">
        <f t="shared" si="10"/>
        <v>1.6794492568554809E-3</v>
      </c>
      <c r="BY22" s="734">
        <f t="shared" si="10"/>
        <v>2.2577775113033161E-2</v>
      </c>
      <c r="BZ22" s="734">
        <f t="shared" si="10"/>
        <v>1.7390109563539813E-2</v>
      </c>
      <c r="CA22" s="734">
        <f t="shared" si="10"/>
        <v>2.524175313936583E-2</v>
      </c>
      <c r="CB22" s="734">
        <f t="shared" si="10"/>
        <v>2.9762775496704919E-2</v>
      </c>
      <c r="CC22" s="735">
        <f t="shared" si="10"/>
        <v>2.3776766077486577E-2</v>
      </c>
      <c r="CD22" s="734">
        <f t="shared" si="10"/>
        <v>5.7805962000762712E-2</v>
      </c>
      <c r="CE22" s="734">
        <f t="shared" si="10"/>
        <v>3.728806411835639E-2</v>
      </c>
      <c r="CF22" s="734">
        <f t="shared" si="10"/>
        <v>4.0558935425054621E-2</v>
      </c>
      <c r="CG22" s="734">
        <f t="shared" si="10"/>
        <v>4.0671754782240388E-2</v>
      </c>
      <c r="CH22" s="735">
        <f t="shared" si="10"/>
        <v>4.4102856817957781E-2</v>
      </c>
      <c r="CI22" s="734">
        <f t="shared" si="10"/>
        <v>6.0564242340964025E-2</v>
      </c>
      <c r="CJ22" s="734">
        <f t="shared" si="10"/>
        <v>3.8418292935046505E-2</v>
      </c>
      <c r="CK22" s="734">
        <f t="shared" si="10"/>
        <v>4.1999775660850114E-2</v>
      </c>
      <c r="CL22" s="734">
        <f t="shared" si="10"/>
        <v>4.211990320213288E-2</v>
      </c>
      <c r="CM22" s="735">
        <f t="shared" si="10"/>
        <v>4.5865797217628179E-2</v>
      </c>
      <c r="CN22" s="734">
        <f t="shared" si="10"/>
        <v>6.1248087297814724E-2</v>
      </c>
      <c r="CO22" s="734">
        <f t="shared" si="10"/>
        <v>3.7448646723882373E-2</v>
      </c>
      <c r="CP22" s="734">
        <f t="shared" si="10"/>
        <v>4.3563675088868825E-2</v>
      </c>
      <c r="CQ22" s="734">
        <f t="shared" si="10"/>
        <v>4.3691496748641478E-2</v>
      </c>
      <c r="CR22" s="735">
        <f t="shared" si="10"/>
        <v>4.6663432084442569E-2</v>
      </c>
      <c r="CT22" s="723"/>
      <c r="CU22" s="723"/>
      <c r="CW22" s="725"/>
      <c r="CX22" s="725"/>
      <c r="CY22" s="725"/>
      <c r="CZ22" s="725"/>
      <c r="DA22" s="725"/>
      <c r="DB22" s="725"/>
      <c r="DC22" s="725"/>
      <c r="DD22" s="725"/>
      <c r="DE22" s="725"/>
      <c r="DF22" s="725"/>
      <c r="DG22" s="725"/>
      <c r="DH22" s="725"/>
      <c r="DI22" s="725"/>
    </row>
    <row r="23" spans="1:113" ht="12" hidden="1" customHeight="1" outlineLevel="1">
      <c r="A23" s="733" t="s">
        <v>883</v>
      </c>
      <c r="B23" s="720"/>
      <c r="C23" s="721"/>
      <c r="D23" s="721"/>
      <c r="E23" s="721"/>
      <c r="F23" s="722"/>
      <c r="G23" s="720"/>
      <c r="H23" s="721"/>
      <c r="I23" s="721"/>
      <c r="J23" s="721"/>
      <c r="K23" s="722"/>
      <c r="L23" s="721"/>
      <c r="M23" s="721"/>
      <c r="N23" s="721"/>
      <c r="O23" s="721"/>
      <c r="P23" s="722"/>
      <c r="Q23" s="720"/>
      <c r="R23" s="721"/>
      <c r="S23" s="721"/>
      <c r="T23" s="721"/>
      <c r="U23" s="722"/>
      <c r="V23" s="720"/>
      <c r="W23" s="721"/>
      <c r="X23" s="721"/>
      <c r="Y23" s="721"/>
      <c r="Z23" s="722"/>
      <c r="AA23" s="721"/>
      <c r="AB23" s="721"/>
      <c r="AC23" s="721"/>
      <c r="AD23" s="721"/>
      <c r="AE23" s="722"/>
      <c r="AF23" s="721"/>
      <c r="AG23" s="721"/>
      <c r="AH23" s="721"/>
      <c r="AI23" s="721"/>
      <c r="AJ23" s="722"/>
      <c r="AK23" s="721"/>
      <c r="AL23" s="721"/>
      <c r="AM23" s="721"/>
      <c r="AN23" s="721"/>
      <c r="AO23" s="723"/>
      <c r="AP23" s="721"/>
      <c r="AQ23" s="721"/>
      <c r="AR23" s="721"/>
      <c r="AS23" s="721"/>
      <c r="AT23" s="723"/>
      <c r="AU23" s="734"/>
      <c r="AV23" s="734"/>
      <c r="AW23" s="734"/>
      <c r="AX23" s="734"/>
      <c r="AY23" s="736"/>
      <c r="AZ23" s="734"/>
      <c r="BA23" s="734"/>
      <c r="BB23" s="734"/>
      <c r="BC23" s="734"/>
      <c r="BD23" s="736"/>
      <c r="BE23" s="734">
        <f>+BE21/BC21-1</f>
        <v>-6.9287925696593922E-3</v>
      </c>
      <c r="BF23" s="734">
        <f>+BF21/BE21-1</f>
        <v>1.8393700001870794E-3</v>
      </c>
      <c r="BG23" s="734">
        <f>+BG21/BF21-1</f>
        <v>2.6245363339889138E-2</v>
      </c>
      <c r="BH23" s="734">
        <f>+BH21/BG21-1</f>
        <v>8.3205472639831246E-3</v>
      </c>
      <c r="BI23" s="723"/>
      <c r="BJ23" s="734">
        <f>+BJ21/BH21-1</f>
        <v>-3.6959071361982287E-2</v>
      </c>
      <c r="BK23" s="734">
        <f>+BK21/BJ21-1</f>
        <v>-1.0192355733200098E-2</v>
      </c>
      <c r="BL23" s="734">
        <f>+BL21/BK21-1</f>
        <v>-6.2528393316843012E-3</v>
      </c>
      <c r="BM23" s="734">
        <f>+BM21/BL21-1</f>
        <v>6.0445595789127005E-3</v>
      </c>
      <c r="BN23" s="723"/>
      <c r="BO23" s="734">
        <f>+BO21/BM21-1</f>
        <v>-4.5983250130956943E-2</v>
      </c>
      <c r="BP23" s="734">
        <f>+BP21/BO21-1</f>
        <v>6.8072213438472584E-3</v>
      </c>
      <c r="BQ23" s="734">
        <f>+BQ21/BP21-1</f>
        <v>-3.5284377628259644E-3</v>
      </c>
      <c r="BR23" s="734">
        <f>+BR21/BQ21-1</f>
        <v>6.7455738353499051E-3</v>
      </c>
      <c r="BS23" s="723"/>
      <c r="BT23" s="734">
        <f>+BT21/BR21-1</f>
        <v>-4.453817838849794E-4</v>
      </c>
      <c r="BU23" s="734">
        <f>+BU21/BT21-1</f>
        <v>-1.3703196645042937E-2</v>
      </c>
      <c r="BV23" s="734">
        <f>+BV21/BU21-1</f>
        <v>6.4885657535622698E-3</v>
      </c>
      <c r="BW23" s="734">
        <f>+BW21/BV21-1</f>
        <v>1.7089719539086223E-2</v>
      </c>
      <c r="BX23" s="723"/>
      <c r="BY23" s="734">
        <f>+BY21/BW21-1</f>
        <v>1.2792820065779642E-2</v>
      </c>
      <c r="BZ23" s="734">
        <f>+BZ21/BY21-1</f>
        <v>-1.8706804265768318E-2</v>
      </c>
      <c r="CA23" s="734">
        <f>+CA21/BZ21-1</f>
        <v>1.4256077357180263E-2</v>
      </c>
      <c r="CB23" s="734">
        <f>+CB21/CA21-1</f>
        <v>2.1574793764141509E-2</v>
      </c>
      <c r="CC23" s="723"/>
      <c r="CD23" s="734">
        <f>+CD21/CB21-1</f>
        <v>4.0373869428702802E-2</v>
      </c>
      <c r="CE23" s="734">
        <f>+CE21/CD21-1</f>
        <v>-3.7740610375816108E-2</v>
      </c>
      <c r="CF23" s="734">
        <f>+CF21/CE21-1</f>
        <v>1.7454322103100273E-2</v>
      </c>
      <c r="CG23" s="734">
        <f>+CG21/CF21-1</f>
        <v>2.1685554824977249E-2</v>
      </c>
      <c r="CH23" s="723"/>
      <c r="CI23" s="734">
        <f>+CI21/CG21-1</f>
        <v>6.0260662895449624E-2</v>
      </c>
      <c r="CJ23" s="734">
        <f>+CJ21/CI21-1</f>
        <v>-5.7833827653204883E-2</v>
      </c>
      <c r="CK23" s="734">
        <f>+CK21/CJ21-1</f>
        <v>2.0963500536972823E-2</v>
      </c>
      <c r="CL23" s="734">
        <f>+CL21/CK21-1</f>
        <v>2.180334042966936E-2</v>
      </c>
      <c r="CM23" s="723"/>
      <c r="CN23" s="734">
        <f>+CN21/CL21-1</f>
        <v>7.9721821910795798E-2</v>
      </c>
      <c r="CO23" s="734">
        <f>+CO21/CN21-1</f>
        <v>-7.896274943682946E-2</v>
      </c>
      <c r="CP23" s="734">
        <f>+CP21/CO21-1</f>
        <v>2.6981360587313263E-2</v>
      </c>
      <c r="CQ23" s="734">
        <f>+CQ21/CP21-1</f>
        <v>2.1928496758940819E-2</v>
      </c>
      <c r="CR23" s="723"/>
      <c r="CT23" s="723"/>
      <c r="CU23" s="723"/>
      <c r="CW23" s="725"/>
      <c r="CX23" s="725"/>
      <c r="CY23" s="725"/>
      <c r="CZ23" s="725"/>
      <c r="DA23" s="725"/>
      <c r="DB23" s="725"/>
      <c r="DC23" s="725"/>
      <c r="DD23" s="725"/>
      <c r="DE23" s="725"/>
      <c r="DF23" s="725"/>
      <c r="DG23" s="725"/>
      <c r="DH23" s="725"/>
      <c r="DI23" s="725"/>
    </row>
    <row r="24" spans="1:113" ht="12" hidden="1" customHeight="1" outlineLevel="1">
      <c r="A24" s="733"/>
      <c r="B24" s="720"/>
      <c r="C24" s="721"/>
      <c r="D24" s="721"/>
      <c r="E24" s="721"/>
      <c r="F24" s="722"/>
      <c r="G24" s="720"/>
      <c r="H24" s="721"/>
      <c r="I24" s="721"/>
      <c r="J24" s="721"/>
      <c r="K24" s="722"/>
      <c r="L24" s="721"/>
      <c r="M24" s="721"/>
      <c r="N24" s="721"/>
      <c r="O24" s="721"/>
      <c r="P24" s="722"/>
      <c r="Q24" s="720"/>
      <c r="R24" s="721"/>
      <c r="S24" s="721"/>
      <c r="T24" s="721"/>
      <c r="U24" s="722"/>
      <c r="V24" s="720"/>
      <c r="W24" s="721"/>
      <c r="X24" s="721"/>
      <c r="Y24" s="721"/>
      <c r="Z24" s="722"/>
      <c r="AA24" s="721"/>
      <c r="AB24" s="721"/>
      <c r="AC24" s="721"/>
      <c r="AD24" s="721"/>
      <c r="AE24" s="722"/>
      <c r="AF24" s="721"/>
      <c r="AG24" s="721"/>
      <c r="AH24" s="721"/>
      <c r="AI24" s="721"/>
      <c r="AJ24" s="722"/>
      <c r="AK24" s="721"/>
      <c r="AL24" s="721"/>
      <c r="AM24" s="721"/>
      <c r="AN24" s="721"/>
      <c r="AO24" s="723"/>
      <c r="AP24" s="721"/>
      <c r="AQ24" s="721"/>
      <c r="AR24" s="721"/>
      <c r="AS24" s="721"/>
      <c r="AT24" s="723"/>
      <c r="AU24" s="734"/>
      <c r="AV24" s="734"/>
      <c r="AW24" s="734"/>
      <c r="AX24" s="734"/>
      <c r="AY24" s="736"/>
      <c r="AZ24" s="734"/>
      <c r="BA24" s="734"/>
      <c r="BB24" s="734"/>
      <c r="BC24" s="734"/>
      <c r="BD24" s="736"/>
      <c r="BE24" s="734"/>
      <c r="BF24" s="734"/>
      <c r="BG24" s="734"/>
      <c r="BH24" s="734"/>
      <c r="BI24" s="723"/>
      <c r="BJ24" s="734"/>
      <c r="BK24" s="734"/>
      <c r="BL24" s="734"/>
      <c r="BM24" s="734"/>
      <c r="BN24" s="723"/>
      <c r="BO24" s="734"/>
      <c r="BP24" s="734"/>
      <c r="BQ24" s="734"/>
      <c r="BR24" s="734"/>
      <c r="BS24" s="723"/>
      <c r="BT24" s="734"/>
      <c r="BU24" s="734"/>
      <c r="BV24" s="734"/>
      <c r="BW24" s="734"/>
      <c r="BX24" s="723"/>
      <c r="BY24" s="734"/>
      <c r="BZ24" s="734"/>
      <c r="CA24" s="734"/>
      <c r="CB24" s="734"/>
      <c r="CC24" s="723"/>
      <c r="CD24" s="734"/>
      <c r="CE24" s="734"/>
      <c r="CF24" s="734"/>
      <c r="CG24" s="734"/>
      <c r="CH24" s="723"/>
      <c r="CI24" s="734"/>
      <c r="CJ24" s="734"/>
      <c r="CK24" s="734"/>
      <c r="CL24" s="734"/>
      <c r="CM24" s="723"/>
      <c r="CN24" s="734"/>
      <c r="CO24" s="734"/>
      <c r="CP24" s="734"/>
      <c r="CQ24" s="734"/>
      <c r="CR24" s="723"/>
      <c r="CT24" s="723"/>
      <c r="CU24" s="723"/>
      <c r="CW24" s="725"/>
      <c r="CX24" s="725"/>
      <c r="CY24" s="725"/>
      <c r="CZ24" s="725"/>
      <c r="DA24" s="725"/>
      <c r="DB24" s="725"/>
      <c r="DC24" s="725"/>
      <c r="DD24" s="725"/>
      <c r="DE24" s="725"/>
      <c r="DF24" s="725"/>
      <c r="DG24" s="725"/>
      <c r="DH24" s="725"/>
      <c r="DI24" s="725"/>
    </row>
    <row r="25" spans="1:113" ht="12" hidden="1" customHeight="1" outlineLevel="1">
      <c r="A25" s="737"/>
      <c r="B25" s="720"/>
      <c r="C25" s="721"/>
      <c r="D25" s="721"/>
      <c r="E25" s="721"/>
      <c r="F25" s="722"/>
      <c r="G25" s="720"/>
      <c r="H25" s="721"/>
      <c r="I25" s="721"/>
      <c r="J25" s="721"/>
      <c r="K25" s="722"/>
      <c r="L25" s="721"/>
      <c r="M25" s="721"/>
      <c r="N25" s="721"/>
      <c r="O25" s="721"/>
      <c r="P25" s="722"/>
      <c r="Q25" s="720"/>
      <c r="R25" s="721"/>
      <c r="S25" s="721"/>
      <c r="T25" s="721"/>
      <c r="U25" s="722"/>
      <c r="V25" s="720"/>
      <c r="W25" s="721"/>
      <c r="X25" s="721"/>
      <c r="Y25" s="721"/>
      <c r="Z25" s="722"/>
      <c r="AA25" s="721"/>
      <c r="AB25" s="721"/>
      <c r="AC25" s="721"/>
      <c r="AD25" s="721"/>
      <c r="AE25" s="722"/>
      <c r="AF25" s="721"/>
      <c r="AG25" s="721"/>
      <c r="AH25" s="721"/>
      <c r="AI25" s="721"/>
      <c r="AJ25" s="722"/>
      <c r="AK25" s="721"/>
      <c r="AL25" s="721"/>
      <c r="AM25" s="721"/>
      <c r="AN25" s="721"/>
      <c r="AO25" s="723"/>
      <c r="AP25" s="721"/>
      <c r="AQ25" s="721"/>
      <c r="AR25" s="721"/>
      <c r="AS25" s="721"/>
      <c r="AT25" s="723"/>
      <c r="AU25" s="721"/>
      <c r="AV25" s="721"/>
      <c r="AW25" s="721"/>
      <c r="AX25" s="721"/>
      <c r="AY25" s="723"/>
      <c r="AZ25" s="721"/>
      <c r="BA25" s="721"/>
      <c r="BB25" s="721"/>
      <c r="BC25" s="721"/>
      <c r="BD25" s="723"/>
      <c r="BE25" s="721"/>
      <c r="BF25" s="721"/>
      <c r="BG25" s="721"/>
      <c r="BH25" s="721"/>
      <c r="BI25" s="723"/>
      <c r="BJ25" s="721"/>
      <c r="BK25" s="721"/>
      <c r="BL25" s="721"/>
      <c r="BM25" s="721"/>
      <c r="BN25" s="723"/>
      <c r="BO25" s="721"/>
      <c r="BP25" s="721"/>
      <c r="BQ25" s="721"/>
      <c r="BR25" s="721"/>
      <c r="BS25" s="723"/>
      <c r="BT25" s="721"/>
      <c r="BU25" s="721"/>
      <c r="BV25" s="721"/>
      <c r="BW25" s="721"/>
      <c r="BX25" s="723"/>
      <c r="BY25" s="721"/>
      <c r="BZ25" s="721"/>
      <c r="CA25" s="721"/>
      <c r="CB25" s="721"/>
      <c r="CC25" s="723"/>
      <c r="CD25" s="721"/>
      <c r="CE25" s="721"/>
      <c r="CF25" s="721"/>
      <c r="CG25" s="721"/>
      <c r="CH25" s="723"/>
      <c r="CI25" s="721"/>
      <c r="CJ25" s="721"/>
      <c r="CK25" s="721"/>
      <c r="CL25" s="721"/>
      <c r="CM25" s="723"/>
      <c r="CN25" s="721"/>
      <c r="CO25" s="721"/>
      <c r="CP25" s="721"/>
      <c r="CQ25" s="721"/>
      <c r="CR25" s="723"/>
      <c r="CT25" s="723"/>
      <c r="CU25" s="723"/>
      <c r="CW25" s="725"/>
      <c r="CX25" s="725"/>
      <c r="CY25" s="725"/>
      <c r="CZ25" s="725"/>
      <c r="DA25" s="725"/>
      <c r="DB25" s="725"/>
      <c r="DC25" s="725"/>
      <c r="DD25" s="725"/>
      <c r="DE25" s="725"/>
      <c r="DF25" s="725"/>
      <c r="DG25" s="725"/>
      <c r="DH25" s="725"/>
      <c r="DI25" s="725"/>
    </row>
    <row r="26" spans="1:113" ht="12" customHeight="1" collapsed="1">
      <c r="A26" s="750" t="s">
        <v>889</v>
      </c>
      <c r="B26" s="720"/>
      <c r="C26" s="721"/>
      <c r="D26" s="721"/>
      <c r="E26" s="721"/>
      <c r="F26" s="722"/>
      <c r="G26" s="720"/>
      <c r="H26" s="721"/>
      <c r="I26" s="721"/>
      <c r="J26" s="721"/>
      <c r="K26" s="722"/>
      <c r="L26" s="721"/>
      <c r="M26" s="721"/>
      <c r="N26" s="721"/>
      <c r="O26" s="721"/>
      <c r="P26" s="722"/>
      <c r="Q26" s="720"/>
      <c r="R26" s="721"/>
      <c r="S26" s="721"/>
      <c r="T26" s="721"/>
      <c r="U26" s="722"/>
      <c r="V26" s="720"/>
      <c r="W26" s="721"/>
      <c r="X26" s="721"/>
      <c r="Y26" s="721"/>
      <c r="Z26" s="722"/>
      <c r="AA26" s="721"/>
      <c r="AB26" s="721"/>
      <c r="AC26" s="721"/>
      <c r="AD26" s="721"/>
      <c r="AE26" s="722"/>
      <c r="AF26" s="721"/>
      <c r="AG26" s="721"/>
      <c r="AH26" s="721"/>
      <c r="AI26" s="721"/>
      <c r="AJ26" s="722"/>
      <c r="AK26" s="721"/>
      <c r="AL26" s="721"/>
      <c r="AM26" s="721"/>
      <c r="AN26" s="721"/>
      <c r="AO26" s="723"/>
      <c r="AP26" s="721"/>
      <c r="AQ26" s="721"/>
      <c r="AR26" s="721"/>
      <c r="AS26" s="721"/>
      <c r="AT26" s="723"/>
      <c r="AU26" s="751">
        <f>+AU11-AU29</f>
        <v>0</v>
      </c>
      <c r="AV26" s="751">
        <f>+AV11-AV29</f>
        <v>0</v>
      </c>
      <c r="AW26" s="751">
        <f>+AW11-AW29</f>
        <v>0</v>
      </c>
      <c r="AX26" s="751">
        <f>+AX11-AX29</f>
        <v>7.7969999999999686</v>
      </c>
      <c r="AY26" s="752">
        <f>+SUM(AU26:AX26)</f>
        <v>7.7969999999999686</v>
      </c>
      <c r="AZ26" s="751">
        <f>+AZ11-AZ29</f>
        <v>22.501999999999995</v>
      </c>
      <c r="BA26" s="751">
        <f>+BA11-BA29</f>
        <v>14.203000000000003</v>
      </c>
      <c r="BB26" s="751">
        <f>+BB11-BB29</f>
        <v>10.393999999999977</v>
      </c>
      <c r="BC26" s="751">
        <f>+BC11-BC29</f>
        <v>6.4650000000000887</v>
      </c>
      <c r="BD26" s="752">
        <f>+SUM(AZ26:BC26)</f>
        <v>53.564000000000064</v>
      </c>
      <c r="BE26" s="751">
        <f>+BE11-BE29</f>
        <v>0</v>
      </c>
      <c r="BF26" s="751">
        <f>+BF11-BF29</f>
        <v>0</v>
      </c>
      <c r="BG26" s="751">
        <f>+BG11-BG29</f>
        <v>0</v>
      </c>
      <c r="BH26" s="751">
        <f>+BH11-BH29</f>
        <v>0</v>
      </c>
      <c r="BI26" s="752">
        <f>+SUM(BE26:BH26)</f>
        <v>0</v>
      </c>
      <c r="BJ26" s="751">
        <f>+BJ11-BJ29</f>
        <v>0</v>
      </c>
      <c r="BK26" s="751">
        <f>+BK11-BK29</f>
        <v>0</v>
      </c>
      <c r="BL26" s="751">
        <f>+BL11-BL29</f>
        <v>0</v>
      </c>
      <c r="BM26" s="751">
        <f>+BM11-BM29</f>
        <v>0</v>
      </c>
      <c r="BN26" s="752">
        <f>+SUM(BJ26:BM26)</f>
        <v>0</v>
      </c>
      <c r="BO26" s="751">
        <f>+BO11-BO29</f>
        <v>0</v>
      </c>
      <c r="BP26" s="751">
        <f>+BP11-BP29</f>
        <v>0</v>
      </c>
      <c r="BQ26" s="751">
        <f>+BQ11-BQ29</f>
        <v>0</v>
      </c>
      <c r="BR26" s="751">
        <f>+BR11-BR29</f>
        <v>0</v>
      </c>
      <c r="BS26" s="752">
        <f>+SUM(BO26:BR26)</f>
        <v>0</v>
      </c>
      <c r="BT26" s="751">
        <f>+BT11-BT29</f>
        <v>0</v>
      </c>
      <c r="BU26" s="751">
        <f>+BU11-BU29</f>
        <v>0</v>
      </c>
      <c r="BV26" s="751">
        <f>+BV11-BV29</f>
        <v>0</v>
      </c>
      <c r="BW26" s="751">
        <f>+BW11-BW29</f>
        <v>0</v>
      </c>
      <c r="BX26" s="752">
        <f>+SUM(BT26:BW26)</f>
        <v>0</v>
      </c>
      <c r="BY26" s="751">
        <f>+BY11-BY29</f>
        <v>0</v>
      </c>
      <c r="BZ26" s="751">
        <f>+BZ11-BZ29</f>
        <v>0</v>
      </c>
      <c r="CA26" s="751">
        <f>+CA11-CA29</f>
        <v>0</v>
      </c>
      <c r="CB26" s="751">
        <f>+CB11-CB29</f>
        <v>0</v>
      </c>
      <c r="CC26" s="752">
        <f>+SUM(BY26:CB26)</f>
        <v>0</v>
      </c>
      <c r="CD26" s="751">
        <f>+CD11-CD29</f>
        <v>0</v>
      </c>
      <c r="CE26" s="751">
        <f>+CE11-CE29</f>
        <v>0</v>
      </c>
      <c r="CF26" s="751">
        <f>+CF11-CF29</f>
        <v>0</v>
      </c>
      <c r="CG26" s="751">
        <f>+CG11-CG29</f>
        <v>0</v>
      </c>
      <c r="CH26" s="752">
        <f>+SUM(CD26:CG26)</f>
        <v>0</v>
      </c>
      <c r="CI26" s="751">
        <f>+CI11-CI29</f>
        <v>0</v>
      </c>
      <c r="CJ26" s="751">
        <f>+CJ11-CJ29</f>
        <v>0</v>
      </c>
      <c r="CK26" s="751">
        <f>+CK11-CK29</f>
        <v>0</v>
      </c>
      <c r="CL26" s="751">
        <f>+CL11-CL29</f>
        <v>0</v>
      </c>
      <c r="CM26" s="752">
        <f>+SUM(CI26:CL26)</f>
        <v>0</v>
      </c>
      <c r="CN26" s="751">
        <f>+CN11-CN29</f>
        <v>0</v>
      </c>
      <c r="CO26" s="751">
        <f>+CO11-CO29</f>
        <v>0</v>
      </c>
      <c r="CP26" s="751">
        <f>+CP11-CP29</f>
        <v>0</v>
      </c>
      <c r="CQ26" s="751">
        <f>+CQ11-CQ29</f>
        <v>0</v>
      </c>
      <c r="CR26" s="752">
        <f>+SUM(CN26:CQ26)</f>
        <v>0</v>
      </c>
      <c r="CT26" s="723"/>
      <c r="CU26" s="723"/>
      <c r="CW26" s="725"/>
      <c r="CX26" s="725"/>
      <c r="CY26" s="725"/>
      <c r="CZ26" s="725"/>
      <c r="DA26" s="725"/>
      <c r="DB26" s="725"/>
      <c r="DC26" s="725"/>
      <c r="DD26" s="725"/>
      <c r="DE26" s="725"/>
      <c r="DF26" s="725"/>
      <c r="DG26" s="725"/>
      <c r="DH26" s="725"/>
      <c r="DI26" s="725"/>
    </row>
    <row r="27" spans="1:113" ht="12" customHeight="1">
      <c r="A27" s="753" t="s">
        <v>890</v>
      </c>
      <c r="B27" s="720"/>
      <c r="C27" s="721"/>
      <c r="D27" s="721"/>
      <c r="E27" s="721"/>
      <c r="F27" s="722"/>
      <c r="G27" s="720"/>
      <c r="H27" s="721"/>
      <c r="I27" s="721"/>
      <c r="J27" s="721"/>
      <c r="K27" s="722"/>
      <c r="L27" s="721"/>
      <c r="M27" s="721"/>
      <c r="N27" s="721"/>
      <c r="O27" s="721"/>
      <c r="P27" s="722"/>
      <c r="Q27" s="720"/>
      <c r="R27" s="721"/>
      <c r="S27" s="721"/>
      <c r="T27" s="721"/>
      <c r="U27" s="722"/>
      <c r="V27" s="720"/>
      <c r="W27" s="721"/>
      <c r="X27" s="721"/>
      <c r="Y27" s="721"/>
      <c r="Z27" s="722"/>
      <c r="AA27" s="721"/>
      <c r="AB27" s="721"/>
      <c r="AC27" s="721"/>
      <c r="AD27" s="721"/>
      <c r="AE27" s="722"/>
      <c r="AF27" s="721"/>
      <c r="AG27" s="721"/>
      <c r="AH27" s="721"/>
      <c r="AI27" s="721"/>
      <c r="AJ27" s="722"/>
      <c r="AK27" s="721"/>
      <c r="AL27" s="721"/>
      <c r="AM27" s="721"/>
      <c r="AN27" s="721"/>
      <c r="AO27" s="723"/>
      <c r="AP27" s="721"/>
      <c r="AQ27" s="721"/>
      <c r="AR27" s="721"/>
      <c r="AS27" s="721"/>
      <c r="AT27" s="723"/>
      <c r="AU27" s="721"/>
      <c r="AV27" s="721"/>
      <c r="AW27" s="721"/>
      <c r="AX27" s="721"/>
      <c r="AY27" s="723"/>
      <c r="AZ27" s="721"/>
      <c r="BA27" s="721"/>
      <c r="BB27" s="721"/>
      <c r="BC27" s="721"/>
      <c r="BD27" s="723"/>
      <c r="BE27" s="721"/>
      <c r="BF27" s="721"/>
      <c r="BG27" s="721"/>
      <c r="BH27" s="721"/>
      <c r="BI27" s="723"/>
      <c r="BJ27" s="721"/>
      <c r="BK27" s="721"/>
      <c r="BL27" s="721"/>
      <c r="BM27" s="721"/>
      <c r="BN27" s="723"/>
      <c r="BO27" s="721"/>
      <c r="BP27" s="721"/>
      <c r="BQ27" s="721"/>
      <c r="BR27" s="721"/>
      <c r="BS27" s="723"/>
      <c r="BT27" s="721"/>
      <c r="BU27" s="721"/>
      <c r="BV27" s="721"/>
      <c r="BW27" s="721"/>
      <c r="BX27" s="723"/>
      <c r="BY27" s="721"/>
      <c r="BZ27" s="721"/>
      <c r="CA27" s="721"/>
      <c r="CB27" s="721"/>
      <c r="CC27" s="723"/>
      <c r="CD27" s="721"/>
      <c r="CE27" s="721"/>
      <c r="CF27" s="721"/>
      <c r="CG27" s="721"/>
      <c r="CH27" s="723"/>
      <c r="CI27" s="721"/>
      <c r="CJ27" s="721"/>
      <c r="CK27" s="721"/>
      <c r="CL27" s="721"/>
      <c r="CM27" s="723"/>
      <c r="CN27" s="721"/>
      <c r="CO27" s="721"/>
      <c r="CP27" s="721"/>
      <c r="CQ27" s="721"/>
      <c r="CR27" s="723"/>
      <c r="CT27" s="723"/>
      <c r="CU27" s="723"/>
      <c r="CW27" s="725"/>
      <c r="CX27" s="725"/>
      <c r="CY27" s="725"/>
      <c r="CZ27" s="725"/>
      <c r="DA27" s="725"/>
      <c r="DB27" s="725"/>
      <c r="DC27" s="725"/>
      <c r="DD27" s="725"/>
      <c r="DE27" s="725"/>
      <c r="DF27" s="725"/>
      <c r="DG27" s="725"/>
      <c r="DH27" s="725"/>
      <c r="DI27" s="725"/>
    </row>
    <row r="28" spans="1:113" ht="12" customHeight="1">
      <c r="A28" s="719"/>
      <c r="B28" s="720"/>
      <c r="C28" s="721"/>
      <c r="D28" s="721"/>
      <c r="E28" s="721"/>
      <c r="F28" s="722"/>
      <c r="G28" s="720"/>
      <c r="H28" s="721"/>
      <c r="I28" s="721"/>
      <c r="J28" s="721"/>
      <c r="K28" s="722"/>
      <c r="L28" s="721"/>
      <c r="M28" s="721"/>
      <c r="N28" s="721"/>
      <c r="O28" s="721"/>
      <c r="P28" s="722"/>
      <c r="Q28" s="720"/>
      <c r="R28" s="721"/>
      <c r="S28" s="721"/>
      <c r="T28" s="721"/>
      <c r="U28" s="722"/>
      <c r="V28" s="720"/>
      <c r="W28" s="721"/>
      <c r="X28" s="721"/>
      <c r="Y28" s="721"/>
      <c r="Z28" s="722"/>
      <c r="AA28" s="721"/>
      <c r="AB28" s="721"/>
      <c r="AC28" s="721"/>
      <c r="AD28" s="721"/>
      <c r="AE28" s="722"/>
      <c r="AF28" s="721"/>
      <c r="AG28" s="721"/>
      <c r="AH28" s="721"/>
      <c r="AI28" s="721"/>
      <c r="AJ28" s="722"/>
      <c r="AK28" s="721"/>
      <c r="AL28" s="721"/>
      <c r="AM28" s="721"/>
      <c r="AN28" s="721"/>
      <c r="AO28" s="723"/>
      <c r="AP28" s="721"/>
      <c r="AQ28" s="721"/>
      <c r="AR28" s="754"/>
      <c r="AS28" s="721"/>
      <c r="AT28" s="723"/>
      <c r="AU28" s="754"/>
      <c r="AV28" s="721"/>
      <c r="AW28" s="721"/>
      <c r="AX28" s="721"/>
      <c r="AY28" s="723"/>
      <c r="AZ28" s="721"/>
      <c r="BA28" s="721"/>
      <c r="BB28" s="721"/>
      <c r="BC28" s="721"/>
      <c r="BD28" s="723"/>
      <c r="BE28" s="721"/>
      <c r="BF28" s="721"/>
      <c r="BG28" s="721"/>
      <c r="BH28" s="721"/>
      <c r="BI28" s="723"/>
      <c r="BJ28" s="721"/>
      <c r="BK28" s="721"/>
      <c r="BL28" s="721"/>
      <c r="BM28" s="721"/>
      <c r="BN28" s="723"/>
      <c r="BO28" s="721"/>
      <c r="BP28" s="721"/>
      <c r="BQ28" s="721"/>
      <c r="BR28" s="721"/>
      <c r="BS28" s="723"/>
      <c r="BT28" s="721"/>
      <c r="BU28" s="721"/>
      <c r="BV28" s="721"/>
      <c r="BW28" s="721"/>
      <c r="BX28" s="723"/>
      <c r="BY28" s="721"/>
      <c r="BZ28" s="721"/>
      <c r="CA28" s="721"/>
      <c r="CB28" s="721"/>
      <c r="CC28" s="723"/>
      <c r="CD28" s="721"/>
      <c r="CE28" s="721"/>
      <c r="CF28" s="721"/>
      <c r="CG28" s="721"/>
      <c r="CH28" s="723"/>
      <c r="CI28" s="721"/>
      <c r="CJ28" s="721"/>
      <c r="CK28" s="721"/>
      <c r="CL28" s="721"/>
      <c r="CM28" s="723"/>
      <c r="CN28" s="721"/>
      <c r="CO28" s="721"/>
      <c r="CP28" s="721"/>
      <c r="CQ28" s="721"/>
      <c r="CR28" s="723"/>
      <c r="CT28" s="723"/>
      <c r="CU28" s="723"/>
      <c r="CW28" s="725"/>
      <c r="CX28" s="725"/>
      <c r="CY28" s="725"/>
      <c r="CZ28" s="725"/>
      <c r="DA28" s="725"/>
      <c r="DB28" s="725"/>
      <c r="DC28" s="725"/>
      <c r="DD28" s="725"/>
      <c r="DE28" s="725"/>
      <c r="DF28" s="725"/>
      <c r="DG28" s="725"/>
      <c r="DH28" s="725"/>
      <c r="DI28" s="725"/>
    </row>
    <row r="29" spans="1:113" ht="12" customHeight="1">
      <c r="A29" s="726" t="s">
        <v>891</v>
      </c>
      <c r="B29" s="687"/>
      <c r="C29" s="731"/>
      <c r="D29" s="731"/>
      <c r="E29" s="731"/>
      <c r="F29" s="736"/>
      <c r="G29" s="687"/>
      <c r="H29" s="687"/>
      <c r="I29" s="687"/>
      <c r="J29" s="687"/>
      <c r="K29" s="736"/>
      <c r="L29" s="731"/>
      <c r="M29" s="731"/>
      <c r="N29" s="731"/>
      <c r="O29" s="731"/>
      <c r="P29" s="736"/>
      <c r="Q29" s="687"/>
      <c r="R29" s="731"/>
      <c r="S29" s="731"/>
      <c r="T29" s="731"/>
      <c r="U29" s="736"/>
      <c r="V29" s="687"/>
      <c r="W29" s="731"/>
      <c r="X29" s="731"/>
      <c r="Y29" s="731"/>
      <c r="Z29" s="736"/>
      <c r="AA29" s="687"/>
      <c r="AB29" s="731"/>
      <c r="AC29" s="731"/>
      <c r="AD29" s="731"/>
      <c r="AE29" s="736"/>
      <c r="AF29" s="731"/>
      <c r="AG29" s="731"/>
      <c r="AH29" s="731"/>
      <c r="AI29" s="731"/>
      <c r="AJ29" s="736"/>
      <c r="AK29" s="731"/>
      <c r="AL29" s="731"/>
      <c r="AM29" s="731"/>
      <c r="AN29" s="731"/>
      <c r="AO29" s="729">
        <f t="shared" ref="AO29:CR29" si="11">+SUM(AO43,AO49)</f>
        <v>201.20699999999999</v>
      </c>
      <c r="AP29" s="731">
        <f t="shared" si="11"/>
        <v>62.4</v>
      </c>
      <c r="AQ29" s="731">
        <f t="shared" si="11"/>
        <v>75.400000000000006</v>
      </c>
      <c r="AR29" s="731">
        <f>+SUM(AR43,AR49)</f>
        <v>83.128</v>
      </c>
      <c r="AS29" s="731">
        <f t="shared" si="11"/>
        <v>84.174000000000007</v>
      </c>
      <c r="AT29" s="729">
        <f t="shared" si="11"/>
        <v>305.10199999999998</v>
      </c>
      <c r="AU29" s="731">
        <f t="shared" si="11"/>
        <v>83.124000000000009</v>
      </c>
      <c r="AV29" s="731">
        <f t="shared" si="11"/>
        <v>81.816999999999993</v>
      </c>
      <c r="AW29" s="731">
        <f t="shared" si="11"/>
        <v>84.080999999999989</v>
      </c>
      <c r="AX29" s="731">
        <f t="shared" si="11"/>
        <v>80.990000000000009</v>
      </c>
      <c r="AY29" s="729">
        <f t="shared" si="11"/>
        <v>330.012</v>
      </c>
      <c r="AZ29" s="731">
        <f t="shared" si="11"/>
        <v>66.326999999999998</v>
      </c>
      <c r="BA29" s="731">
        <f t="shared" si="11"/>
        <v>78.078999999999994</v>
      </c>
      <c r="BB29" s="731">
        <f t="shared" si="11"/>
        <v>137.00200000000001</v>
      </c>
      <c r="BC29" s="731">
        <f t="shared" si="11"/>
        <v>144.15299999999996</v>
      </c>
      <c r="BD29" s="729">
        <f t="shared" si="11"/>
        <v>425.56099999999998</v>
      </c>
      <c r="BE29" s="731">
        <f t="shared" si="11"/>
        <v>160.381</v>
      </c>
      <c r="BF29" s="731">
        <f t="shared" si="11"/>
        <v>160.67600000000002</v>
      </c>
      <c r="BG29" s="731">
        <f t="shared" si="11"/>
        <v>164.89299999999997</v>
      </c>
      <c r="BH29" s="731">
        <f t="shared" si="11"/>
        <v>166.26500000000001</v>
      </c>
      <c r="BI29" s="729">
        <f t="shared" si="11"/>
        <v>652.21500000000003</v>
      </c>
      <c r="BJ29" s="731">
        <f t="shared" si="11"/>
        <v>160.12</v>
      </c>
      <c r="BK29" s="731">
        <f t="shared" si="11"/>
        <v>158.488</v>
      </c>
      <c r="BL29" s="731">
        <f t="shared" si="11"/>
        <v>157.49700000000001</v>
      </c>
      <c r="BM29" s="731">
        <f t="shared" si="11"/>
        <v>158.44899999999998</v>
      </c>
      <c r="BN29" s="729">
        <f t="shared" si="11"/>
        <v>634.55400000000009</v>
      </c>
      <c r="BO29" s="731">
        <f>+SUM(BO43,BO49)</f>
        <v>151.16300000000001</v>
      </c>
      <c r="BP29" s="731">
        <f t="shared" ref="BP29:BR29" si="12">+SUM(BP43,BP49)</f>
        <v>152.19200000000001</v>
      </c>
      <c r="BQ29" s="731">
        <f t="shared" si="12"/>
        <v>151.655</v>
      </c>
      <c r="BR29" s="731">
        <f t="shared" si="12"/>
        <v>152.678</v>
      </c>
      <c r="BS29" s="729">
        <f t="shared" si="11"/>
        <v>607.68799999999999</v>
      </c>
      <c r="BT29" s="731">
        <f>+SUM(BT43,BT49)</f>
        <v>152.61000000000001</v>
      </c>
      <c r="BU29" s="731">
        <f t="shared" si="11"/>
        <v>150.51875516000001</v>
      </c>
      <c r="BV29" s="731">
        <f t="shared" si="11"/>
        <v>151.495406</v>
      </c>
      <c r="BW29" s="731">
        <f t="shared" si="11"/>
        <v>154.08441999999999</v>
      </c>
      <c r="BX29" s="729">
        <f t="shared" si="11"/>
        <v>608.70858115999999</v>
      </c>
      <c r="BY29" s="731">
        <f t="shared" si="11"/>
        <v>156.05559426000002</v>
      </c>
      <c r="BZ29" s="731">
        <f t="shared" si="11"/>
        <v>153.13629280360004</v>
      </c>
      <c r="CA29" s="731">
        <f t="shared" si="11"/>
        <v>155.31941563999999</v>
      </c>
      <c r="CB29" s="731">
        <f t="shared" si="11"/>
        <v>158.67039999999997</v>
      </c>
      <c r="CC29" s="729">
        <f t="shared" si="11"/>
        <v>623.18170270360008</v>
      </c>
      <c r="CD29" s="731">
        <f t="shared" si="11"/>
        <v>165.07653801180001</v>
      </c>
      <c r="CE29" s="731">
        <f t="shared" si="11"/>
        <v>158.84644870850806</v>
      </c>
      <c r="CF29" s="731">
        <f t="shared" si="11"/>
        <v>161.61900578919997</v>
      </c>
      <c r="CG29" s="731">
        <f t="shared" si="11"/>
        <v>165.12380359999997</v>
      </c>
      <c r="CH29" s="729">
        <f t="shared" si="11"/>
        <v>650.66579610950805</v>
      </c>
      <c r="CI29" s="731">
        <f t="shared" si="11"/>
        <v>175.07427346475401</v>
      </c>
      <c r="CJ29" s="731">
        <f t="shared" si="11"/>
        <v>164.94905810668337</v>
      </c>
      <c r="CK29" s="731">
        <f t="shared" si="11"/>
        <v>168.40696777487599</v>
      </c>
      <c r="CL29" s="731">
        <f t="shared" si="11"/>
        <v>172.07880222399999</v>
      </c>
      <c r="CM29" s="729">
        <f t="shared" si="11"/>
        <v>680.50910157031342</v>
      </c>
      <c r="CN29" s="731">
        <f t="shared" si="11"/>
        <v>185.79723784952475</v>
      </c>
      <c r="CO29" s="731">
        <f t="shared" si="11"/>
        <v>171.12617711115772</v>
      </c>
      <c r="CP29" s="731">
        <f t="shared" si="11"/>
        <v>175.74339420172228</v>
      </c>
      <c r="CQ29" s="731">
        <f t="shared" si="11"/>
        <v>179.59718265188002</v>
      </c>
      <c r="CR29" s="729">
        <f t="shared" si="11"/>
        <v>712.26399181428474</v>
      </c>
      <c r="CT29" s="732">
        <f>+(CC29/BN29)^(0.333333333333333)-1</f>
        <v>-6.0099528872722408E-3</v>
      </c>
      <c r="CU29" s="732">
        <f>+(CM29/BN29)^(0.2)-1</f>
        <v>1.4081991515477066E-2</v>
      </c>
      <c r="CW29" s="725">
        <f>+AJ29-SUM(AF29:AI29)</f>
        <v>0</v>
      </c>
      <c r="CX29" s="725">
        <f>+AO29-SUM(AK29:AN29)</f>
        <v>201.20699999999999</v>
      </c>
      <c r="CY29" s="725">
        <f>+AT29-SUM(AP29:AS29)</f>
        <v>0</v>
      </c>
      <c r="CZ29" s="725">
        <f>+AY29-SUM(AU29:AX29)</f>
        <v>0</v>
      </c>
      <c r="DA29" s="725">
        <f>+BD29-SUM(AZ29:BC29)</f>
        <v>0</v>
      </c>
      <c r="DB29" s="725">
        <f>+BI29-SUM(BE29:BH29)</f>
        <v>0</v>
      </c>
      <c r="DC29" s="725">
        <f>+BN29-SUM(BJ29:BM29)</f>
        <v>0</v>
      </c>
      <c r="DD29" s="725">
        <f>+BS29-SUM(BO29:BR29)</f>
        <v>0</v>
      </c>
      <c r="DE29" s="725">
        <f>+BX29-SUM(BT29:BW29)</f>
        <v>0</v>
      </c>
      <c r="DF29" s="725">
        <f>+CC29-SUM(BY29:CB29)</f>
        <v>0</v>
      </c>
      <c r="DG29" s="725">
        <f>+CH29-SUM(CD29:CG29)</f>
        <v>0</v>
      </c>
      <c r="DH29" s="725">
        <f>+CM29-SUM(CI29:CL29)</f>
        <v>0</v>
      </c>
      <c r="DI29" s="725">
        <f>+CR29-SUM(CN29:CQ29)</f>
        <v>0</v>
      </c>
    </row>
    <row r="30" spans="1:113" ht="12" customHeight="1">
      <c r="A30" s="733" t="s">
        <v>881</v>
      </c>
      <c r="B30" s="687"/>
      <c r="C30" s="731"/>
      <c r="D30" s="731"/>
      <c r="E30" s="731"/>
      <c r="F30" s="736"/>
      <c r="G30" s="687"/>
      <c r="H30" s="731"/>
      <c r="I30" s="731"/>
      <c r="J30" s="731"/>
      <c r="K30" s="736"/>
      <c r="L30" s="734"/>
      <c r="M30" s="734"/>
      <c r="N30" s="734"/>
      <c r="O30" s="734"/>
      <c r="P30" s="735"/>
      <c r="Q30" s="734"/>
      <c r="R30" s="734"/>
      <c r="S30" s="734"/>
      <c r="T30" s="734"/>
      <c r="U30" s="735"/>
      <c r="V30" s="734"/>
      <c r="W30" s="734"/>
      <c r="X30" s="734"/>
      <c r="Y30" s="734"/>
      <c r="Z30" s="735"/>
      <c r="AA30" s="734"/>
      <c r="AB30" s="734"/>
      <c r="AC30" s="734"/>
      <c r="AD30" s="734"/>
      <c r="AE30" s="735"/>
      <c r="AF30" s="734"/>
      <c r="AG30" s="734"/>
      <c r="AH30" s="734"/>
      <c r="AI30" s="734"/>
      <c r="AJ30" s="735"/>
      <c r="AK30" s="734"/>
      <c r="AL30" s="734"/>
      <c r="AM30" s="734"/>
      <c r="AN30" s="734"/>
      <c r="AO30" s="735"/>
      <c r="AP30" s="734"/>
      <c r="AQ30" s="734"/>
      <c r="AR30" s="734"/>
      <c r="AS30" s="734"/>
      <c r="AT30" s="735">
        <f>+AT29/AO29-1</f>
        <v>0.5163587747941174</v>
      </c>
      <c r="AU30" s="734">
        <f>+AU29/AP29-1</f>
        <v>0.33211538461538481</v>
      </c>
      <c r="AV30" s="734">
        <f>+AV29/AQ29-1</f>
        <v>8.5106100795755868E-2</v>
      </c>
      <c r="AW30" s="734">
        <f>+AW29/AR29-1</f>
        <v>1.1464247906842306E-2</v>
      </c>
      <c r="AX30" s="734">
        <f>+AX29/AS29-1</f>
        <v>-3.7826407204124779E-2</v>
      </c>
      <c r="AY30" s="735">
        <f t="shared" ref="AY30:CR30" si="13">+AY29/AT29-1</f>
        <v>8.16448269758967E-2</v>
      </c>
      <c r="AZ30" s="734">
        <f t="shared" si="13"/>
        <v>-0.20207160386891887</v>
      </c>
      <c r="BA30" s="734">
        <f t="shared" si="13"/>
        <v>-4.5687326594717526E-2</v>
      </c>
      <c r="BB30" s="734">
        <f t="shared" si="13"/>
        <v>0.62940497853260569</v>
      </c>
      <c r="BC30" s="734">
        <f t="shared" si="13"/>
        <v>0.77988640572910173</v>
      </c>
      <c r="BD30" s="735">
        <f t="shared" si="13"/>
        <v>0.28953189580984917</v>
      </c>
      <c r="BE30" s="734">
        <f t="shared" si="13"/>
        <v>1.4180348877531022</v>
      </c>
      <c r="BF30" s="734">
        <f t="shared" si="13"/>
        <v>1.0578644706002898</v>
      </c>
      <c r="BG30" s="734">
        <f t="shared" si="13"/>
        <v>0.20358096962088124</v>
      </c>
      <c r="BH30" s="734">
        <f t="shared" si="13"/>
        <v>0.15339257594361588</v>
      </c>
      <c r="BI30" s="735">
        <f t="shared" si="13"/>
        <v>0.53260049675604693</v>
      </c>
      <c r="BJ30" s="734">
        <f t="shared" si="13"/>
        <v>-1.627374813724769E-3</v>
      </c>
      <c r="BK30" s="734">
        <f t="shared" si="13"/>
        <v>-1.3617466205282813E-2</v>
      </c>
      <c r="BL30" s="734">
        <f t="shared" si="13"/>
        <v>-4.4853329128586195E-2</v>
      </c>
      <c r="BM30" s="734">
        <f t="shared" si="13"/>
        <v>-4.7009292394671331E-2</v>
      </c>
      <c r="BN30" s="735">
        <f t="shared" si="13"/>
        <v>-2.7078494054874502E-2</v>
      </c>
      <c r="BO30" s="734">
        <f t="shared" si="13"/>
        <v>-5.5939295528353639E-2</v>
      </c>
      <c r="BP30" s="734">
        <f t="shared" si="13"/>
        <v>-3.9725405077986942E-2</v>
      </c>
      <c r="BQ30" s="734">
        <f t="shared" si="13"/>
        <v>-3.7092770021016297E-2</v>
      </c>
      <c r="BR30" s="734">
        <f t="shared" si="13"/>
        <v>-3.642181395906563E-2</v>
      </c>
      <c r="BS30" s="735">
        <f t="shared" si="13"/>
        <v>-4.2338398308103153E-2</v>
      </c>
      <c r="BT30" s="734">
        <f t="shared" si="13"/>
        <v>9.5724482843024816E-3</v>
      </c>
      <c r="BU30" s="734">
        <f t="shared" si="13"/>
        <v>-1.0994302197224526E-2</v>
      </c>
      <c r="BV30" s="734">
        <f t="shared" si="13"/>
        <v>-1.0523490817975212E-3</v>
      </c>
      <c r="BW30" s="734">
        <f t="shared" si="13"/>
        <v>9.2116742425234488E-3</v>
      </c>
      <c r="BX30" s="735">
        <f t="shared" si="13"/>
        <v>1.6794492568554809E-3</v>
      </c>
      <c r="BY30" s="734">
        <f t="shared" si="13"/>
        <v>2.2577775113033161E-2</v>
      </c>
      <c r="BZ30" s="734">
        <f t="shared" si="13"/>
        <v>1.7390109563539813E-2</v>
      </c>
      <c r="CA30" s="734">
        <f t="shared" si="13"/>
        <v>2.524175313936583E-2</v>
      </c>
      <c r="CB30" s="734">
        <f t="shared" si="13"/>
        <v>2.9762775496704919E-2</v>
      </c>
      <c r="CC30" s="735">
        <f t="shared" si="13"/>
        <v>2.3776766077486577E-2</v>
      </c>
      <c r="CD30" s="734">
        <f t="shared" si="13"/>
        <v>5.7805962000762712E-2</v>
      </c>
      <c r="CE30" s="734">
        <f t="shared" si="13"/>
        <v>3.728806411835639E-2</v>
      </c>
      <c r="CF30" s="734">
        <f t="shared" si="13"/>
        <v>4.0558935425054621E-2</v>
      </c>
      <c r="CG30" s="734">
        <f t="shared" si="13"/>
        <v>4.0671754782240388E-2</v>
      </c>
      <c r="CH30" s="735">
        <f t="shared" si="13"/>
        <v>4.4102856817957781E-2</v>
      </c>
      <c r="CI30" s="734">
        <f t="shared" si="13"/>
        <v>6.0564242340964025E-2</v>
      </c>
      <c r="CJ30" s="734">
        <f t="shared" si="13"/>
        <v>3.8418292935046505E-2</v>
      </c>
      <c r="CK30" s="734">
        <f t="shared" si="13"/>
        <v>4.1999775660850114E-2</v>
      </c>
      <c r="CL30" s="734">
        <f t="shared" si="13"/>
        <v>4.211990320213288E-2</v>
      </c>
      <c r="CM30" s="735">
        <f t="shared" si="13"/>
        <v>4.5865797217628179E-2</v>
      </c>
      <c r="CN30" s="734">
        <f t="shared" si="13"/>
        <v>6.1248087297814724E-2</v>
      </c>
      <c r="CO30" s="734">
        <f t="shared" si="13"/>
        <v>3.7448646723882373E-2</v>
      </c>
      <c r="CP30" s="734">
        <f t="shared" si="13"/>
        <v>4.3563675088868825E-2</v>
      </c>
      <c r="CQ30" s="734">
        <f t="shared" si="13"/>
        <v>4.3691496748641478E-2</v>
      </c>
      <c r="CR30" s="735">
        <f t="shared" si="13"/>
        <v>4.6663432084442569E-2</v>
      </c>
      <c r="CT30" s="755"/>
      <c r="CU30" s="755"/>
      <c r="CW30" s="725"/>
      <c r="CX30" s="725"/>
      <c r="CY30" s="725"/>
      <c r="CZ30" s="725"/>
      <c r="DA30" s="725"/>
      <c r="DB30" s="725"/>
      <c r="DC30" s="725"/>
      <c r="DD30" s="725"/>
      <c r="DE30" s="725"/>
      <c r="DF30" s="725"/>
      <c r="DG30" s="725"/>
      <c r="DH30" s="725"/>
      <c r="DI30" s="725"/>
    </row>
    <row r="31" spans="1:113" ht="12" customHeight="1">
      <c r="A31" s="733" t="s">
        <v>883</v>
      </c>
      <c r="B31" s="687"/>
      <c r="C31" s="731"/>
      <c r="D31" s="731"/>
      <c r="E31" s="731"/>
      <c r="F31" s="736"/>
      <c r="G31" s="687"/>
      <c r="H31" s="734"/>
      <c r="I31" s="734"/>
      <c r="J31" s="734"/>
      <c r="K31" s="736"/>
      <c r="L31" s="734"/>
      <c r="M31" s="734"/>
      <c r="N31" s="734"/>
      <c r="O31" s="734"/>
      <c r="P31" s="736"/>
      <c r="Q31" s="734"/>
      <c r="R31" s="734"/>
      <c r="S31" s="734"/>
      <c r="T31" s="734"/>
      <c r="U31" s="736"/>
      <c r="V31" s="734"/>
      <c r="W31" s="734"/>
      <c r="X31" s="734"/>
      <c r="Y31" s="734"/>
      <c r="Z31" s="736"/>
      <c r="AA31" s="734"/>
      <c r="AB31" s="734"/>
      <c r="AC31" s="734"/>
      <c r="AD31" s="734"/>
      <c r="AE31" s="736"/>
      <c r="AF31" s="734"/>
      <c r="AG31" s="734"/>
      <c r="AH31" s="734"/>
      <c r="AI31" s="734"/>
      <c r="AJ31" s="736"/>
      <c r="AK31" s="734"/>
      <c r="AL31" s="734"/>
      <c r="AM31" s="734"/>
      <c r="AN31" s="734"/>
      <c r="AO31" s="736"/>
      <c r="AP31" s="734"/>
      <c r="AQ31" s="734">
        <f>+AQ29/AP29-1</f>
        <v>0.20833333333333348</v>
      </c>
      <c r="AR31" s="734">
        <f>+AR29/AQ29-1</f>
        <v>0.10249336870026515</v>
      </c>
      <c r="AS31" s="734">
        <f>+AS29/AR29-1</f>
        <v>1.2583004523145203E-2</v>
      </c>
      <c r="AT31" s="736"/>
      <c r="AU31" s="734">
        <f>+AU29/AS29-1</f>
        <v>-1.2474160667189316E-2</v>
      </c>
      <c r="AV31" s="734">
        <f>+AV29/AU29-1</f>
        <v>-1.5723497425533139E-2</v>
      </c>
      <c r="AW31" s="734">
        <f>+AW29/AV29-1</f>
        <v>2.767151081071173E-2</v>
      </c>
      <c r="AX31" s="734">
        <f>+AX29/AW29-1</f>
        <v>-3.6762169812442513E-2</v>
      </c>
      <c r="AY31" s="736"/>
      <c r="AZ31" s="734">
        <f>+AZ29/AX29-1</f>
        <v>-0.18104704284479578</v>
      </c>
      <c r="BA31" s="734">
        <f>+BA29/AZ29-1</f>
        <v>0.17718274609133533</v>
      </c>
      <c r="BB31" s="734">
        <f>+BB29/BA29-1</f>
        <v>0.75465874306791858</v>
      </c>
      <c r="BC31" s="734">
        <f>+BC29/BB29-1</f>
        <v>5.2196318301922284E-2</v>
      </c>
      <c r="BD31" s="736"/>
      <c r="BE31" s="734">
        <f>+BE29/BC29-1</f>
        <v>0.11257483368365584</v>
      </c>
      <c r="BF31" s="734">
        <f>+BF29/BE29-1</f>
        <v>1.8393700001870794E-3</v>
      </c>
      <c r="BG31" s="734">
        <f>+BG29/BF29-1</f>
        <v>2.6245363339888694E-2</v>
      </c>
      <c r="BH31" s="734">
        <f>+BH29/BG29-1</f>
        <v>8.3205472639835687E-3</v>
      </c>
      <c r="BI31" s="736"/>
      <c r="BJ31" s="734">
        <f>+BJ29/BH29-1</f>
        <v>-3.6959071361982399E-2</v>
      </c>
      <c r="BK31" s="734">
        <f>+BK29/BJ29-1</f>
        <v>-1.0192355733200098E-2</v>
      </c>
      <c r="BL31" s="734">
        <f>+BL29/BK29-1</f>
        <v>-6.2528393316843012E-3</v>
      </c>
      <c r="BM31" s="734">
        <f>+BM29/BL29-1</f>
        <v>6.0445595789124784E-3</v>
      </c>
      <c r="BN31" s="736"/>
      <c r="BO31" s="734">
        <f>+BO29/BM29-1</f>
        <v>-4.5983250130956832E-2</v>
      </c>
      <c r="BP31" s="734">
        <f>+BP29/BO29-1</f>
        <v>6.8072213438472584E-3</v>
      </c>
      <c r="BQ31" s="734">
        <f>+BQ29/BP29-1</f>
        <v>-3.5284377628259644E-3</v>
      </c>
      <c r="BR31" s="734">
        <f>+BR29/BQ29-1</f>
        <v>6.7455738353499051E-3</v>
      </c>
      <c r="BS31" s="736"/>
      <c r="BT31" s="734">
        <f>+BT29/BR29-1</f>
        <v>-4.453817838849794E-4</v>
      </c>
      <c r="BU31" s="734">
        <f>+BU29/BT29-1</f>
        <v>-1.3703196645042937E-2</v>
      </c>
      <c r="BV31" s="734">
        <f>+BV29/BU29-1</f>
        <v>6.4885657535622698E-3</v>
      </c>
      <c r="BW31" s="734">
        <f>+BW29/BV29-1</f>
        <v>1.7089719539086223E-2</v>
      </c>
      <c r="BX31" s="729"/>
      <c r="BY31" s="734">
        <f>+BY29/BW29-1</f>
        <v>1.2792820065779642E-2</v>
      </c>
      <c r="BZ31" s="734">
        <f>+BZ29/BY29-1</f>
        <v>-1.8706804265768318E-2</v>
      </c>
      <c r="CA31" s="734">
        <f>+CA29/BZ29-1</f>
        <v>1.4256077357180263E-2</v>
      </c>
      <c r="CB31" s="734">
        <f>+CB29/CA29-1</f>
        <v>2.1574793764141509E-2</v>
      </c>
      <c r="CC31" s="729"/>
      <c r="CD31" s="734">
        <f>+CD29/CB29-1</f>
        <v>4.0373869428702802E-2</v>
      </c>
      <c r="CE31" s="734">
        <f>+CE29/CD29-1</f>
        <v>-3.7740610375816108E-2</v>
      </c>
      <c r="CF31" s="734">
        <f>+CF29/CE29-1</f>
        <v>1.7454322103100273E-2</v>
      </c>
      <c r="CG31" s="734">
        <f>+CG29/CF29-1</f>
        <v>2.1685554824977249E-2</v>
      </c>
      <c r="CH31" s="729"/>
      <c r="CI31" s="734">
        <f>+CI29/CG29-1</f>
        <v>6.0260662895449624E-2</v>
      </c>
      <c r="CJ31" s="734">
        <f>+CJ29/CI29-1</f>
        <v>-5.7833827653204883E-2</v>
      </c>
      <c r="CK31" s="734">
        <f>+CK29/CJ29-1</f>
        <v>2.0963500536972823E-2</v>
      </c>
      <c r="CL31" s="734">
        <f>+CL29/CK29-1</f>
        <v>2.180334042966936E-2</v>
      </c>
      <c r="CM31" s="729"/>
      <c r="CN31" s="734">
        <f>+CN29/CL29-1</f>
        <v>7.9721821910795798E-2</v>
      </c>
      <c r="CO31" s="734">
        <f>+CO29/CN29-1</f>
        <v>-7.896274943682946E-2</v>
      </c>
      <c r="CP31" s="734">
        <f>+CP29/CO29-1</f>
        <v>2.6981360587313263E-2</v>
      </c>
      <c r="CQ31" s="734">
        <f>+CQ29/CP29-1</f>
        <v>2.1928496758940819E-2</v>
      </c>
      <c r="CR31" s="729"/>
      <c r="CT31" s="755"/>
      <c r="CU31" s="755"/>
      <c r="CW31" s="725"/>
      <c r="CX31" s="725"/>
      <c r="CY31" s="725"/>
      <c r="CZ31" s="725"/>
      <c r="DA31" s="725"/>
      <c r="DB31" s="725"/>
      <c r="DC31" s="725"/>
      <c r="DD31" s="725"/>
      <c r="DE31" s="725"/>
      <c r="DF31" s="725"/>
      <c r="DG31" s="725"/>
      <c r="DH31" s="725"/>
      <c r="DI31" s="725"/>
    </row>
    <row r="32" spans="1:113" ht="12" customHeight="1">
      <c r="A32" s="737" t="s">
        <v>884</v>
      </c>
      <c r="B32" s="687"/>
      <c r="C32" s="731"/>
      <c r="D32" s="731"/>
      <c r="E32" s="731"/>
      <c r="F32" s="736"/>
      <c r="G32" s="738"/>
      <c r="H32" s="738"/>
      <c r="I32" s="738"/>
      <c r="J32" s="738"/>
      <c r="K32" s="736"/>
      <c r="L32" s="738"/>
      <c r="M32" s="738"/>
      <c r="N32" s="738"/>
      <c r="O32" s="738"/>
      <c r="P32" s="736"/>
      <c r="Q32" s="738"/>
      <c r="R32" s="738"/>
      <c r="S32" s="738"/>
      <c r="T32" s="738"/>
      <c r="U32" s="736"/>
      <c r="V32" s="738"/>
      <c r="W32" s="738"/>
      <c r="X32" s="738"/>
      <c r="Y32" s="738"/>
      <c r="Z32" s="736"/>
      <c r="AA32" s="738"/>
      <c r="AB32" s="738"/>
      <c r="AC32" s="738"/>
      <c r="AD32" s="738"/>
      <c r="AE32" s="736"/>
      <c r="AF32" s="738"/>
      <c r="AG32" s="738"/>
      <c r="AH32" s="738"/>
      <c r="AI32" s="738"/>
      <c r="AJ32" s="736"/>
      <c r="AK32" s="738"/>
      <c r="AL32" s="738"/>
      <c r="AM32" s="738"/>
      <c r="AN32" s="738"/>
      <c r="AO32" s="729"/>
      <c r="AP32" s="738">
        <f>+AP29/SUM(AP29:AS29)</f>
        <v>0.20452176649120624</v>
      </c>
      <c r="AQ32" s="738">
        <f>+AQ29/SUM(AP29:AS29)</f>
        <v>0.2471304678435409</v>
      </c>
      <c r="AR32" s="738">
        <f>+AR29/SUM(AP29:AS29)</f>
        <v>0.27245970200129793</v>
      </c>
      <c r="AS32" s="738">
        <f>+AS29/SUM(AP29:AS29)</f>
        <v>0.27588806366395507</v>
      </c>
      <c r="AT32" s="729"/>
      <c r="AU32" s="738">
        <f>+AU29/SUM(AU29:AX29)</f>
        <v>0.25188174975455441</v>
      </c>
      <c r="AV32" s="738">
        <f>+AV29/SUM(AU29:AX29)</f>
        <v>0.24792128771074989</v>
      </c>
      <c r="AW32" s="738">
        <f>+AW29/SUM(AU29:AX29)</f>
        <v>0.25478164430384348</v>
      </c>
      <c r="AX32" s="738">
        <f>+AX29/SUM(AU29:AX29)</f>
        <v>0.24541531823085225</v>
      </c>
      <c r="AY32" s="729"/>
      <c r="AZ32" s="738">
        <f>+AZ29/SUM(AZ29:BC29)</f>
        <v>0.15585779711956688</v>
      </c>
      <c r="BA32" s="738">
        <f>+BA29/SUM(AZ29:BC29)</f>
        <v>0.18347310961295796</v>
      </c>
      <c r="BB32" s="738">
        <f>+BB29/SUM(AZ29:BC29)</f>
        <v>0.32193269590023527</v>
      </c>
      <c r="BC32" s="738">
        <f>+BC29/SUM(AZ29:BC29)</f>
        <v>0.33873639736723987</v>
      </c>
      <c r="BD32" s="729"/>
      <c r="BE32" s="738">
        <f>+BE29/SUM(BE29:BH29)</f>
        <v>0.24590204150471853</v>
      </c>
      <c r="BF32" s="738">
        <f>+BF29/SUM(BE29:BH29)</f>
        <v>0.24635434634284709</v>
      </c>
      <c r="BG32" s="738">
        <f>+BG29/SUM(BE29:BH29)</f>
        <v>0.25282000567297586</v>
      </c>
      <c r="BH32" s="738">
        <f>+BH29/SUM(BE29:BH29)</f>
        <v>0.2549236064794585</v>
      </c>
      <c r="BI32" s="729"/>
      <c r="BJ32" s="738">
        <f>+BJ29/SUM(BJ29:BM29)</f>
        <v>0.25233471067868141</v>
      </c>
      <c r="BK32" s="738">
        <f>+BK29/SUM(BJ29:BM29)</f>
        <v>0.24976282554361018</v>
      </c>
      <c r="BL32" s="738">
        <f>+BL29/SUM(BJ29:BM29)</f>
        <v>0.24820109872445847</v>
      </c>
      <c r="BM32" s="738">
        <f>+BM29/SUM(BJ29:BM29)</f>
        <v>0.24970136505325</v>
      </c>
      <c r="BN32" s="729"/>
      <c r="BO32" s="738">
        <f>+BO29/SUM(BO29:BR29)</f>
        <v>0.24875100380458395</v>
      </c>
      <c r="BP32" s="738">
        <f>+BP29/SUM(BO29:BR29)</f>
        <v>0.250444306946986</v>
      </c>
      <c r="BQ32" s="738">
        <f>+BQ29/SUM(BO29:BR29)</f>
        <v>0.24956062979686947</v>
      </c>
      <c r="BR32" s="738">
        <f>+BR29/SUM(BO29:BR29)</f>
        <v>0.2512440594515607</v>
      </c>
      <c r="BS32" s="729"/>
      <c r="BT32" s="738">
        <f>+BT29/SUM(BT29:BW29)</f>
        <v>0.25071110334796848</v>
      </c>
      <c r="BU32" s="738">
        <f>+BU29/SUM(BT29:BW29)</f>
        <v>0.24727555979769558</v>
      </c>
      <c r="BV32" s="738">
        <f>+BV29/SUM(BT29:BW29)</f>
        <v>0.24888002352669183</v>
      </c>
      <c r="BW32" s="738">
        <f>+BW29/SUM(BT29:BW29)</f>
        <v>0.25313331332764416</v>
      </c>
      <c r="BX32" s="729"/>
      <c r="BY32" s="738">
        <f>+BY29/SUM(BY29:CB29)</f>
        <v>0.2504174843115119</v>
      </c>
      <c r="BZ32" s="738">
        <f>+BZ29/SUM(BY29:CB29)</f>
        <v>0.24573297344777034</v>
      </c>
      <c r="CA32" s="738">
        <f>+CA29/SUM(BY29:CB29)</f>
        <v>0.24923616172645172</v>
      </c>
      <c r="CB32" s="738">
        <f>+CB29/SUM(BY29:CB29)</f>
        <v>0.25461338051426613</v>
      </c>
      <c r="CC32" s="729"/>
      <c r="CD32" s="738">
        <f>+CD29/SUM(CD29:CG29)</f>
        <v>0.25370403515727047</v>
      </c>
      <c r="CE32" s="738">
        <f>+CE29/SUM(CD29:CG29)</f>
        <v>0.24412909001562758</v>
      </c>
      <c r="CF32" s="738">
        <f>+CF29/SUM(CD29:CG29)</f>
        <v>0.2483901977874971</v>
      </c>
      <c r="CG32" s="738">
        <f>+CG29/SUM(CD29:CG29)</f>
        <v>0.25377667703960483</v>
      </c>
      <c r="CH32" s="729"/>
      <c r="CI32" s="738">
        <f>+CI29/SUM(CI29:CL29)</f>
        <v>0.25726955460369327</v>
      </c>
      <c r="CJ32" s="738">
        <f>+CJ29/SUM(CI29:CL29)</f>
        <v>0.24239067152232652</v>
      </c>
      <c r="CK32" s="738">
        <f>+CK29/SUM(CI29:CL29)</f>
        <v>0.24747202849494201</v>
      </c>
      <c r="CL32" s="738">
        <f>+CL29/SUM(CI29:CL29)</f>
        <v>0.25286774537903811</v>
      </c>
      <c r="CM32" s="729"/>
      <c r="CN32" s="738">
        <f>+CN29/SUM(CN29:CQ29)</f>
        <v>0.26085445843788968</v>
      </c>
      <c r="CO32" s="738">
        <f>+CO29/SUM(CN29:CQ29)</f>
        <v>0.24025667319677876</v>
      </c>
      <c r="CP32" s="738">
        <f>+CP29/SUM(CN29:CQ29)</f>
        <v>0.24673912512980931</v>
      </c>
      <c r="CQ32" s="738">
        <f>+CQ29/SUM(CN29:CQ29)</f>
        <v>0.25214974323552225</v>
      </c>
      <c r="CR32" s="729"/>
      <c r="CT32" s="755"/>
      <c r="CU32" s="755"/>
      <c r="CW32" s="725"/>
      <c r="CX32" s="725"/>
      <c r="CY32" s="725"/>
      <c r="CZ32" s="725"/>
      <c r="DA32" s="725"/>
      <c r="DB32" s="725"/>
      <c r="DC32" s="725"/>
      <c r="DD32" s="725"/>
      <c r="DE32" s="725"/>
      <c r="DF32" s="725"/>
      <c r="DG32" s="725"/>
      <c r="DH32" s="725"/>
      <c r="DI32" s="725"/>
    </row>
    <row r="33" spans="1:113" ht="12" customHeight="1">
      <c r="A33" s="726"/>
      <c r="B33" s="687"/>
      <c r="C33" s="731"/>
      <c r="D33" s="731"/>
      <c r="E33" s="731"/>
      <c r="F33" s="736"/>
      <c r="G33" s="687"/>
      <c r="H33" s="731"/>
      <c r="I33" s="731"/>
      <c r="J33" s="731"/>
      <c r="K33" s="736"/>
      <c r="L33" s="731"/>
      <c r="M33" s="731"/>
      <c r="N33" s="731"/>
      <c r="O33" s="731"/>
      <c r="P33" s="736"/>
      <c r="Q33" s="687"/>
      <c r="R33" s="731"/>
      <c r="S33" s="731"/>
      <c r="T33" s="731"/>
      <c r="U33" s="736"/>
      <c r="V33" s="687"/>
      <c r="W33" s="731"/>
      <c r="X33" s="731"/>
      <c r="Y33" s="731"/>
      <c r="Z33" s="736"/>
      <c r="AA33" s="687"/>
      <c r="AB33" s="731"/>
      <c r="AC33" s="731"/>
      <c r="AD33" s="731"/>
      <c r="AE33" s="736"/>
      <c r="AF33" s="731"/>
      <c r="AG33" s="731"/>
      <c r="AH33" s="731"/>
      <c r="AI33" s="731"/>
      <c r="AJ33" s="736"/>
      <c r="AK33" s="731"/>
      <c r="AL33" s="731"/>
      <c r="AM33" s="731"/>
      <c r="AN33" s="731"/>
      <c r="AO33" s="729"/>
      <c r="AP33" s="731"/>
      <c r="AQ33" s="731"/>
      <c r="AR33" s="731"/>
      <c r="AS33" s="731"/>
      <c r="AT33" s="729"/>
      <c r="AU33" s="731"/>
      <c r="AV33" s="731"/>
      <c r="AW33" s="731"/>
      <c r="AX33" s="731"/>
      <c r="AY33" s="729"/>
      <c r="AZ33" s="731"/>
      <c r="BA33" s="731"/>
      <c r="BB33" s="731"/>
      <c r="BC33" s="731"/>
      <c r="BD33" s="729"/>
      <c r="BE33" s="731"/>
      <c r="BF33" s="731"/>
      <c r="BG33" s="731"/>
      <c r="BH33" s="731"/>
      <c r="BI33" s="729"/>
      <c r="BJ33" s="731"/>
      <c r="BK33" s="731"/>
      <c r="BL33" s="731"/>
      <c r="BM33" s="731"/>
      <c r="BN33" s="729"/>
      <c r="BO33" s="731"/>
      <c r="BP33" s="731"/>
      <c r="BQ33" s="731"/>
      <c r="BR33" s="731"/>
      <c r="BS33" s="729"/>
      <c r="BT33" s="731"/>
      <c r="BU33" s="731"/>
      <c r="BV33" s="731"/>
      <c r="BW33" s="731"/>
      <c r="BX33" s="729"/>
      <c r="BY33" s="731"/>
      <c r="BZ33" s="731"/>
      <c r="CA33" s="731"/>
      <c r="CB33" s="731"/>
      <c r="CC33" s="729"/>
      <c r="CD33" s="731"/>
      <c r="CE33" s="731"/>
      <c r="CF33" s="731"/>
      <c r="CG33" s="731"/>
      <c r="CH33" s="729"/>
      <c r="CI33" s="731"/>
      <c r="CJ33" s="731"/>
      <c r="CK33" s="731"/>
      <c r="CL33" s="731"/>
      <c r="CM33" s="729"/>
      <c r="CN33" s="731"/>
      <c r="CO33" s="731"/>
      <c r="CP33" s="731"/>
      <c r="CQ33" s="731"/>
      <c r="CR33" s="729"/>
      <c r="CT33" s="755"/>
      <c r="CU33" s="755"/>
      <c r="CW33" s="725"/>
      <c r="CX33" s="725"/>
      <c r="CY33" s="725"/>
      <c r="CZ33" s="725"/>
      <c r="DA33" s="725"/>
      <c r="DB33" s="725"/>
      <c r="DC33" s="725"/>
      <c r="DD33" s="725"/>
      <c r="DE33" s="725"/>
      <c r="DF33" s="725"/>
      <c r="DG33" s="725"/>
      <c r="DH33" s="725"/>
      <c r="DI33" s="725"/>
    </row>
    <row r="34" spans="1:113" ht="12" customHeight="1">
      <c r="A34" s="726" t="s">
        <v>892</v>
      </c>
      <c r="B34" s="687"/>
      <c r="C34" s="731"/>
      <c r="D34" s="731"/>
      <c r="E34" s="731"/>
      <c r="F34" s="736"/>
      <c r="G34" s="730"/>
      <c r="H34" s="730"/>
      <c r="I34" s="730"/>
      <c r="J34" s="730"/>
      <c r="K34" s="736"/>
      <c r="L34" s="730"/>
      <c r="M34" s="730"/>
      <c r="N34" s="730"/>
      <c r="O34" s="730"/>
      <c r="P34" s="736"/>
      <c r="Q34" s="730"/>
      <c r="R34" s="730"/>
      <c r="S34" s="730"/>
      <c r="T34" s="730"/>
      <c r="U34" s="736"/>
      <c r="V34" s="730"/>
      <c r="W34" s="730"/>
      <c r="X34" s="730"/>
      <c r="Y34" s="730"/>
      <c r="Z34" s="756"/>
      <c r="AA34" s="730"/>
      <c r="AB34" s="730"/>
      <c r="AC34" s="730"/>
      <c r="AD34" s="730"/>
      <c r="AE34" s="736"/>
      <c r="AF34" s="730"/>
      <c r="AG34" s="730"/>
      <c r="AH34" s="730"/>
      <c r="AI34" s="730"/>
      <c r="AJ34" s="736"/>
      <c r="AK34" s="687"/>
      <c r="AL34" s="687"/>
      <c r="AM34" s="687"/>
      <c r="AN34" s="687"/>
      <c r="AO34" s="756">
        <v>153.63399999999999</v>
      </c>
      <c r="AP34" s="757">
        <v>49.4</v>
      </c>
      <c r="AQ34" s="757">
        <v>60.4</v>
      </c>
      <c r="AR34" s="757">
        <f>176.481-SUM(AP34:AQ34)</f>
        <v>66.680999999999997</v>
      </c>
      <c r="AS34" s="757">
        <f>243.981-SUM(AP34:AR34)</f>
        <v>67.5</v>
      </c>
      <c r="AT34" s="736">
        <f>+SUM(AP34:AS34)</f>
        <v>243.98099999999999</v>
      </c>
      <c r="AU34" s="730">
        <f>138.639-AV34</f>
        <v>69.604000000000013</v>
      </c>
      <c r="AV34" s="730">
        <v>69.034999999999997</v>
      </c>
      <c r="AW34" s="730">
        <v>70.373999999999995</v>
      </c>
      <c r="AX34" s="730">
        <f>21.914+259.707-SUM(AU34:AW34)</f>
        <v>72.607999999999976</v>
      </c>
      <c r="AY34" s="736">
        <f>+SUM(AW34:AX34,AU34:AV34)</f>
        <v>281.62099999999998</v>
      </c>
      <c r="AZ34" s="730">
        <v>73.536000000000001</v>
      </c>
      <c r="BA34" s="730">
        <v>75.927999999999997</v>
      </c>
      <c r="BB34" s="730">
        <v>117.363</v>
      </c>
      <c r="BC34" s="730">
        <f>389.096-SUM(AZ34:BB34)</f>
        <v>122.26900000000001</v>
      </c>
      <c r="BD34" s="736">
        <f>+SUM(AZ34:BC34)</f>
        <v>389.096</v>
      </c>
      <c r="BE34" s="730">
        <v>129.547</v>
      </c>
      <c r="BF34" s="730">
        <v>131.62100000000001</v>
      </c>
      <c r="BG34" s="730">
        <v>134.88399999999999</v>
      </c>
      <c r="BH34" s="730">
        <v>136.88800000000001</v>
      </c>
      <c r="BI34" s="736">
        <f>+SUM(BE34:BH34)</f>
        <v>532.94000000000005</v>
      </c>
      <c r="BJ34" s="730">
        <v>134.90299999999999</v>
      </c>
      <c r="BK34" s="730">
        <v>134.73400000000001</v>
      </c>
      <c r="BL34" s="730">
        <v>132.80000000000001</v>
      </c>
      <c r="BM34" s="730">
        <v>134.35499999999999</v>
      </c>
      <c r="BN34" s="736">
        <f>+SUM(BJ34:BM34)</f>
        <v>536.79200000000003</v>
      </c>
      <c r="BO34" s="730">
        <v>131.404</v>
      </c>
      <c r="BP34" s="730">
        <v>131.55500000000001</v>
      </c>
      <c r="BQ34" s="730">
        <v>132</v>
      </c>
      <c r="BR34" s="730">
        <v>132.999</v>
      </c>
      <c r="BS34" s="1074">
        <f>+SUM(BO34:BR34)</f>
        <v>527.95799999999997</v>
      </c>
      <c r="BT34" s="730">
        <v>132.87</v>
      </c>
      <c r="BU34" s="687">
        <f>+BU43</f>
        <v>131.32634516000002</v>
      </c>
      <c r="BV34" s="687">
        <f>+BV43</f>
        <v>132.43005600000001</v>
      </c>
      <c r="BW34" s="687">
        <f>+BW43</f>
        <v>134.79900000000001</v>
      </c>
      <c r="BX34" s="736">
        <f>+SUM(BT34:BW34)</f>
        <v>531.42540115999998</v>
      </c>
      <c r="BY34" s="687">
        <f>+BY43</f>
        <v>136.31559426000001</v>
      </c>
      <c r="BZ34" s="687">
        <f>+BZ43</f>
        <v>133.94388280360005</v>
      </c>
      <c r="CA34" s="687">
        <f>+CA43</f>
        <v>136.25406563999999</v>
      </c>
      <c r="CB34" s="687">
        <f>+CB43</f>
        <v>139.38497999999998</v>
      </c>
      <c r="CC34" s="736">
        <f>+SUM(BY34:CB34)</f>
        <v>545.89852270360007</v>
      </c>
      <c r="CD34" s="687">
        <f>+CD43</f>
        <v>145.13913801180001</v>
      </c>
      <c r="CE34" s="687">
        <f>+CE43</f>
        <v>139.46211460850807</v>
      </c>
      <c r="CF34" s="687">
        <f>+CF43</f>
        <v>142.36300228919998</v>
      </c>
      <c r="CG34" s="687">
        <f>+CG43</f>
        <v>145.64552939999999</v>
      </c>
      <c r="CH34" s="736">
        <f>+SUM(CD34:CG34)</f>
        <v>572.60978430950809</v>
      </c>
      <c r="CI34" s="687">
        <f>+CI43</f>
        <v>154.93749946475401</v>
      </c>
      <c r="CJ34" s="687">
        <f>+CJ43</f>
        <v>145.37088066568336</v>
      </c>
      <c r="CK34" s="687">
        <f>+CK43</f>
        <v>148.95840423987599</v>
      </c>
      <c r="CL34" s="687">
        <f>+CL43</f>
        <v>152.405745282</v>
      </c>
      <c r="CM34" s="736">
        <f>+SUM(CI34:CL34)</f>
        <v>601.67252965231341</v>
      </c>
      <c r="CN34" s="687">
        <f>+CN43</f>
        <v>165.45909610952475</v>
      </c>
      <c r="CO34" s="687">
        <f>+CO43</f>
        <v>151.35221789574771</v>
      </c>
      <c r="CP34" s="687">
        <f>+CP43</f>
        <v>156.10034503137229</v>
      </c>
      <c r="CQ34" s="687">
        <f>+CQ43</f>
        <v>159.72739514046</v>
      </c>
      <c r="CR34" s="736">
        <f>+SUM(CN34:CQ34)</f>
        <v>632.63905417710475</v>
      </c>
      <c r="CT34" s="732">
        <f>+(CC34/BN34)^(0.333333333333333)-1</f>
        <v>5.6232247070790997E-3</v>
      </c>
      <c r="CU34" s="732">
        <f>+(CM34/BN34)^(0.2)-1</f>
        <v>2.3082909194909851E-2</v>
      </c>
      <c r="CW34" s="725">
        <f>+AJ34-SUM(AF34:AI34)</f>
        <v>0</v>
      </c>
      <c r="CX34" s="725">
        <f>+AO34-SUM(AK34:AN34)</f>
        <v>153.63399999999999</v>
      </c>
      <c r="CY34" s="725">
        <f>+AT34-SUM(AP34:AS34)</f>
        <v>0</v>
      </c>
      <c r="CZ34" s="725">
        <f>+AY34-SUM(AU34:AX34)</f>
        <v>0</v>
      </c>
      <c r="DA34" s="725">
        <f>+BD34-SUM(AZ34:BC34)</f>
        <v>0</v>
      </c>
      <c r="DB34" s="725">
        <f>+BI34-SUM(BE34:BH34)</f>
        <v>0</v>
      </c>
      <c r="DC34" s="725">
        <f>+BN34-SUM(BJ34:BM34)</f>
        <v>0</v>
      </c>
      <c r="DD34" s="725">
        <f>+BS34-SUM(BO34:BR34)</f>
        <v>0</v>
      </c>
      <c r="DE34" s="725">
        <f>+BX34-SUM(BT34:BW34)</f>
        <v>0</v>
      </c>
      <c r="DF34" s="725">
        <f>+CC34-SUM(BY34:CB34)</f>
        <v>0</v>
      </c>
      <c r="DG34" s="725">
        <f>+CH34-SUM(CD34:CG34)</f>
        <v>0</v>
      </c>
      <c r="DH34" s="725">
        <f>+CM34-SUM(CI34:CL34)</f>
        <v>0</v>
      </c>
      <c r="DI34" s="725">
        <f>+CR34-SUM(CN34:CQ34)</f>
        <v>0</v>
      </c>
    </row>
    <row r="35" spans="1:113" ht="12" customHeight="1">
      <c r="A35" s="733" t="s">
        <v>881</v>
      </c>
      <c r="B35" s="687"/>
      <c r="C35" s="731"/>
      <c r="D35" s="731"/>
      <c r="E35" s="731"/>
      <c r="F35" s="736"/>
      <c r="G35" s="687"/>
      <c r="H35" s="731"/>
      <c r="I35" s="731"/>
      <c r="J35" s="731"/>
      <c r="K35" s="736"/>
      <c r="L35" s="734"/>
      <c r="M35" s="734"/>
      <c r="N35" s="734"/>
      <c r="O35" s="734"/>
      <c r="P35" s="735"/>
      <c r="Q35" s="734"/>
      <c r="R35" s="734"/>
      <c r="S35" s="734"/>
      <c r="T35" s="734"/>
      <c r="U35" s="735"/>
      <c r="V35" s="734"/>
      <c r="W35" s="734"/>
      <c r="X35" s="734"/>
      <c r="Y35" s="734"/>
      <c r="Z35" s="735"/>
      <c r="AA35" s="734"/>
      <c r="AB35" s="734"/>
      <c r="AC35" s="734"/>
      <c r="AD35" s="734"/>
      <c r="AE35" s="735"/>
      <c r="AF35" s="734"/>
      <c r="AG35" s="734"/>
      <c r="AH35" s="734"/>
      <c r="AI35" s="734"/>
      <c r="AJ35" s="735"/>
      <c r="AK35" s="734"/>
      <c r="AL35" s="734"/>
      <c r="AM35" s="734"/>
      <c r="AN35" s="734"/>
      <c r="AO35" s="735"/>
      <c r="AP35" s="734"/>
      <c r="AQ35" s="734"/>
      <c r="AR35" s="734"/>
      <c r="AS35" s="734"/>
      <c r="AT35" s="735">
        <f t="shared" ref="AT35:AY35" si="14">+AT34/AO34-1</f>
        <v>0.5880664436257601</v>
      </c>
      <c r="AU35" s="734">
        <f t="shared" si="14"/>
        <v>0.40898785425101236</v>
      </c>
      <c r="AV35" s="734">
        <f t="shared" si="14"/>
        <v>0.14296357615894029</v>
      </c>
      <c r="AW35" s="734">
        <f t="shared" si="14"/>
        <v>5.5383092635083342E-2</v>
      </c>
      <c r="AX35" s="734">
        <f t="shared" si="14"/>
        <v>7.5674074074073783E-2</v>
      </c>
      <c r="AY35" s="735">
        <f t="shared" si="14"/>
        <v>0.15427430824531418</v>
      </c>
      <c r="AZ35" s="734">
        <f>+AZ34/AU34-1</f>
        <v>5.6491006264007604E-2</v>
      </c>
      <c r="BA35" s="734">
        <f>+BA34/AV34-1</f>
        <v>9.9847903237488156E-2</v>
      </c>
      <c r="BB35" s="734">
        <f>+BB34/AW39-1</f>
        <v>0.11166575103718723</v>
      </c>
      <c r="BC35" s="734">
        <f>+BC34/AX39-1</f>
        <v>0.10943851626016299</v>
      </c>
      <c r="BD35" s="735">
        <f>+BD34/AY39-1</f>
        <v>9.7835624864215376E-2</v>
      </c>
      <c r="BE35" s="734">
        <f t="shared" ref="BE35:BL35" si="15">+BE34/AZ41-1</f>
        <v>0.10689873201408107</v>
      </c>
      <c r="BF35" s="734">
        <f t="shared" si="15"/>
        <v>8.6627369394359777E-2</v>
      </c>
      <c r="BG35" s="734">
        <f t="shared" si="15"/>
        <v>8.0255960532743753E-2</v>
      </c>
      <c r="BH35" s="734">
        <f t="shared" si="15"/>
        <v>5.323577160707571E-2</v>
      </c>
      <c r="BI35" s="735">
        <f t="shared" si="15"/>
        <v>8.1022969760403907E-2</v>
      </c>
      <c r="BJ35" s="734">
        <f t="shared" si="15"/>
        <v>4.1344068176028648E-2</v>
      </c>
      <c r="BK35" s="734">
        <f t="shared" si="15"/>
        <v>2.3651241063356254E-2</v>
      </c>
      <c r="BL35" s="734">
        <f t="shared" si="15"/>
        <v>-1.5450312861421511E-2</v>
      </c>
      <c r="BM35" s="734">
        <f>+BM34/BH41-1</f>
        <v>-1.850417859856246E-2</v>
      </c>
      <c r="BN35" s="735">
        <f>+BN34/BI41-1</f>
        <v>7.227830525012191E-3</v>
      </c>
      <c r="BO35" s="734">
        <f>+BO34/BJ41-1</f>
        <v>-2.5937154844592025E-2</v>
      </c>
      <c r="BP35" s="734">
        <f t="shared" ref="BP35:BQ35" si="16">+BP34/BK41-1</f>
        <v>-2.3594638324402117E-2</v>
      </c>
      <c r="BQ35" s="734">
        <f t="shared" si="16"/>
        <v>-6.0240963855422436E-3</v>
      </c>
      <c r="BR35" s="734">
        <f t="shared" ref="BR35:CR35" si="17">+BR34/BM34-1</f>
        <v>-1.0092664954783892E-2</v>
      </c>
      <c r="BS35" s="735">
        <f t="shared" si="17"/>
        <v>-1.6457026185189183E-2</v>
      </c>
      <c r="BT35" s="734">
        <f>+BT34/BO41-1</f>
        <v>1.1156433594106785E-2</v>
      </c>
      <c r="BU35" s="734">
        <f t="shared" si="17"/>
        <v>-1.7380931169471703E-3</v>
      </c>
      <c r="BV35" s="734">
        <f t="shared" si="17"/>
        <v>3.2579999999999831E-3</v>
      </c>
      <c r="BW35" s="734">
        <f t="shared" si="17"/>
        <v>1.3533936345386133E-2</v>
      </c>
      <c r="BX35" s="735">
        <f t="shared" si="17"/>
        <v>6.5675700718617058E-3</v>
      </c>
      <c r="BY35" s="734">
        <f t="shared" si="17"/>
        <v>2.5932070896364845E-2</v>
      </c>
      <c r="BZ35" s="734">
        <f t="shared" si="17"/>
        <v>1.993155021873938E-2</v>
      </c>
      <c r="CA35" s="734">
        <f t="shared" si="17"/>
        <v>2.8875692992231139E-2</v>
      </c>
      <c r="CB35" s="734">
        <f t="shared" si="17"/>
        <v>3.4020875525782701E-2</v>
      </c>
      <c r="CC35" s="735">
        <f t="shared" si="17"/>
        <v>2.7234530965226877E-2</v>
      </c>
      <c r="CD35" s="734">
        <f t="shared" si="17"/>
        <v>6.4728792033657667E-2</v>
      </c>
      <c r="CE35" s="734">
        <f t="shared" si="17"/>
        <v>4.1198087508030001E-2</v>
      </c>
      <c r="CF35" s="734">
        <f t="shared" si="17"/>
        <v>4.4834894434200301E-2</v>
      </c>
      <c r="CG35" s="734">
        <f t="shared" si="17"/>
        <v>4.491552389647735E-2</v>
      </c>
      <c r="CH35" s="735">
        <f t="shared" si="17"/>
        <v>4.8930818632039186E-2</v>
      </c>
      <c r="CI35" s="734">
        <f t="shared" si="17"/>
        <v>6.7510125712317404E-2</v>
      </c>
      <c r="CJ35" s="734">
        <f t="shared" si="17"/>
        <v>4.2368252293908837E-2</v>
      </c>
      <c r="CK35" s="734">
        <f t="shared" si="17"/>
        <v>4.6328061677695764E-2</v>
      </c>
      <c r="CL35" s="734">
        <f t="shared" si="17"/>
        <v>4.6415539906026204E-2</v>
      </c>
      <c r="CM35" s="735">
        <f t="shared" si="17"/>
        <v>5.0754887777286539E-2</v>
      </c>
      <c r="CN35" s="734">
        <f t="shared" si="17"/>
        <v>6.7908651431180855E-2</v>
      </c>
      <c r="CO35" s="734">
        <f t="shared" si="17"/>
        <v>4.1145360079505533E-2</v>
      </c>
      <c r="CP35" s="734">
        <f t="shared" si="17"/>
        <v>4.7945873399632077E-2</v>
      </c>
      <c r="CQ35" s="734">
        <f t="shared" si="17"/>
        <v>4.8040510841061757E-2</v>
      </c>
      <c r="CR35" s="735">
        <f t="shared" si="17"/>
        <v>5.1467406269463334E-2</v>
      </c>
      <c r="CT35" s="755"/>
      <c r="CU35" s="755"/>
      <c r="CW35" s="725"/>
      <c r="CX35" s="725"/>
      <c r="CY35" s="725"/>
      <c r="CZ35" s="725"/>
      <c r="DA35" s="725"/>
      <c r="DB35" s="725"/>
      <c r="DC35" s="725"/>
      <c r="DD35" s="725"/>
      <c r="DE35" s="725"/>
      <c r="DF35" s="725"/>
      <c r="DG35" s="725"/>
      <c r="DH35" s="725"/>
      <c r="DI35" s="725"/>
    </row>
    <row r="36" spans="1:113" ht="12" customHeight="1">
      <c r="A36" s="733" t="s">
        <v>882</v>
      </c>
      <c r="B36" s="687"/>
      <c r="C36" s="731"/>
      <c r="D36" s="731"/>
      <c r="E36" s="731"/>
      <c r="F36" s="736"/>
      <c r="G36" s="687"/>
      <c r="H36" s="731"/>
      <c r="I36" s="731"/>
      <c r="J36" s="731"/>
      <c r="K36" s="736"/>
      <c r="L36" s="734"/>
      <c r="M36" s="734"/>
      <c r="N36" s="734"/>
      <c r="O36" s="734"/>
      <c r="P36" s="735"/>
      <c r="Q36" s="734"/>
      <c r="R36" s="734"/>
      <c r="S36" s="734"/>
      <c r="T36" s="734"/>
      <c r="U36" s="735"/>
      <c r="V36" s="734"/>
      <c r="W36" s="734"/>
      <c r="X36" s="734"/>
      <c r="Y36" s="734"/>
      <c r="Z36" s="735"/>
      <c r="AA36" s="734"/>
      <c r="AB36" s="734"/>
      <c r="AC36" s="734"/>
      <c r="AD36" s="734"/>
      <c r="AE36" s="735"/>
      <c r="AF36" s="734"/>
      <c r="AG36" s="734"/>
      <c r="AH36" s="734"/>
      <c r="AI36" s="734"/>
      <c r="AJ36" s="735"/>
      <c r="AK36" s="734"/>
      <c r="AL36" s="734"/>
      <c r="AM36" s="734"/>
      <c r="AN36" s="734"/>
      <c r="AO36" s="735"/>
      <c r="AP36" s="734"/>
      <c r="AQ36" s="734"/>
      <c r="AR36" s="734"/>
      <c r="AS36" s="734"/>
      <c r="AT36" s="735"/>
      <c r="AU36" s="734"/>
      <c r="AV36" s="734"/>
      <c r="AW36" s="734"/>
      <c r="AX36" s="734"/>
      <c r="AY36" s="735"/>
      <c r="AZ36" s="734"/>
      <c r="BA36" s="734"/>
      <c r="BB36" s="734"/>
      <c r="BC36" s="734"/>
      <c r="BD36" s="735"/>
      <c r="BE36" s="734">
        <f t="shared" ref="BE36:BL36" si="18">+(BE34-BE37)/AZ41-1</f>
        <v>0.12142417717625342</v>
      </c>
      <c r="BF36" s="734">
        <f t="shared" si="18"/>
        <v>0.10726669308500103</v>
      </c>
      <c r="BG36" s="734">
        <f t="shared" si="18"/>
        <v>0.10187966010747762</v>
      </c>
      <c r="BH36" s="734">
        <f t="shared" si="18"/>
        <v>6.4776985281105537E-2</v>
      </c>
      <c r="BI36" s="735">
        <f t="shared" si="18"/>
        <v>9.8061647559006593E-2</v>
      </c>
      <c r="BJ36" s="734">
        <f t="shared" si="18"/>
        <v>4.3659830023080382E-2</v>
      </c>
      <c r="BK36" s="734">
        <f t="shared" si="18"/>
        <v>1.909269797372759E-2</v>
      </c>
      <c r="BL36" s="734">
        <f t="shared" si="18"/>
        <v>-2.1381335073099694E-2</v>
      </c>
      <c r="BM36" s="734">
        <f>+(BM34-BM37)/BH41-1</f>
        <v>-2.4348372392028694E-2</v>
      </c>
      <c r="BN36" s="735">
        <f>+(BN34-BN37)/BI41-1</f>
        <v>3.6627012421661664E-3</v>
      </c>
      <c r="BO36" s="734">
        <f>+(BO34-BO37)/BJ41-1</f>
        <v>-2.5937154844592025E-2</v>
      </c>
      <c r="BP36" s="734">
        <f t="shared" ref="BP36:BR36" si="19">+(BP34-BP37)/BK41-1</f>
        <v>-2.3594638324402117E-2</v>
      </c>
      <c r="BQ36" s="734">
        <f t="shared" si="19"/>
        <v>-1.0466867469879682E-2</v>
      </c>
      <c r="BR36" s="734">
        <f t="shared" si="19"/>
        <v>-4.8825871757657291E-3</v>
      </c>
      <c r="BS36" s="735">
        <f>+(BS34-BS37)/BN41-1</f>
        <v>-1.6252105098436775E-2</v>
      </c>
      <c r="BT36" s="734">
        <f>+(BT34-BT37)/BO41-1</f>
        <v>1.1156433594106785E-2</v>
      </c>
      <c r="BU36" s="734">
        <f t="shared" ref="BU36:BW36" si="20">+(BU34-BU37)/BP41-1</f>
        <v>2.2824015065068259E-3</v>
      </c>
      <c r="BV36" s="734">
        <f t="shared" si="20"/>
        <v>5.4899732415456537E-3</v>
      </c>
      <c r="BW36" s="734">
        <f t="shared" si="20"/>
        <v>1.3533936345386133E-2</v>
      </c>
      <c r="BX36" s="735">
        <f>+(BX34-BX37)/BS41-1</f>
        <v>8.127422632240533E-3</v>
      </c>
      <c r="BY36" s="734">
        <f t="shared" ref="BY36:CB36" si="21">+(BY34-BY37)/BT41-1</f>
        <v>2.5932070896364623E-2</v>
      </c>
      <c r="BZ36" s="734">
        <f t="shared" si="21"/>
        <v>1.993155021873938E-2</v>
      </c>
      <c r="CA36" s="734">
        <f t="shared" si="21"/>
        <v>2.8875692992231361E-2</v>
      </c>
      <c r="CB36" s="734">
        <f t="shared" si="21"/>
        <v>3.4020875525782701E-2</v>
      </c>
      <c r="CC36" s="735">
        <f>+(CC34-CC37)/BX41-1</f>
        <v>2.7234530965226877E-2</v>
      </c>
      <c r="CD36" s="734"/>
      <c r="CE36" s="734"/>
      <c r="CF36" s="734"/>
      <c r="CG36" s="734"/>
      <c r="CH36" s="735"/>
      <c r="CI36" s="734"/>
      <c r="CJ36" s="734"/>
      <c r="CK36" s="734"/>
      <c r="CL36" s="734"/>
      <c r="CM36" s="735"/>
      <c r="CN36" s="734"/>
      <c r="CO36" s="734"/>
      <c r="CP36" s="734"/>
      <c r="CQ36" s="734"/>
      <c r="CR36" s="735"/>
      <c r="CT36" s="755"/>
      <c r="CU36" s="755"/>
      <c r="CW36" s="725"/>
      <c r="CX36" s="725"/>
      <c r="CY36" s="725"/>
      <c r="CZ36" s="725"/>
      <c r="DA36" s="725"/>
      <c r="DB36" s="725"/>
      <c r="DC36" s="725"/>
      <c r="DD36" s="725"/>
      <c r="DE36" s="725"/>
      <c r="DF36" s="725"/>
      <c r="DG36" s="725"/>
      <c r="DH36" s="725"/>
      <c r="DI36" s="725"/>
    </row>
    <row r="37" spans="1:113" ht="12" customHeight="1">
      <c r="A37" s="737" t="s">
        <v>885</v>
      </c>
      <c r="B37" s="687"/>
      <c r="C37" s="731"/>
      <c r="D37" s="731"/>
      <c r="E37" s="731"/>
      <c r="F37" s="736"/>
      <c r="G37" s="687"/>
      <c r="H37" s="731"/>
      <c r="I37" s="731"/>
      <c r="J37" s="731"/>
      <c r="K37" s="736"/>
      <c r="L37" s="734"/>
      <c r="M37" s="734"/>
      <c r="N37" s="734"/>
      <c r="O37" s="734"/>
      <c r="P37" s="735"/>
      <c r="Q37" s="734"/>
      <c r="R37" s="734"/>
      <c r="S37" s="734"/>
      <c r="T37" s="734"/>
      <c r="U37" s="735"/>
      <c r="V37" s="734"/>
      <c r="W37" s="734"/>
      <c r="X37" s="734"/>
      <c r="Y37" s="734"/>
      <c r="Z37" s="735"/>
      <c r="AA37" s="734"/>
      <c r="AB37" s="734"/>
      <c r="AC37" s="734"/>
      <c r="AD37" s="734"/>
      <c r="AE37" s="735"/>
      <c r="AF37" s="734"/>
      <c r="AG37" s="734"/>
      <c r="AH37" s="734"/>
      <c r="AI37" s="734"/>
      <c r="AJ37" s="735"/>
      <c r="AK37" s="734"/>
      <c r="AL37" s="734"/>
      <c r="AM37" s="734"/>
      <c r="AN37" s="734"/>
      <c r="AO37" s="735"/>
      <c r="AP37" s="734"/>
      <c r="AQ37" s="734"/>
      <c r="AR37" s="734"/>
      <c r="AS37" s="734"/>
      <c r="AT37" s="735"/>
      <c r="AU37" s="734"/>
      <c r="AV37" s="734"/>
      <c r="AW37" s="734"/>
      <c r="AX37" s="734"/>
      <c r="AY37" s="735"/>
      <c r="AZ37" s="734"/>
      <c r="BA37" s="734"/>
      <c r="BB37" s="734"/>
      <c r="BC37" s="734"/>
      <c r="BD37" s="735"/>
      <c r="BE37" s="741">
        <v>-1.7</v>
      </c>
      <c r="BF37" s="741">
        <v>-2.5</v>
      </c>
      <c r="BG37" s="741">
        <v>-2.7</v>
      </c>
      <c r="BH37" s="741">
        <v>-1.5</v>
      </c>
      <c r="BI37" s="742">
        <f>+SUM(BE37:BH37)</f>
        <v>-8.4</v>
      </c>
      <c r="BJ37" s="741">
        <v>-0.3</v>
      </c>
      <c r="BK37" s="741">
        <v>0.6</v>
      </c>
      <c r="BL37" s="741">
        <v>0.8</v>
      </c>
      <c r="BM37" s="741">
        <v>0.8</v>
      </c>
      <c r="BN37" s="742">
        <f>+SUM(BJ37:BM37)</f>
        <v>1.9000000000000001</v>
      </c>
      <c r="BO37" s="741">
        <v>0</v>
      </c>
      <c r="BP37" s="741">
        <v>0</v>
      </c>
      <c r="BQ37" s="741">
        <v>0.59</v>
      </c>
      <c r="BR37" s="741">
        <v>-0.7</v>
      </c>
      <c r="BS37" s="742">
        <f>+SUM(BO37:BR37)</f>
        <v>-0.10999999999999999</v>
      </c>
      <c r="BT37" s="741">
        <v>0</v>
      </c>
      <c r="BU37" s="758">
        <f>0.75*BU16</f>
        <v>-0.52891617018848791</v>
      </c>
      <c r="BV37" s="758">
        <f>0.75*BV16</f>
        <v>-0.29462046788402318</v>
      </c>
      <c r="BW37" s="758">
        <f>0.75*BW16</f>
        <v>0</v>
      </c>
      <c r="BX37" s="742">
        <f>+SUM(BT37:BW37)</f>
        <v>-0.8235366380725111</v>
      </c>
      <c r="BY37" s="758">
        <f>0.75*BY16</f>
        <v>2.1316282072803006E-14</v>
      </c>
      <c r="BZ37" s="758">
        <f>0.75*BZ16</f>
        <v>0</v>
      </c>
      <c r="CA37" s="758">
        <f>0.75*CA16</f>
        <v>-2.1316282072803006E-14</v>
      </c>
      <c r="CB37" s="758">
        <f>0.75*CB16</f>
        <v>0</v>
      </c>
      <c r="CC37" s="742">
        <f>+SUM(BY37:CB37)</f>
        <v>0</v>
      </c>
      <c r="CD37" s="734"/>
      <c r="CE37" s="734"/>
      <c r="CF37" s="734"/>
      <c r="CG37" s="734"/>
      <c r="CH37" s="735"/>
      <c r="CI37" s="734"/>
      <c r="CJ37" s="734"/>
      <c r="CK37" s="734"/>
      <c r="CL37" s="734"/>
      <c r="CM37" s="735"/>
      <c r="CN37" s="734"/>
      <c r="CO37" s="734"/>
      <c r="CP37" s="734"/>
      <c r="CQ37" s="734"/>
      <c r="CR37" s="735"/>
      <c r="CT37" s="755"/>
      <c r="CU37" s="755"/>
      <c r="CW37" s="725"/>
      <c r="CX37" s="725"/>
      <c r="CY37" s="725"/>
      <c r="CZ37" s="725"/>
      <c r="DA37" s="725"/>
      <c r="DB37" s="725"/>
      <c r="DC37" s="725"/>
      <c r="DD37" s="725"/>
      <c r="DE37" s="725"/>
      <c r="DF37" s="725"/>
      <c r="DG37" s="725"/>
      <c r="DH37" s="725"/>
      <c r="DI37" s="725"/>
    </row>
    <row r="38" spans="1:113" ht="12" customHeight="1">
      <c r="A38" s="737" t="s">
        <v>886</v>
      </c>
      <c r="B38" s="687"/>
      <c r="C38" s="731"/>
      <c r="D38" s="731"/>
      <c r="E38" s="731"/>
      <c r="F38" s="736"/>
      <c r="G38" s="687"/>
      <c r="H38" s="731"/>
      <c r="I38" s="731"/>
      <c r="J38" s="731"/>
      <c r="K38" s="736"/>
      <c r="L38" s="734"/>
      <c r="M38" s="734"/>
      <c r="N38" s="734"/>
      <c r="O38" s="734"/>
      <c r="P38" s="735"/>
      <c r="Q38" s="734"/>
      <c r="R38" s="734"/>
      <c r="S38" s="734"/>
      <c r="T38" s="734"/>
      <c r="U38" s="735"/>
      <c r="V38" s="734"/>
      <c r="W38" s="734"/>
      <c r="X38" s="734"/>
      <c r="Y38" s="734"/>
      <c r="Z38" s="735"/>
      <c r="AA38" s="734"/>
      <c r="AB38" s="734"/>
      <c r="AC38" s="734"/>
      <c r="AD38" s="734"/>
      <c r="AE38" s="735"/>
      <c r="AF38" s="734"/>
      <c r="AG38" s="734"/>
      <c r="AH38" s="734"/>
      <c r="AI38" s="734"/>
      <c r="AJ38" s="735"/>
      <c r="AK38" s="734"/>
      <c r="AL38" s="734"/>
      <c r="AM38" s="734"/>
      <c r="AN38" s="734"/>
      <c r="AO38" s="735"/>
      <c r="AP38" s="734"/>
      <c r="AQ38" s="734"/>
      <c r="AR38" s="734"/>
      <c r="AS38" s="734"/>
      <c r="AT38" s="735"/>
      <c r="AU38" s="734"/>
      <c r="AV38" s="734"/>
      <c r="AW38" s="734"/>
      <c r="AX38" s="734"/>
      <c r="AY38" s="735"/>
      <c r="AZ38" s="734"/>
      <c r="BA38" s="734"/>
      <c r="BB38" s="734"/>
      <c r="BC38" s="734"/>
      <c r="BD38" s="735"/>
      <c r="BE38" s="744">
        <f>+(BE35-BE36)*10000</f>
        <v>-145.25445162172358</v>
      </c>
      <c r="BF38" s="744">
        <f>+(BF35-BF36)*10000</f>
        <v>-206.39323690641254</v>
      </c>
      <c r="BG38" s="744">
        <f>+(BG35-BG36)*10000</f>
        <v>-216.23699574733868</v>
      </c>
      <c r="BH38" s="744">
        <f>+(BH35-BH36)*10000</f>
        <v>-115.41213674029827</v>
      </c>
      <c r="BI38" s="735"/>
      <c r="BJ38" s="744">
        <f>+(BJ35-BJ36)*10000</f>
        <v>-23.157618470517338</v>
      </c>
      <c r="BK38" s="744">
        <f>+(BK35-BK36)*10000</f>
        <v>45.585430896286638</v>
      </c>
      <c r="BL38" s="744">
        <f>+(BL35-BL36)*10000</f>
        <v>59.31022211678183</v>
      </c>
      <c r="BM38" s="744">
        <f>+(BM35-BM36)*10000</f>
        <v>58.441937934662349</v>
      </c>
      <c r="BN38" s="735"/>
      <c r="BO38" s="744">
        <f>+(BO35-BO36)*10000</f>
        <v>0</v>
      </c>
      <c r="BP38" s="744">
        <f>+(BP35-BP36)*10000</f>
        <v>0</v>
      </c>
      <c r="BQ38" s="744">
        <f>+(BQ35-BQ36)*10000</f>
        <v>44.427710843374378</v>
      </c>
      <c r="BR38" s="744">
        <f>+(BR35-BR36)*10000</f>
        <v>-52.100777790181631</v>
      </c>
      <c r="BS38" s="735"/>
      <c r="BT38" s="744">
        <f>+(BT35-BT36)*10000</f>
        <v>0</v>
      </c>
      <c r="BU38" s="744">
        <f>+(BU35-BU36)*10000</f>
        <v>-40.20494623453996</v>
      </c>
      <c r="BV38" s="744">
        <f>+(BV35-BV36)*10000</f>
        <v>-22.319732415456706</v>
      </c>
      <c r="BW38" s="744">
        <f>+(BW35-BW36)*10000</f>
        <v>0</v>
      </c>
      <c r="BX38" s="735"/>
      <c r="BY38" s="744">
        <f>+(BY35-BY36)*10000</f>
        <v>2.2204460492503131E-12</v>
      </c>
      <c r="BZ38" s="744">
        <f>+(BZ35-BZ36)*10000</f>
        <v>0</v>
      </c>
      <c r="CA38" s="744">
        <f>+(CA35-CA36)*10000</f>
        <v>-2.2204460492503131E-12</v>
      </c>
      <c r="CB38" s="744">
        <f>+(CB35-CB36)*10000</f>
        <v>0</v>
      </c>
      <c r="CC38" s="735"/>
      <c r="CD38" s="734"/>
      <c r="CE38" s="734"/>
      <c r="CF38" s="734"/>
      <c r="CG38" s="734"/>
      <c r="CH38" s="735"/>
      <c r="CI38" s="734"/>
      <c r="CJ38" s="734"/>
      <c r="CK38" s="734"/>
      <c r="CL38" s="734"/>
      <c r="CM38" s="735"/>
      <c r="CN38" s="734"/>
      <c r="CO38" s="734"/>
      <c r="CP38" s="734"/>
      <c r="CQ38" s="734"/>
      <c r="CR38" s="735"/>
      <c r="CT38" s="759"/>
      <c r="CU38" s="759"/>
      <c r="CW38" s="725"/>
      <c r="CX38" s="725"/>
      <c r="CY38" s="725"/>
      <c r="CZ38" s="725"/>
      <c r="DA38" s="725"/>
      <c r="DB38" s="725"/>
      <c r="DC38" s="725"/>
      <c r="DD38" s="725"/>
      <c r="DE38" s="725"/>
      <c r="DF38" s="725"/>
      <c r="DG38" s="725"/>
      <c r="DH38" s="725"/>
      <c r="DI38" s="725"/>
    </row>
    <row r="39" spans="1:113" ht="12" hidden="1" customHeight="1" outlineLevel="1">
      <c r="A39" s="760" t="s">
        <v>893</v>
      </c>
      <c r="B39" s="687"/>
      <c r="C39" s="731"/>
      <c r="D39" s="731"/>
      <c r="E39" s="731"/>
      <c r="F39" s="736"/>
      <c r="G39" s="761"/>
      <c r="H39" s="761"/>
      <c r="I39" s="761"/>
      <c r="J39" s="761"/>
      <c r="K39" s="762"/>
      <c r="L39" s="761"/>
      <c r="M39" s="761"/>
      <c r="N39" s="761"/>
      <c r="O39" s="761"/>
      <c r="P39" s="762"/>
      <c r="Q39" s="761"/>
      <c r="R39" s="761"/>
      <c r="S39" s="761"/>
      <c r="T39" s="761"/>
      <c r="U39" s="762"/>
      <c r="V39" s="761"/>
      <c r="W39" s="761"/>
      <c r="X39" s="761"/>
      <c r="Y39" s="761"/>
      <c r="Z39" s="763"/>
      <c r="AA39" s="761"/>
      <c r="AB39" s="761"/>
      <c r="AC39" s="761"/>
      <c r="AD39" s="761"/>
      <c r="AE39" s="762"/>
      <c r="AF39" s="761"/>
      <c r="AG39" s="761"/>
      <c r="AH39" s="761"/>
      <c r="AI39" s="761"/>
      <c r="AJ39" s="762"/>
      <c r="AK39" s="764"/>
      <c r="AL39" s="764"/>
      <c r="AM39" s="764"/>
      <c r="AN39" s="764"/>
      <c r="AO39" s="763"/>
      <c r="AP39" s="765"/>
      <c r="AQ39" s="765"/>
      <c r="AR39" s="765"/>
      <c r="AS39" s="765"/>
      <c r="AT39" s="762"/>
      <c r="AU39" s="761"/>
      <c r="AV39" s="761"/>
      <c r="AW39" s="761">
        <f>+AW34+35.2</f>
        <v>105.574</v>
      </c>
      <c r="AX39" s="761">
        <f>+AX34+37.6</f>
        <v>110.20799999999997</v>
      </c>
      <c r="AY39" s="762">
        <f>+SUM(AW39:AX39,AU34:AV34)</f>
        <v>354.42099999999994</v>
      </c>
      <c r="AZ39" s="761">
        <f>+AZ34+37.1</f>
        <v>110.636</v>
      </c>
      <c r="BA39" s="761">
        <f>+BA34+38.8</f>
        <v>114.72799999999999</v>
      </c>
      <c r="BB39" s="764">
        <f>+BB34</f>
        <v>117.363</v>
      </c>
      <c r="BC39" s="764">
        <f>+BC34</f>
        <v>122.26900000000001</v>
      </c>
      <c r="BD39" s="762">
        <f>+SUM(AZ39:BC39)</f>
        <v>464.99599999999998</v>
      </c>
      <c r="BE39" s="764">
        <f>+BE34</f>
        <v>129.547</v>
      </c>
      <c r="BF39" s="764">
        <f>+BF34</f>
        <v>131.62100000000001</v>
      </c>
      <c r="BG39" s="764">
        <f>+BG34</f>
        <v>134.88399999999999</v>
      </c>
      <c r="BH39" s="764">
        <f>+BH34</f>
        <v>136.88800000000001</v>
      </c>
      <c r="BI39" s="762">
        <f>+SUM(BE39:BH39)</f>
        <v>532.94000000000005</v>
      </c>
      <c r="BJ39" s="764">
        <f>+BJ34</f>
        <v>134.90299999999999</v>
      </c>
      <c r="BK39" s="764">
        <f>+BK34</f>
        <v>134.73400000000001</v>
      </c>
      <c r="BL39" s="764">
        <f>+BL34</f>
        <v>132.80000000000001</v>
      </c>
      <c r="BM39" s="764">
        <f>+BM34</f>
        <v>134.35499999999999</v>
      </c>
      <c r="BN39" s="762">
        <f>+SUM(BJ39:BM39)</f>
        <v>536.79200000000003</v>
      </c>
      <c r="BO39" s="764">
        <f>+BO34</f>
        <v>131.404</v>
      </c>
      <c r="BP39" s="764">
        <f>+BP34</f>
        <v>131.55500000000001</v>
      </c>
      <c r="BQ39" s="764">
        <f>+BQ34</f>
        <v>132</v>
      </c>
      <c r="BR39" s="764">
        <f>+BR34</f>
        <v>132.999</v>
      </c>
      <c r="BS39" s="762">
        <f>+SUM(BO39:BR39)</f>
        <v>527.95799999999997</v>
      </c>
      <c r="BT39" s="764">
        <f>+BT34</f>
        <v>132.87</v>
      </c>
      <c r="BU39" s="764">
        <f>+BU82</f>
        <v>131.32634516000002</v>
      </c>
      <c r="BV39" s="764">
        <f>+BV82</f>
        <v>132.43005600000001</v>
      </c>
      <c r="BW39" s="764">
        <f>+BW82</f>
        <v>134.79900000000001</v>
      </c>
      <c r="BX39" s="762">
        <f>+SUM(BT39:BW39)</f>
        <v>531.42540115999998</v>
      </c>
      <c r="BY39" s="764">
        <f>+BY82</f>
        <v>136.31559426000001</v>
      </c>
      <c r="BZ39" s="764">
        <f>+BZ82</f>
        <v>133.94388280360005</v>
      </c>
      <c r="CA39" s="764">
        <f>+CA82</f>
        <v>136.25406563999999</v>
      </c>
      <c r="CB39" s="764">
        <f>+CB82</f>
        <v>139.38497999999998</v>
      </c>
      <c r="CC39" s="762">
        <f>+SUM(BY39:CB39)</f>
        <v>545.89852270360007</v>
      </c>
      <c r="CD39" s="764">
        <f>+CD82</f>
        <v>145.13913801180001</v>
      </c>
      <c r="CE39" s="764">
        <f>+CE82</f>
        <v>139.46211460850807</v>
      </c>
      <c r="CF39" s="764">
        <f>+CF82</f>
        <v>142.36300228919998</v>
      </c>
      <c r="CG39" s="764">
        <f>+CG82</f>
        <v>145.64552939999999</v>
      </c>
      <c r="CH39" s="762">
        <f>+SUM(CD39:CG39)</f>
        <v>572.60978430950809</v>
      </c>
      <c r="CI39" s="764">
        <f>+CI82</f>
        <v>154.93749946475401</v>
      </c>
      <c r="CJ39" s="764">
        <f>+CJ82</f>
        <v>145.37088066568336</v>
      </c>
      <c r="CK39" s="764">
        <f>+CK82</f>
        <v>148.95840423987599</v>
      </c>
      <c r="CL39" s="764">
        <f>+CL82</f>
        <v>152.405745282</v>
      </c>
      <c r="CM39" s="762">
        <f>+SUM(CI39:CL39)</f>
        <v>601.67252965231341</v>
      </c>
      <c r="CN39" s="764">
        <f>+CN82</f>
        <v>165.45909610952475</v>
      </c>
      <c r="CO39" s="764">
        <f>+CO82</f>
        <v>151.35221789574771</v>
      </c>
      <c r="CP39" s="764">
        <f>+CP82</f>
        <v>156.10034503137229</v>
      </c>
      <c r="CQ39" s="764">
        <f>+CQ82</f>
        <v>159.72739514046</v>
      </c>
      <c r="CR39" s="762">
        <f>+SUM(CN39:CQ39)</f>
        <v>632.63905417710475</v>
      </c>
      <c r="CT39" s="759"/>
      <c r="CU39" s="759"/>
      <c r="CW39" s="725">
        <f>+AJ39-SUM(AF39:AI39)</f>
        <v>0</v>
      </c>
      <c r="CX39" s="725">
        <f>+AO39-SUM(AK39:AN39)</f>
        <v>0</v>
      </c>
      <c r="CY39" s="725">
        <f>+AT39-SUM(AP39:AS39)</f>
        <v>0</v>
      </c>
      <c r="CZ39" s="725">
        <f>+AY39-SUM(AU39:AX39)</f>
        <v>138.63899999999995</v>
      </c>
      <c r="DA39" s="725">
        <f>+BD39-SUM(AZ39:BC39)</f>
        <v>0</v>
      </c>
      <c r="DB39" s="725">
        <f>+BI39-SUM(BE39:BH39)</f>
        <v>0</v>
      </c>
      <c r="DC39" s="725">
        <f>+BN39-SUM(BJ39:BM39)</f>
        <v>0</v>
      </c>
      <c r="DD39" s="725">
        <f>+BS39-SUM(BO39:BR39)</f>
        <v>0</v>
      </c>
      <c r="DE39" s="725">
        <f>+BX39-SUM(BT39:BW39)</f>
        <v>0</v>
      </c>
      <c r="DF39" s="725">
        <f>+CC39-SUM(BY39:CB39)</f>
        <v>0</v>
      </c>
      <c r="DG39" s="725">
        <f>+CH39-SUM(CD39:CG39)</f>
        <v>0</v>
      </c>
      <c r="DH39" s="725">
        <f>+CM39-SUM(CI39:CL39)</f>
        <v>0</v>
      </c>
      <c r="DI39" s="725">
        <f>+CR39-SUM(CN39:CQ39)</f>
        <v>0</v>
      </c>
    </row>
    <row r="40" spans="1:113" ht="12" hidden="1" customHeight="1" outlineLevel="1">
      <c r="A40" s="733" t="s">
        <v>881</v>
      </c>
      <c r="B40" s="687"/>
      <c r="C40" s="731"/>
      <c r="D40" s="731"/>
      <c r="E40" s="731"/>
      <c r="F40" s="736"/>
      <c r="G40" s="687"/>
      <c r="H40" s="731"/>
      <c r="I40" s="731"/>
      <c r="J40" s="731"/>
      <c r="K40" s="736"/>
      <c r="L40" s="734"/>
      <c r="M40" s="734"/>
      <c r="N40" s="734"/>
      <c r="O40" s="734"/>
      <c r="P40" s="735"/>
      <c r="Q40" s="734"/>
      <c r="R40" s="734"/>
      <c r="S40" s="734"/>
      <c r="T40" s="734"/>
      <c r="U40" s="735"/>
      <c r="V40" s="734"/>
      <c r="W40" s="734"/>
      <c r="X40" s="734"/>
      <c r="Y40" s="734"/>
      <c r="Z40" s="735"/>
      <c r="AA40" s="734"/>
      <c r="AB40" s="734"/>
      <c r="AC40" s="734"/>
      <c r="AD40" s="734"/>
      <c r="AE40" s="735"/>
      <c r="AF40" s="734"/>
      <c r="AG40" s="734"/>
      <c r="AH40" s="734"/>
      <c r="AI40" s="734"/>
      <c r="AJ40" s="735"/>
      <c r="AK40" s="734"/>
      <c r="AL40" s="734"/>
      <c r="AM40" s="734"/>
      <c r="AN40" s="734"/>
      <c r="AO40" s="735"/>
      <c r="AP40" s="734"/>
      <c r="AQ40" s="734"/>
      <c r="AR40" s="734"/>
      <c r="AS40" s="734"/>
      <c r="AT40" s="735"/>
      <c r="AU40" s="734"/>
      <c r="AV40" s="734"/>
      <c r="AW40" s="734"/>
      <c r="AX40" s="734"/>
      <c r="AY40" s="735"/>
      <c r="AZ40" s="734"/>
      <c r="BA40" s="734"/>
      <c r="BB40" s="734">
        <f>+BB39/AW39-1</f>
        <v>0.11166575103718723</v>
      </c>
      <c r="BC40" s="734">
        <f>+BC39/AX39-1</f>
        <v>0.10943851626016299</v>
      </c>
      <c r="BD40" s="735">
        <f>+BD39/AY39-1</f>
        <v>0.31198772081789761</v>
      </c>
      <c r="BE40" s="734">
        <f t="shared" ref="BE40:BT40" si="22">+BE39/AZ41-1</f>
        <v>0.10689873201408107</v>
      </c>
      <c r="BF40" s="734">
        <f t="shared" si="22"/>
        <v>8.6627369394359777E-2</v>
      </c>
      <c r="BG40" s="734">
        <f>+BG39/BB41-1</f>
        <v>8.0255960532743753E-2</v>
      </c>
      <c r="BH40" s="734">
        <f>+BH39/BC41-1</f>
        <v>5.323577160707571E-2</v>
      </c>
      <c r="BI40" s="735">
        <f t="shared" si="22"/>
        <v>8.1022969760403907E-2</v>
      </c>
      <c r="BJ40" s="734">
        <f t="shared" si="22"/>
        <v>4.1344068176028648E-2</v>
      </c>
      <c r="BK40" s="734">
        <f t="shared" si="22"/>
        <v>2.3651241063356254E-2</v>
      </c>
      <c r="BL40" s="734">
        <f t="shared" si="22"/>
        <v>-1.5450312861421511E-2</v>
      </c>
      <c r="BM40" s="734">
        <f t="shared" si="22"/>
        <v>-1.850417859856246E-2</v>
      </c>
      <c r="BN40" s="735">
        <f t="shared" si="22"/>
        <v>7.227830525012191E-3</v>
      </c>
      <c r="BO40" s="734">
        <f t="shared" si="22"/>
        <v>-2.5937154844592025E-2</v>
      </c>
      <c r="BP40" s="734">
        <f t="shared" si="22"/>
        <v>-2.3594638324402117E-2</v>
      </c>
      <c r="BQ40" s="734">
        <f t="shared" si="22"/>
        <v>-6.0240963855422436E-3</v>
      </c>
      <c r="BR40" s="734">
        <f t="shared" si="22"/>
        <v>-1.0092664954783892E-2</v>
      </c>
      <c r="BS40" s="735">
        <f>+BS39/BN39-1</f>
        <v>-1.6457026185189183E-2</v>
      </c>
      <c r="BT40" s="734">
        <f t="shared" si="22"/>
        <v>1.1156433594106785E-2</v>
      </c>
      <c r="BU40" s="734">
        <f>+BU39/BP41-1</f>
        <v>-1.7380931169471703E-3</v>
      </c>
      <c r="BV40" s="734">
        <f>+BV39/BQ41-1</f>
        <v>3.2579999999999831E-3</v>
      </c>
      <c r="BW40" s="734">
        <f>+BW39/BR41-1</f>
        <v>1.3533936345386133E-2</v>
      </c>
      <c r="BX40" s="735">
        <f>+BX39/BS39-1</f>
        <v>6.5675700718617058E-3</v>
      </c>
      <c r="BY40" s="734">
        <f>+BY39/BT41-1</f>
        <v>2.5932070896364845E-2</v>
      </c>
      <c r="BZ40" s="734">
        <f>+BZ39/BU41-1</f>
        <v>1.993155021873938E-2</v>
      </c>
      <c r="CA40" s="734">
        <f>+CA39/BV41-1</f>
        <v>2.8875692992231139E-2</v>
      </c>
      <c r="CB40" s="734">
        <f>+CB39/BW41-1</f>
        <v>3.4020875525782701E-2</v>
      </c>
      <c r="CC40" s="735">
        <f>+CC39/BX39-1</f>
        <v>2.7234530965226877E-2</v>
      </c>
      <c r="CD40" s="734">
        <f>+CD39/BY41-1</f>
        <v>6.4728792033657667E-2</v>
      </c>
      <c r="CE40" s="734">
        <f>+CE39/BZ41-1</f>
        <v>4.1198087508030001E-2</v>
      </c>
      <c r="CF40" s="734">
        <f>+CF39/CA41-1</f>
        <v>4.4834894434200301E-2</v>
      </c>
      <c r="CG40" s="734">
        <f>+CG39/CB41-1</f>
        <v>4.491552389647735E-2</v>
      </c>
      <c r="CH40" s="735">
        <f>+CH39/CC39-1</f>
        <v>4.8930818632039186E-2</v>
      </c>
      <c r="CI40" s="734">
        <f>+CI39/CD41-1</f>
        <v>6.7510125712317404E-2</v>
      </c>
      <c r="CJ40" s="734">
        <f>+CJ39/CE41-1</f>
        <v>4.2368252293908837E-2</v>
      </c>
      <c r="CK40" s="734">
        <f>+CK39/CF41-1</f>
        <v>4.6328061677695764E-2</v>
      </c>
      <c r="CL40" s="734">
        <f>+CL39/CG41-1</f>
        <v>4.6415539906026204E-2</v>
      </c>
      <c r="CM40" s="735">
        <f>+CM39/CH39-1</f>
        <v>5.0754887777286539E-2</v>
      </c>
      <c r="CN40" s="734">
        <f>+CN39/CI41-1</f>
        <v>6.7908651431180855E-2</v>
      </c>
      <c r="CO40" s="734">
        <f>+CO39/CJ41-1</f>
        <v>4.1145360079505533E-2</v>
      </c>
      <c r="CP40" s="734">
        <f>+CP39/CK41-1</f>
        <v>4.7945873399632077E-2</v>
      </c>
      <c r="CQ40" s="734">
        <f>+CQ39/CL41-1</f>
        <v>4.8040510841061757E-2</v>
      </c>
      <c r="CR40" s="735">
        <f>+CR39/CM39-1</f>
        <v>5.1467406269463334E-2</v>
      </c>
      <c r="CT40" s="759"/>
      <c r="CU40" s="759"/>
      <c r="CW40" s="725"/>
      <c r="CX40" s="725"/>
      <c r="CY40" s="725"/>
      <c r="CZ40" s="725"/>
      <c r="DA40" s="725"/>
      <c r="DB40" s="725"/>
      <c r="DC40" s="725"/>
      <c r="DD40" s="725"/>
      <c r="DE40" s="725"/>
      <c r="DF40" s="725"/>
      <c r="DG40" s="725"/>
      <c r="DH40" s="725"/>
      <c r="DI40" s="725"/>
    </row>
    <row r="41" spans="1:113" ht="12" hidden="1" customHeight="1" outlineLevel="1">
      <c r="A41" s="760" t="s">
        <v>894</v>
      </c>
      <c r="B41" s="687"/>
      <c r="C41" s="731"/>
      <c r="D41" s="731"/>
      <c r="E41" s="731"/>
      <c r="F41" s="736"/>
      <c r="G41" s="761"/>
      <c r="H41" s="761"/>
      <c r="I41" s="761"/>
      <c r="J41" s="761"/>
      <c r="K41" s="762"/>
      <c r="L41" s="761"/>
      <c r="M41" s="761"/>
      <c r="N41" s="761"/>
      <c r="O41" s="761"/>
      <c r="P41" s="762"/>
      <c r="Q41" s="761"/>
      <c r="R41" s="761"/>
      <c r="S41" s="761"/>
      <c r="T41" s="761"/>
      <c r="U41" s="762"/>
      <c r="V41" s="761"/>
      <c r="W41" s="761"/>
      <c r="X41" s="761"/>
      <c r="Y41" s="761"/>
      <c r="Z41" s="763"/>
      <c r="AA41" s="761"/>
      <c r="AB41" s="761"/>
      <c r="AC41" s="761"/>
      <c r="AD41" s="761"/>
      <c r="AE41" s="762"/>
      <c r="AF41" s="761"/>
      <c r="AG41" s="761"/>
      <c r="AH41" s="761"/>
      <c r="AI41" s="761"/>
      <c r="AJ41" s="762"/>
      <c r="AK41" s="764"/>
      <c r="AL41" s="764"/>
      <c r="AM41" s="764"/>
      <c r="AN41" s="764"/>
      <c r="AO41" s="763"/>
      <c r="AP41" s="765"/>
      <c r="AQ41" s="765"/>
      <c r="AR41" s="765"/>
      <c r="AS41" s="765"/>
      <c r="AT41" s="762"/>
      <c r="AU41" s="761"/>
      <c r="AV41" s="761"/>
      <c r="AW41" s="761"/>
      <c r="AX41" s="761"/>
      <c r="AY41" s="762"/>
      <c r="AZ41" s="761">
        <f>+AZ39+6.4</f>
        <v>117.036</v>
      </c>
      <c r="BA41" s="761">
        <f>+BA39+6.4</f>
        <v>121.128</v>
      </c>
      <c r="BB41" s="761">
        <f>+BB39+7.5</f>
        <v>124.863</v>
      </c>
      <c r="BC41" s="766">
        <f>+BC39+(23.1/3)</f>
        <v>129.96899999999999</v>
      </c>
      <c r="BD41" s="736">
        <f>+SUM(AZ41:BC41)</f>
        <v>492.99599999999998</v>
      </c>
      <c r="BE41" s="764">
        <f>+BE39</f>
        <v>129.547</v>
      </c>
      <c r="BF41" s="764">
        <f>+BF39</f>
        <v>131.62100000000001</v>
      </c>
      <c r="BG41" s="764">
        <f>+BG39</f>
        <v>134.88399999999999</v>
      </c>
      <c r="BH41" s="764">
        <f>+BH39</f>
        <v>136.88800000000001</v>
      </c>
      <c r="BI41" s="762">
        <f>+SUM(BE41:BH41)</f>
        <v>532.94000000000005</v>
      </c>
      <c r="BJ41" s="764">
        <f>+BJ39</f>
        <v>134.90299999999999</v>
      </c>
      <c r="BK41" s="764">
        <f>+BK39</f>
        <v>134.73400000000001</v>
      </c>
      <c r="BL41" s="764">
        <f>+BL39</f>
        <v>132.80000000000001</v>
      </c>
      <c r="BM41" s="764">
        <f>+BM39</f>
        <v>134.35499999999999</v>
      </c>
      <c r="BN41" s="762">
        <f>+SUM(BJ41:BM41)</f>
        <v>536.79200000000003</v>
      </c>
      <c r="BO41" s="764">
        <f>+BO39</f>
        <v>131.404</v>
      </c>
      <c r="BP41" s="764">
        <f>+BP39</f>
        <v>131.55500000000001</v>
      </c>
      <c r="BQ41" s="764">
        <f>+BQ39</f>
        <v>132</v>
      </c>
      <c r="BR41" s="764">
        <f>+BR39</f>
        <v>132.999</v>
      </c>
      <c r="BS41" s="762">
        <f>+SUM(BO41:BR41)</f>
        <v>527.95799999999997</v>
      </c>
      <c r="BT41" s="764">
        <f>+BT39</f>
        <v>132.87</v>
      </c>
      <c r="BU41" s="764">
        <f>+BU43</f>
        <v>131.32634516000002</v>
      </c>
      <c r="BV41" s="764">
        <f>+BV43</f>
        <v>132.43005600000001</v>
      </c>
      <c r="BW41" s="764">
        <f>+BW43</f>
        <v>134.79900000000001</v>
      </c>
      <c r="BX41" s="762">
        <f>+SUM(BT41:BW41)</f>
        <v>531.42540115999998</v>
      </c>
      <c r="BY41" s="764">
        <f>+BY43</f>
        <v>136.31559426000001</v>
      </c>
      <c r="BZ41" s="764">
        <f>+BZ43</f>
        <v>133.94388280360005</v>
      </c>
      <c r="CA41" s="764">
        <f>+CA43</f>
        <v>136.25406563999999</v>
      </c>
      <c r="CB41" s="764">
        <f>+CB43</f>
        <v>139.38497999999998</v>
      </c>
      <c r="CC41" s="762">
        <f>+SUM(BY41:CB41)</f>
        <v>545.89852270360007</v>
      </c>
      <c r="CD41" s="764">
        <f>+CD43</f>
        <v>145.13913801180001</v>
      </c>
      <c r="CE41" s="764">
        <f>+CE43</f>
        <v>139.46211460850807</v>
      </c>
      <c r="CF41" s="764">
        <f>+CF43</f>
        <v>142.36300228919998</v>
      </c>
      <c r="CG41" s="764">
        <f>+CG43</f>
        <v>145.64552939999999</v>
      </c>
      <c r="CH41" s="762">
        <f>+SUM(CD41:CG41)</f>
        <v>572.60978430950809</v>
      </c>
      <c r="CI41" s="764">
        <f>+CI43</f>
        <v>154.93749946475401</v>
      </c>
      <c r="CJ41" s="764">
        <f>+CJ43</f>
        <v>145.37088066568336</v>
      </c>
      <c r="CK41" s="764">
        <f>+CK43</f>
        <v>148.95840423987599</v>
      </c>
      <c r="CL41" s="764">
        <f>+CL43</f>
        <v>152.405745282</v>
      </c>
      <c r="CM41" s="762">
        <f>+SUM(CI41:CL41)</f>
        <v>601.67252965231341</v>
      </c>
      <c r="CN41" s="764">
        <f>+CN43</f>
        <v>165.45909610952475</v>
      </c>
      <c r="CO41" s="764">
        <f>+CO43</f>
        <v>151.35221789574771</v>
      </c>
      <c r="CP41" s="764">
        <f>+CP43</f>
        <v>156.10034503137229</v>
      </c>
      <c r="CQ41" s="764">
        <f>+CQ43</f>
        <v>159.72739514046</v>
      </c>
      <c r="CR41" s="762">
        <f>+SUM(CN41:CQ41)</f>
        <v>632.63905417710475</v>
      </c>
      <c r="CT41" s="759"/>
      <c r="CU41" s="759"/>
      <c r="CW41" s="725">
        <f>+AJ41-SUM(AF41:AI41)</f>
        <v>0</v>
      </c>
      <c r="CX41" s="725">
        <f>+AO41-SUM(AK41:AN41)</f>
        <v>0</v>
      </c>
      <c r="CY41" s="725">
        <f>+AT41-SUM(AP41:AS41)</f>
        <v>0</v>
      </c>
      <c r="CZ41" s="725">
        <f>+AY41-SUM(AU41:AX41)</f>
        <v>0</v>
      </c>
      <c r="DA41" s="725">
        <f>+BD41-SUM(AZ41:BC41)</f>
        <v>0</v>
      </c>
      <c r="DB41" s="725">
        <f>+BI41-SUM(BE41:BH41)</f>
        <v>0</v>
      </c>
      <c r="DC41" s="725">
        <f>+BN41-SUM(BJ41:BM41)</f>
        <v>0</v>
      </c>
      <c r="DD41" s="725">
        <f>+BS41-SUM(BO41:BR41)</f>
        <v>0</v>
      </c>
      <c r="DE41" s="725">
        <f>+BX41-SUM(BT41:BW41)</f>
        <v>0</v>
      </c>
      <c r="DF41" s="725">
        <f>+CC41-SUM(BY41:CB41)</f>
        <v>0</v>
      </c>
      <c r="DG41" s="725">
        <f>+CH41-SUM(CD41:CG41)</f>
        <v>0</v>
      </c>
      <c r="DH41" s="725">
        <f>+CM41-SUM(CI41:CL41)</f>
        <v>0</v>
      </c>
      <c r="DI41" s="725">
        <f>+CR41-SUM(CN41:CQ41)</f>
        <v>0</v>
      </c>
    </row>
    <row r="42" spans="1:113" ht="12" hidden="1" customHeight="1" outlineLevel="1">
      <c r="A42" s="733" t="s">
        <v>881</v>
      </c>
      <c r="B42" s="687"/>
      <c r="C42" s="731"/>
      <c r="D42" s="731"/>
      <c r="E42" s="731"/>
      <c r="F42" s="736"/>
      <c r="G42" s="687"/>
      <c r="H42" s="731"/>
      <c r="I42" s="731"/>
      <c r="J42" s="731"/>
      <c r="K42" s="736"/>
      <c r="L42" s="734"/>
      <c r="M42" s="734"/>
      <c r="N42" s="734"/>
      <c r="O42" s="734"/>
      <c r="P42" s="735"/>
      <c r="Q42" s="734"/>
      <c r="R42" s="734"/>
      <c r="S42" s="734"/>
      <c r="T42" s="734"/>
      <c r="U42" s="735"/>
      <c r="V42" s="734"/>
      <c r="W42" s="734"/>
      <c r="X42" s="734"/>
      <c r="Y42" s="734"/>
      <c r="Z42" s="735"/>
      <c r="AA42" s="734"/>
      <c r="AB42" s="734"/>
      <c r="AC42" s="734"/>
      <c r="AD42" s="734"/>
      <c r="AE42" s="735"/>
      <c r="AF42" s="734"/>
      <c r="AG42" s="734"/>
      <c r="AH42" s="734"/>
      <c r="AI42" s="734"/>
      <c r="AJ42" s="735"/>
      <c r="AK42" s="734"/>
      <c r="AL42" s="734"/>
      <c r="AM42" s="734"/>
      <c r="AN42" s="734"/>
      <c r="AO42" s="735"/>
      <c r="AP42" s="734"/>
      <c r="AQ42" s="734"/>
      <c r="AR42" s="734"/>
      <c r="AS42" s="734"/>
      <c r="AT42" s="735"/>
      <c r="AU42" s="734"/>
      <c r="AV42" s="734"/>
      <c r="AW42" s="734"/>
      <c r="AX42" s="734"/>
      <c r="AY42" s="735"/>
      <c r="AZ42" s="734"/>
      <c r="BA42" s="734"/>
      <c r="BB42" s="734"/>
      <c r="BC42" s="734"/>
      <c r="BD42" s="735"/>
      <c r="BE42" s="734">
        <f t="shared" ref="BE42:CR42" si="23">+BE41/AZ41-1</f>
        <v>0.10689873201408107</v>
      </c>
      <c r="BF42" s="734">
        <f t="shared" si="23"/>
        <v>8.6627369394359777E-2</v>
      </c>
      <c r="BG42" s="734">
        <f t="shared" si="23"/>
        <v>8.0255960532743753E-2</v>
      </c>
      <c r="BH42" s="734">
        <f t="shared" si="23"/>
        <v>5.323577160707571E-2</v>
      </c>
      <c r="BI42" s="735">
        <f t="shared" si="23"/>
        <v>8.1022969760403907E-2</v>
      </c>
      <c r="BJ42" s="734">
        <f t="shared" si="23"/>
        <v>4.1344068176028648E-2</v>
      </c>
      <c r="BK42" s="734">
        <f t="shared" si="23"/>
        <v>2.3651241063356254E-2</v>
      </c>
      <c r="BL42" s="734">
        <f t="shared" si="23"/>
        <v>-1.5450312861421511E-2</v>
      </c>
      <c r="BM42" s="734">
        <f t="shared" si="23"/>
        <v>-1.850417859856246E-2</v>
      </c>
      <c r="BN42" s="735">
        <f t="shared" si="23"/>
        <v>7.227830525012191E-3</v>
      </c>
      <c r="BO42" s="734">
        <f t="shared" si="23"/>
        <v>-2.5937154844592025E-2</v>
      </c>
      <c r="BP42" s="734">
        <f t="shared" si="23"/>
        <v>-2.3594638324402117E-2</v>
      </c>
      <c r="BQ42" s="734">
        <f t="shared" si="23"/>
        <v>-6.0240963855422436E-3</v>
      </c>
      <c r="BR42" s="734">
        <f t="shared" si="23"/>
        <v>-1.0092664954783892E-2</v>
      </c>
      <c r="BS42" s="735">
        <f t="shared" si="23"/>
        <v>-1.6457026185189183E-2</v>
      </c>
      <c r="BT42" s="734">
        <f t="shared" si="23"/>
        <v>1.1156433594106785E-2</v>
      </c>
      <c r="BU42" s="734">
        <f t="shared" si="23"/>
        <v>-1.7380931169471703E-3</v>
      </c>
      <c r="BV42" s="734">
        <f t="shared" si="23"/>
        <v>3.2579999999999831E-3</v>
      </c>
      <c r="BW42" s="734">
        <f t="shared" si="23"/>
        <v>1.3533936345386133E-2</v>
      </c>
      <c r="BX42" s="735">
        <f t="shared" si="23"/>
        <v>6.5675700718617058E-3</v>
      </c>
      <c r="BY42" s="734">
        <f t="shared" si="23"/>
        <v>2.5932070896364845E-2</v>
      </c>
      <c r="BZ42" s="734">
        <f t="shared" si="23"/>
        <v>1.993155021873938E-2</v>
      </c>
      <c r="CA42" s="734">
        <f t="shared" si="23"/>
        <v>2.8875692992231139E-2</v>
      </c>
      <c r="CB42" s="734">
        <f t="shared" si="23"/>
        <v>3.4020875525782701E-2</v>
      </c>
      <c r="CC42" s="735">
        <f t="shared" si="23"/>
        <v>2.7234530965226877E-2</v>
      </c>
      <c r="CD42" s="734">
        <f t="shared" si="23"/>
        <v>6.4728792033657667E-2</v>
      </c>
      <c r="CE42" s="734">
        <f t="shared" si="23"/>
        <v>4.1198087508030001E-2</v>
      </c>
      <c r="CF42" s="734">
        <f t="shared" si="23"/>
        <v>4.4834894434200301E-2</v>
      </c>
      <c r="CG42" s="734">
        <f t="shared" si="23"/>
        <v>4.491552389647735E-2</v>
      </c>
      <c r="CH42" s="735">
        <f t="shared" si="23"/>
        <v>4.8930818632039186E-2</v>
      </c>
      <c r="CI42" s="734">
        <f t="shared" si="23"/>
        <v>6.7510125712317404E-2</v>
      </c>
      <c r="CJ42" s="734">
        <f t="shared" si="23"/>
        <v>4.2368252293908837E-2</v>
      </c>
      <c r="CK42" s="734">
        <f t="shared" si="23"/>
        <v>4.6328061677695764E-2</v>
      </c>
      <c r="CL42" s="734">
        <f t="shared" si="23"/>
        <v>4.6415539906026204E-2</v>
      </c>
      <c r="CM42" s="735">
        <f t="shared" si="23"/>
        <v>5.0754887777286539E-2</v>
      </c>
      <c r="CN42" s="734">
        <f t="shared" si="23"/>
        <v>6.7908651431180855E-2</v>
      </c>
      <c r="CO42" s="734">
        <f t="shared" si="23"/>
        <v>4.1145360079505533E-2</v>
      </c>
      <c r="CP42" s="734">
        <f t="shared" si="23"/>
        <v>4.7945873399632077E-2</v>
      </c>
      <c r="CQ42" s="734">
        <f t="shared" si="23"/>
        <v>4.8040510841061757E-2</v>
      </c>
      <c r="CR42" s="735">
        <f t="shared" si="23"/>
        <v>5.1467406269463334E-2</v>
      </c>
      <c r="CT42" s="759"/>
      <c r="CU42" s="759"/>
      <c r="CW42" s="725"/>
      <c r="CX42" s="725"/>
      <c r="CY42" s="725"/>
      <c r="CZ42" s="725"/>
      <c r="DA42" s="725"/>
      <c r="DB42" s="725"/>
      <c r="DC42" s="725"/>
      <c r="DD42" s="725"/>
      <c r="DE42" s="725"/>
      <c r="DF42" s="725"/>
      <c r="DG42" s="725"/>
      <c r="DH42" s="725"/>
      <c r="DI42" s="725"/>
    </row>
    <row r="43" spans="1:113" ht="12" customHeight="1" collapsed="1">
      <c r="A43" s="760" t="s">
        <v>895</v>
      </c>
      <c r="B43" s="687"/>
      <c r="C43" s="731"/>
      <c r="D43" s="731"/>
      <c r="E43" s="731"/>
      <c r="F43" s="736"/>
      <c r="G43" s="761"/>
      <c r="H43" s="761"/>
      <c r="I43" s="761"/>
      <c r="J43" s="761"/>
      <c r="K43" s="762"/>
      <c r="L43" s="761"/>
      <c r="M43" s="761"/>
      <c r="N43" s="761"/>
      <c r="O43" s="761"/>
      <c r="P43" s="762"/>
      <c r="Q43" s="761"/>
      <c r="R43" s="761"/>
      <c r="S43" s="761"/>
      <c r="T43" s="761"/>
      <c r="U43" s="762"/>
      <c r="V43" s="761"/>
      <c r="W43" s="761"/>
      <c r="X43" s="761"/>
      <c r="Y43" s="761"/>
      <c r="Z43" s="763"/>
      <c r="AA43" s="761"/>
      <c r="AB43" s="761"/>
      <c r="AC43" s="761"/>
      <c r="AD43" s="761"/>
      <c r="AE43" s="762"/>
      <c r="AF43" s="761"/>
      <c r="AG43" s="761"/>
      <c r="AH43" s="761"/>
      <c r="AI43" s="761"/>
      <c r="AJ43" s="762"/>
      <c r="AK43" s="764"/>
      <c r="AL43" s="764"/>
      <c r="AM43" s="764"/>
      <c r="AN43" s="764"/>
      <c r="AO43" s="763">
        <v>153.63399999999999</v>
      </c>
      <c r="AP43" s="765">
        <f>+AP34</f>
        <v>49.4</v>
      </c>
      <c r="AQ43" s="765">
        <f>+AQ34</f>
        <v>60.4</v>
      </c>
      <c r="AR43" s="765">
        <f>176.481-SUM(AP43:AQ43)</f>
        <v>66.680999999999997</v>
      </c>
      <c r="AS43" s="765">
        <f>243.981-SUM(AP43:AR43)</f>
        <v>67.5</v>
      </c>
      <c r="AT43" s="762">
        <f>+SUM(AP43:AS43)</f>
        <v>243.98099999999999</v>
      </c>
      <c r="AU43" s="761">
        <f>+AU34</f>
        <v>69.604000000000013</v>
      </c>
      <c r="AV43" s="761">
        <v>69.034999999999997</v>
      </c>
      <c r="AW43" s="761">
        <v>70.373999999999995</v>
      </c>
      <c r="AX43" s="761">
        <v>64.811000000000007</v>
      </c>
      <c r="AY43" s="762">
        <f>+SUM(AU43:AX43)</f>
        <v>273.82400000000001</v>
      </c>
      <c r="AZ43" s="761">
        <v>51.033999999999999</v>
      </c>
      <c r="BA43" s="761">
        <v>61.725000000000001</v>
      </c>
      <c r="BB43" s="761">
        <v>106.96899999999999</v>
      </c>
      <c r="BC43" s="761">
        <f>335.532-SUM(AZ43:BB43)</f>
        <v>115.80399999999997</v>
      </c>
      <c r="BD43" s="762">
        <f>+SUM(AZ43:BC43)</f>
        <v>335.53199999999998</v>
      </c>
      <c r="BE43" s="761">
        <v>129.547</v>
      </c>
      <c r="BF43" s="761">
        <v>131.62100000000001</v>
      </c>
      <c r="BG43" s="761">
        <v>134.88399999999999</v>
      </c>
      <c r="BH43" s="761">
        <v>136.88800000000001</v>
      </c>
      <c r="BI43" s="762">
        <f>+SUM(BE43:BH43)</f>
        <v>532.94000000000005</v>
      </c>
      <c r="BJ43" s="761">
        <v>134.90299999999999</v>
      </c>
      <c r="BK43" s="761">
        <v>134.73400000000001</v>
      </c>
      <c r="BL43" s="761">
        <f>+BL34</f>
        <v>132.80000000000001</v>
      </c>
      <c r="BM43" s="761">
        <v>134.35499999999999</v>
      </c>
      <c r="BN43" s="762">
        <f>+SUM(BJ43:BM43)</f>
        <v>536.79200000000003</v>
      </c>
      <c r="BO43" s="761">
        <v>131.404</v>
      </c>
      <c r="BP43" s="761">
        <v>131.55500000000001</v>
      </c>
      <c r="BQ43" s="761">
        <f>+BQ34</f>
        <v>132</v>
      </c>
      <c r="BR43" s="761">
        <v>132.999</v>
      </c>
      <c r="BS43" s="762">
        <f>+SUM(BO43:BR43)</f>
        <v>527.95799999999997</v>
      </c>
      <c r="BT43" s="761">
        <v>132.87</v>
      </c>
      <c r="BU43" s="764">
        <f>+BU82</f>
        <v>131.32634516000002</v>
      </c>
      <c r="BV43" s="764">
        <f>+BV82</f>
        <v>132.43005600000001</v>
      </c>
      <c r="BW43" s="764">
        <f>+BW82</f>
        <v>134.79900000000001</v>
      </c>
      <c r="BX43" s="762">
        <f>+SUM(BT43:BW43)</f>
        <v>531.42540115999998</v>
      </c>
      <c r="BY43" s="764">
        <f>+BY82</f>
        <v>136.31559426000001</v>
      </c>
      <c r="BZ43" s="764">
        <f>+BZ82</f>
        <v>133.94388280360005</v>
      </c>
      <c r="CA43" s="764">
        <f>+CA82</f>
        <v>136.25406563999999</v>
      </c>
      <c r="CB43" s="764">
        <f>+CB82</f>
        <v>139.38497999999998</v>
      </c>
      <c r="CC43" s="762">
        <f>+SUM(BY43:CB43)</f>
        <v>545.89852270360007</v>
      </c>
      <c r="CD43" s="764">
        <f>+CD82</f>
        <v>145.13913801180001</v>
      </c>
      <c r="CE43" s="764">
        <f>+CE82</f>
        <v>139.46211460850807</v>
      </c>
      <c r="CF43" s="764">
        <f>+CF82</f>
        <v>142.36300228919998</v>
      </c>
      <c r="CG43" s="764">
        <f>+CG82</f>
        <v>145.64552939999999</v>
      </c>
      <c r="CH43" s="762">
        <f>+SUM(CD43:CG43)</f>
        <v>572.60978430950809</v>
      </c>
      <c r="CI43" s="764">
        <f>+CI82</f>
        <v>154.93749946475401</v>
      </c>
      <c r="CJ43" s="764">
        <f>+CJ82</f>
        <v>145.37088066568336</v>
      </c>
      <c r="CK43" s="764">
        <f>+CK82</f>
        <v>148.95840423987599</v>
      </c>
      <c r="CL43" s="764">
        <f>+CL82</f>
        <v>152.405745282</v>
      </c>
      <c r="CM43" s="762">
        <f>+SUM(CI43:CL43)</f>
        <v>601.67252965231341</v>
      </c>
      <c r="CN43" s="764">
        <f>+CN82</f>
        <v>165.45909610952475</v>
      </c>
      <c r="CO43" s="764">
        <f>+CO82</f>
        <v>151.35221789574771</v>
      </c>
      <c r="CP43" s="764">
        <f>+CP82</f>
        <v>156.10034503137229</v>
      </c>
      <c r="CQ43" s="764">
        <f>+CQ82</f>
        <v>159.72739514046</v>
      </c>
      <c r="CR43" s="762">
        <f>+SUM(CN43:CQ43)</f>
        <v>632.63905417710475</v>
      </c>
      <c r="CT43" s="767">
        <f>+(CC43/BN43)^(0.333333333333333)-1</f>
        <v>5.6232247070790997E-3</v>
      </c>
      <c r="CU43" s="767">
        <f>+(CM43/BN43)^(0.2)-1</f>
        <v>2.3082909194909851E-2</v>
      </c>
      <c r="CW43" s="725">
        <f>+AJ43-SUM(AF43:AI43)</f>
        <v>0</v>
      </c>
      <c r="CX43" s="725">
        <f>+AO43-SUM(AK43:AN43)</f>
        <v>153.63399999999999</v>
      </c>
      <c r="CY43" s="725">
        <f>+AT43-SUM(AP43:AS43)</f>
        <v>0</v>
      </c>
      <c r="CZ43" s="725">
        <f>+AY43-SUM(AU43:AX43)</f>
        <v>0</v>
      </c>
      <c r="DA43" s="725">
        <f>+BD43-SUM(AZ43:BC43)</f>
        <v>0</v>
      </c>
      <c r="DB43" s="725">
        <f>+BI43-SUM(BE43:BH43)</f>
        <v>0</v>
      </c>
      <c r="DC43" s="725">
        <f>+BN43-SUM(BJ43:BM43)</f>
        <v>0</v>
      </c>
      <c r="DD43" s="725">
        <f>+BS43-SUM(BO43:BR43)</f>
        <v>0</v>
      </c>
      <c r="DE43" s="725">
        <f>+BX43-SUM(BT43:BW43)</f>
        <v>0</v>
      </c>
      <c r="DF43" s="725">
        <f>+CC43-SUM(BY43:CB43)</f>
        <v>0</v>
      </c>
      <c r="DG43" s="725">
        <f>+CH43-SUM(CD43:CG43)</f>
        <v>0</v>
      </c>
      <c r="DH43" s="725">
        <f>+CM43-SUM(CI43:CL43)</f>
        <v>0</v>
      </c>
      <c r="DI43" s="725">
        <f>+CR43-SUM(CN43:CQ43)</f>
        <v>0</v>
      </c>
    </row>
    <row r="44" spans="1:113" ht="12" customHeight="1">
      <c r="A44" s="733" t="s">
        <v>881</v>
      </c>
      <c r="B44" s="687"/>
      <c r="C44" s="731"/>
      <c r="D44" s="731"/>
      <c r="E44" s="731"/>
      <c r="F44" s="736"/>
      <c r="G44" s="687"/>
      <c r="H44" s="731"/>
      <c r="I44" s="731"/>
      <c r="J44" s="731"/>
      <c r="K44" s="736"/>
      <c r="L44" s="734"/>
      <c r="M44" s="734"/>
      <c r="N44" s="734"/>
      <c r="O44" s="734"/>
      <c r="P44" s="735"/>
      <c r="Q44" s="734"/>
      <c r="R44" s="734"/>
      <c r="S44" s="734"/>
      <c r="T44" s="734"/>
      <c r="U44" s="735"/>
      <c r="V44" s="734"/>
      <c r="W44" s="734"/>
      <c r="X44" s="734"/>
      <c r="Y44" s="734"/>
      <c r="Z44" s="735"/>
      <c r="AA44" s="734"/>
      <c r="AB44" s="734"/>
      <c r="AC44" s="734"/>
      <c r="AD44" s="734"/>
      <c r="AE44" s="735"/>
      <c r="AF44" s="734"/>
      <c r="AG44" s="734"/>
      <c r="AH44" s="734"/>
      <c r="AI44" s="734"/>
      <c r="AJ44" s="735"/>
      <c r="AK44" s="734"/>
      <c r="AL44" s="734"/>
      <c r="AM44" s="734"/>
      <c r="AN44" s="734"/>
      <c r="AO44" s="735"/>
      <c r="AP44" s="734"/>
      <c r="AQ44" s="734"/>
      <c r="AR44" s="734"/>
      <c r="AS44" s="734"/>
      <c r="AT44" s="735">
        <f t="shared" ref="AT44:CR44" si="24">+AT43/AO43-1</f>
        <v>0.5880664436257601</v>
      </c>
      <c r="AU44" s="734">
        <f t="shared" si="24"/>
        <v>0.40898785425101236</v>
      </c>
      <c r="AV44" s="734">
        <f t="shared" si="24"/>
        <v>0.14296357615894029</v>
      </c>
      <c r="AW44" s="734">
        <f t="shared" si="24"/>
        <v>5.5383092635083342E-2</v>
      </c>
      <c r="AX44" s="734">
        <f t="shared" si="24"/>
        <v>-3.9837037037036893E-2</v>
      </c>
      <c r="AY44" s="735">
        <f t="shared" si="24"/>
        <v>0.12231690172595422</v>
      </c>
      <c r="AZ44" s="734">
        <f t="shared" si="24"/>
        <v>-0.26679501178093223</v>
      </c>
      <c r="BA44" s="734">
        <f t="shared" si="24"/>
        <v>-0.10588831752009842</v>
      </c>
      <c r="BB44" s="734">
        <f t="shared" si="24"/>
        <v>0.52000738909256272</v>
      </c>
      <c r="BC44" s="734">
        <f t="shared" si="24"/>
        <v>0.78679545138942397</v>
      </c>
      <c r="BD44" s="735">
        <f t="shared" si="24"/>
        <v>0.22535643332943778</v>
      </c>
      <c r="BE44" s="734">
        <f t="shared" si="24"/>
        <v>1.5384449582631188</v>
      </c>
      <c r="BF44" s="734">
        <f t="shared" si="24"/>
        <v>1.1323774807614422</v>
      </c>
      <c r="BG44" s="734">
        <f t="shared" si="24"/>
        <v>0.26096345670240906</v>
      </c>
      <c r="BH44" s="734">
        <f t="shared" si="24"/>
        <v>0.18206624987047104</v>
      </c>
      <c r="BI44" s="735">
        <f>+BI43/BD43-1</f>
        <v>0.58834328767449917</v>
      </c>
      <c r="BJ44" s="734">
        <f t="shared" si="24"/>
        <v>4.1344068176028648E-2</v>
      </c>
      <c r="BK44" s="734">
        <f t="shared" si="24"/>
        <v>2.3651241063356254E-2</v>
      </c>
      <c r="BL44" s="734">
        <f t="shared" si="24"/>
        <v>-1.5450312861421511E-2</v>
      </c>
      <c r="BM44" s="734">
        <f t="shared" si="24"/>
        <v>-1.850417859856246E-2</v>
      </c>
      <c r="BN44" s="735">
        <f t="shared" si="24"/>
        <v>7.227830525012191E-3</v>
      </c>
      <c r="BO44" s="734">
        <f t="shared" si="24"/>
        <v>-2.5937154844592025E-2</v>
      </c>
      <c r="BP44" s="734">
        <f t="shared" si="24"/>
        <v>-2.3594638324402117E-2</v>
      </c>
      <c r="BQ44" s="734">
        <f t="shared" si="24"/>
        <v>-6.0240963855422436E-3</v>
      </c>
      <c r="BR44" s="734">
        <f t="shared" si="24"/>
        <v>-1.0092664954783892E-2</v>
      </c>
      <c r="BS44" s="735">
        <f t="shared" si="24"/>
        <v>-1.6457026185189183E-2</v>
      </c>
      <c r="BT44" s="734">
        <f t="shared" si="24"/>
        <v>1.1156433594106785E-2</v>
      </c>
      <c r="BU44" s="734">
        <f t="shared" si="24"/>
        <v>-1.7380931169471703E-3</v>
      </c>
      <c r="BV44" s="734">
        <f t="shared" si="24"/>
        <v>3.2579999999999831E-3</v>
      </c>
      <c r="BW44" s="734">
        <f t="shared" si="24"/>
        <v>1.3533936345386133E-2</v>
      </c>
      <c r="BX44" s="735">
        <f t="shared" si="24"/>
        <v>6.5675700718617058E-3</v>
      </c>
      <c r="BY44" s="734">
        <f t="shared" si="24"/>
        <v>2.5932070896364845E-2</v>
      </c>
      <c r="BZ44" s="734">
        <f t="shared" si="24"/>
        <v>1.993155021873938E-2</v>
      </c>
      <c r="CA44" s="734">
        <f t="shared" si="24"/>
        <v>2.8875692992231139E-2</v>
      </c>
      <c r="CB44" s="734">
        <f t="shared" si="24"/>
        <v>3.4020875525782701E-2</v>
      </c>
      <c r="CC44" s="735">
        <f t="shared" si="24"/>
        <v>2.7234530965226877E-2</v>
      </c>
      <c r="CD44" s="734">
        <f t="shared" si="24"/>
        <v>6.4728792033657667E-2</v>
      </c>
      <c r="CE44" s="734">
        <f t="shared" si="24"/>
        <v>4.1198087508030001E-2</v>
      </c>
      <c r="CF44" s="734">
        <f t="shared" si="24"/>
        <v>4.4834894434200301E-2</v>
      </c>
      <c r="CG44" s="734">
        <f t="shared" si="24"/>
        <v>4.491552389647735E-2</v>
      </c>
      <c r="CH44" s="735">
        <f t="shared" si="24"/>
        <v>4.8930818632039186E-2</v>
      </c>
      <c r="CI44" s="734">
        <f t="shared" si="24"/>
        <v>6.7510125712317404E-2</v>
      </c>
      <c r="CJ44" s="734">
        <f t="shared" si="24"/>
        <v>4.2368252293908837E-2</v>
      </c>
      <c r="CK44" s="734">
        <f t="shared" si="24"/>
        <v>4.6328061677695764E-2</v>
      </c>
      <c r="CL44" s="734">
        <f t="shared" si="24"/>
        <v>4.6415539906026204E-2</v>
      </c>
      <c r="CM44" s="735">
        <f t="shared" si="24"/>
        <v>5.0754887777286539E-2</v>
      </c>
      <c r="CN44" s="734">
        <f t="shared" si="24"/>
        <v>6.7908651431180855E-2</v>
      </c>
      <c r="CO44" s="734">
        <f t="shared" si="24"/>
        <v>4.1145360079505533E-2</v>
      </c>
      <c r="CP44" s="734">
        <f t="shared" si="24"/>
        <v>4.7945873399632077E-2</v>
      </c>
      <c r="CQ44" s="734">
        <f t="shared" si="24"/>
        <v>4.8040510841061757E-2</v>
      </c>
      <c r="CR44" s="735">
        <f t="shared" si="24"/>
        <v>5.1467406269463334E-2</v>
      </c>
      <c r="CT44" s="759"/>
      <c r="CU44" s="759"/>
      <c r="CW44" s="725"/>
      <c r="CX44" s="725"/>
      <c r="CY44" s="725"/>
      <c r="CZ44" s="725"/>
      <c r="DA44" s="725"/>
      <c r="DB44" s="725"/>
      <c r="DC44" s="725"/>
      <c r="DD44" s="725"/>
      <c r="DE44" s="725"/>
      <c r="DF44" s="725"/>
      <c r="DG44" s="725"/>
      <c r="DH44" s="725"/>
      <c r="DI44" s="725"/>
    </row>
    <row r="45" spans="1:113" ht="12" customHeight="1">
      <c r="A45" s="733" t="s">
        <v>883</v>
      </c>
      <c r="B45" s="687"/>
      <c r="C45" s="731"/>
      <c r="D45" s="731"/>
      <c r="E45" s="731"/>
      <c r="F45" s="736"/>
      <c r="G45" s="687"/>
      <c r="H45" s="734"/>
      <c r="I45" s="734"/>
      <c r="J45" s="734"/>
      <c r="K45" s="736"/>
      <c r="L45" s="734"/>
      <c r="M45" s="734"/>
      <c r="N45" s="734"/>
      <c r="O45" s="734"/>
      <c r="P45" s="736"/>
      <c r="Q45" s="734"/>
      <c r="R45" s="734"/>
      <c r="S45" s="734"/>
      <c r="T45" s="734"/>
      <c r="U45" s="736"/>
      <c r="V45" s="734"/>
      <c r="W45" s="734"/>
      <c r="X45" s="734"/>
      <c r="Y45" s="734"/>
      <c r="Z45" s="736"/>
      <c r="AA45" s="734"/>
      <c r="AB45" s="734"/>
      <c r="AC45" s="734"/>
      <c r="AD45" s="734"/>
      <c r="AE45" s="736"/>
      <c r="AF45" s="734"/>
      <c r="AG45" s="734"/>
      <c r="AH45" s="734"/>
      <c r="AI45" s="734"/>
      <c r="AJ45" s="736"/>
      <c r="AK45" s="734"/>
      <c r="AL45" s="734"/>
      <c r="AM45" s="734"/>
      <c r="AN45" s="734"/>
      <c r="AO45" s="736"/>
      <c r="AP45" s="734"/>
      <c r="AQ45" s="734">
        <f>+AQ43/AP43-1</f>
        <v>0.22267206477732793</v>
      </c>
      <c r="AR45" s="734">
        <f>+AR43/AQ43-1</f>
        <v>0.1039900662251656</v>
      </c>
      <c r="AS45" s="734">
        <f>+AS43/AR43-1</f>
        <v>1.2282359292752121E-2</v>
      </c>
      <c r="AT45" s="736"/>
      <c r="AU45" s="734">
        <f>+AU43/AS43-1</f>
        <v>3.1170370370370515E-2</v>
      </c>
      <c r="AV45" s="734">
        <f>+AV43/AU43-1</f>
        <v>-8.1748175392221123E-3</v>
      </c>
      <c r="AW45" s="734">
        <f>+AW43/AV43-1</f>
        <v>1.9395958571738925E-2</v>
      </c>
      <c r="AX45" s="734">
        <f>+AX43/AW43-1</f>
        <v>-7.9049080626367507E-2</v>
      </c>
      <c r="AY45" s="736"/>
      <c r="AZ45" s="734">
        <f>+AZ43/AX43-1</f>
        <v>-0.21257193994846568</v>
      </c>
      <c r="BA45" s="734">
        <f>+BA43/AZ43-1</f>
        <v>0.20948779245209082</v>
      </c>
      <c r="BB45" s="734">
        <f>+BB43/BA43-1</f>
        <v>0.73299311462130401</v>
      </c>
      <c r="BC45" s="734">
        <f>+BC43/BB43-1</f>
        <v>8.2594022567285652E-2</v>
      </c>
      <c r="BD45" s="736"/>
      <c r="BE45" s="734">
        <f>+BE43/BC43-1</f>
        <v>0.1186746571793722</v>
      </c>
      <c r="BF45" s="734">
        <f>+BF43/BE43-1</f>
        <v>1.6009633569283865E-2</v>
      </c>
      <c r="BG45" s="734">
        <f>+BG43/BF43-1</f>
        <v>2.4790876835763198E-2</v>
      </c>
      <c r="BH45" s="734">
        <f>+BH43/BG43-1</f>
        <v>1.4857210640254026E-2</v>
      </c>
      <c r="BI45" s="736"/>
      <c r="BJ45" s="734">
        <f>+BJ43/BH43-1</f>
        <v>-1.4500905850038048E-2</v>
      </c>
      <c r="BK45" s="734">
        <f>+BK43/BJ43-1</f>
        <v>-1.2527519773465334E-3</v>
      </c>
      <c r="BL45" s="734">
        <f>+BL43/BK43-1</f>
        <v>-1.4354209034096788E-2</v>
      </c>
      <c r="BM45" s="734">
        <f>+BM43/BL43-1</f>
        <v>1.1709337349397497E-2</v>
      </c>
      <c r="BN45" s="736"/>
      <c r="BO45" s="734">
        <f>+BO43/BM43-1</f>
        <v>-2.1964199322689892E-2</v>
      </c>
      <c r="BP45" s="734">
        <f>+BP43/BO43-1</f>
        <v>1.1491278804298677E-3</v>
      </c>
      <c r="BQ45" s="734">
        <f>+BQ43/BP43-1</f>
        <v>3.3826156360456938E-3</v>
      </c>
      <c r="BR45" s="734">
        <f>+BR43/BQ43-1</f>
        <v>7.5681818181818628E-3</v>
      </c>
      <c r="BS45" s="736"/>
      <c r="BT45" s="734">
        <f>+BT43/BR43-1</f>
        <v>-9.6993210475260216E-4</v>
      </c>
      <c r="BU45" s="734">
        <f>+BU43/BT43-1</f>
        <v>-1.1617783096259382E-2</v>
      </c>
      <c r="BV45" s="734">
        <f>+BV43/BU43-1</f>
        <v>8.4043368347401781E-3</v>
      </c>
      <c r="BW45" s="734">
        <f>+BW43/BV43-1</f>
        <v>1.7888265485593413E-2</v>
      </c>
      <c r="BX45" s="736"/>
      <c r="BY45" s="734">
        <f>+BY43/BW43-1</f>
        <v>1.1250782720940045E-2</v>
      </c>
      <c r="BZ45" s="734">
        <f>+BZ43/BY43-1</f>
        <v>-1.7398680387779475E-2</v>
      </c>
      <c r="CA45" s="734">
        <f>+CA43/BZ43-1</f>
        <v>1.7247393371351949E-2</v>
      </c>
      <c r="CB45" s="734">
        <f>+CB43/CA43-1</f>
        <v>2.2978502294913161E-2</v>
      </c>
      <c r="CC45" s="736"/>
      <c r="CD45" s="734">
        <f>+CD43/CB43-1</f>
        <v>4.1282482601784132E-2</v>
      </c>
      <c r="CE45" s="734">
        <f>+CE43/CD43-1</f>
        <v>-3.9114352483135106E-2</v>
      </c>
      <c r="CF45" s="734">
        <f>+CF43/CE43-1</f>
        <v>2.080054277704857E-2</v>
      </c>
      <c r="CG45" s="734">
        <f>+CG43/CF43-1</f>
        <v>2.3057445108749519E-2</v>
      </c>
      <c r="CH45" s="736"/>
      <c r="CI45" s="734">
        <f>+CI43/CG43-1</f>
        <v>6.3798525797758021E-2</v>
      </c>
      <c r="CJ45" s="734">
        <f>+CJ43/CI43-1</f>
        <v>-6.1745018682497266E-2</v>
      </c>
      <c r="CK45" s="734">
        <f>+CK43/CJ43-1</f>
        <v>2.4678419486520387E-2</v>
      </c>
      <c r="CL45" s="734">
        <f>+CL43/CK43-1</f>
        <v>2.3142977797832476E-2</v>
      </c>
      <c r="CM45" s="736"/>
      <c r="CN45" s="734">
        <f>+CN43/CL43-1</f>
        <v>8.5648679473151246E-2</v>
      </c>
      <c r="CO45" s="734">
        <f>+CO43/CN43-1</f>
        <v>-8.5259006881308386E-2</v>
      </c>
      <c r="CP45" s="734">
        <f>+CP43/CO43-1</f>
        <v>3.1371374675824848E-2</v>
      </c>
      <c r="CQ45" s="734">
        <f>+CQ43/CP43-1</f>
        <v>2.3235375350123544E-2</v>
      </c>
      <c r="CR45" s="736"/>
      <c r="CT45" s="759"/>
      <c r="CU45" s="759"/>
      <c r="CW45" s="725"/>
      <c r="CX45" s="725"/>
      <c r="CY45" s="725"/>
      <c r="CZ45" s="725"/>
      <c r="DA45" s="725"/>
      <c r="DB45" s="725"/>
      <c r="DC45" s="725"/>
      <c r="DD45" s="725"/>
      <c r="DE45" s="725"/>
      <c r="DF45" s="725"/>
      <c r="DG45" s="725"/>
      <c r="DH45" s="725"/>
      <c r="DI45" s="725"/>
    </row>
    <row r="46" spans="1:113" ht="12" customHeight="1">
      <c r="A46" s="737" t="s">
        <v>884</v>
      </c>
      <c r="B46" s="687"/>
      <c r="C46" s="731"/>
      <c r="D46" s="731"/>
      <c r="E46" s="731"/>
      <c r="F46" s="736"/>
      <c r="G46" s="738"/>
      <c r="H46" s="738"/>
      <c r="I46" s="738"/>
      <c r="J46" s="738"/>
      <c r="K46" s="736"/>
      <c r="L46" s="738"/>
      <c r="M46" s="738"/>
      <c r="N46" s="738"/>
      <c r="O46" s="738"/>
      <c r="P46" s="736"/>
      <c r="Q46" s="738"/>
      <c r="R46" s="738"/>
      <c r="S46" s="738"/>
      <c r="T46" s="738"/>
      <c r="U46" s="736"/>
      <c r="V46" s="738"/>
      <c r="W46" s="738"/>
      <c r="X46" s="738"/>
      <c r="Y46" s="738"/>
      <c r="Z46" s="736"/>
      <c r="AA46" s="738"/>
      <c r="AB46" s="738"/>
      <c r="AC46" s="738"/>
      <c r="AD46" s="738"/>
      <c r="AE46" s="736"/>
      <c r="AF46" s="738"/>
      <c r="AG46" s="738"/>
      <c r="AH46" s="738"/>
      <c r="AI46" s="738"/>
      <c r="AJ46" s="736"/>
      <c r="AK46" s="738"/>
      <c r="AL46" s="738"/>
      <c r="AM46" s="738"/>
      <c r="AN46" s="738"/>
      <c r="AO46" s="729"/>
      <c r="AP46" s="738">
        <f>+AP43/SUM(AP43:AS43)</f>
        <v>0.20247478287243678</v>
      </c>
      <c r="AQ46" s="738">
        <f>+AQ43/SUM(AP43:AS43)</f>
        <v>0.24756026083998345</v>
      </c>
      <c r="AR46" s="738">
        <f>+AR43/SUM(AP43:AS43)</f>
        <v>0.27330406875945257</v>
      </c>
      <c r="AS46" s="738">
        <f>+AS43/SUM(AP43:AS43)</f>
        <v>0.27666088752812718</v>
      </c>
      <c r="AT46" s="729"/>
      <c r="AU46" s="738">
        <f>+AU43/SUM(AU43:AX43)</f>
        <v>0.25419247399789652</v>
      </c>
      <c r="AV46" s="738">
        <f>+AV43/SUM(AU43:AX43)</f>
        <v>0.25211449690312021</v>
      </c>
      <c r="AW46" s="738">
        <f>+AW43/SUM(AU43:AX43)</f>
        <v>0.25700449924038798</v>
      </c>
      <c r="AX46" s="738">
        <f>+AX43/SUM(AU43:AX43)</f>
        <v>0.23668852985859531</v>
      </c>
      <c r="AY46" s="729"/>
      <c r="AZ46" s="738">
        <f>+AZ43/SUM(AZ43:BC43)</f>
        <v>0.1520987566014568</v>
      </c>
      <c r="BA46" s="738">
        <f>+BA43/SUM(AZ43:BC43)</f>
        <v>0.18396158935660387</v>
      </c>
      <c r="BB46" s="738">
        <f>+BB43/SUM(AZ43:BC43)</f>
        <v>0.31880416770978626</v>
      </c>
      <c r="BC46" s="738">
        <f>+BC43/SUM(AZ43:BC43)</f>
        <v>0.34513548633215307</v>
      </c>
      <c r="BD46" s="729"/>
      <c r="BE46" s="738">
        <f>+BE43/SUM(BE43:BH43)</f>
        <v>0.24307989642361238</v>
      </c>
      <c r="BF46" s="738">
        <f>+BF43/SUM(BE43:BH43)</f>
        <v>0.2469715164934139</v>
      </c>
      <c r="BG46" s="738">
        <f>+BG43/SUM(BE43:BH43)</f>
        <v>0.25309415694074372</v>
      </c>
      <c r="BH46" s="738">
        <f>+BH43/SUM(BE43:BH43)</f>
        <v>0.25685443014222986</v>
      </c>
      <c r="BI46" s="729"/>
      <c r="BJ46" s="738">
        <f>+BJ43/SUM(BJ43:BM43)</f>
        <v>0.25131335787418585</v>
      </c>
      <c r="BK46" s="738">
        <f>+BK43/SUM(BJ43:BM43)</f>
        <v>0.2509985245681754</v>
      </c>
      <c r="BL46" s="738">
        <f>+BL43/SUM(BJ43:BM43)</f>
        <v>0.24739563927927391</v>
      </c>
      <c r="BM46" s="738">
        <f>+BM43/SUM(BJ43:BM43)</f>
        <v>0.25029247827836476</v>
      </c>
      <c r="BN46" s="729"/>
      <c r="BO46" s="738">
        <f>+BO43/SUM(BO43:BR43)</f>
        <v>0.24889101026975632</v>
      </c>
      <c r="BP46" s="738">
        <f>+BP43/SUM(BO43:BR43)</f>
        <v>0.24917701786884566</v>
      </c>
      <c r="BQ46" s="738">
        <f>+BQ43/SUM(BO43:BR43)</f>
        <v>0.25001988794563207</v>
      </c>
      <c r="BR46" s="738">
        <f>+BR43/SUM(BO43:BR43)</f>
        <v>0.25191208391576603</v>
      </c>
      <c r="BS46" s="729"/>
      <c r="BT46" s="738">
        <f>+BT43/SUM(BT43:BW43)</f>
        <v>0.250025685091398</v>
      </c>
      <c r="BU46" s="738">
        <f>+BU43/SUM(BT43:BW43)</f>
        <v>0.24712094091351247</v>
      </c>
      <c r="BV46" s="738">
        <f>+BV43/SUM(BT43:BW43)</f>
        <v>0.24919782853986755</v>
      </c>
      <c r="BW46" s="738">
        <f>+BW43/SUM(BT43:BW43)</f>
        <v>0.25365554545522206</v>
      </c>
      <c r="BX46" s="729"/>
      <c r="BY46" s="738">
        <f>+BY43/SUM(BY43:CB43)</f>
        <v>0.24970867036768599</v>
      </c>
      <c r="BZ46" s="738">
        <f>+BZ43/SUM(BY43:CB43)</f>
        <v>0.24536406902190125</v>
      </c>
      <c r="CA46" s="738">
        <f>+CA43/SUM(BY43:CB43)</f>
        <v>0.2495959596395175</v>
      </c>
      <c r="CB46" s="738">
        <f>+CB43/SUM(BY43:CB43)</f>
        <v>0.25533130097089524</v>
      </c>
      <c r="CC46" s="729"/>
      <c r="CD46" s="738">
        <f>+CD43/SUM(CD43:CG43)</f>
        <v>0.25346953892312313</v>
      </c>
      <c r="CE46" s="738">
        <f>+CE43/SUM(CD43:CG43)</f>
        <v>0.24355524203394638</v>
      </c>
      <c r="CF46" s="738">
        <f>+CF43/SUM(CD43:CG43)</f>
        <v>0.24862132326444789</v>
      </c>
      <c r="CG46" s="738">
        <f>+CG43/SUM(CD43:CG43)</f>
        <v>0.25435389577848255</v>
      </c>
      <c r="CH46" s="729"/>
      <c r="CI46" s="738">
        <f>+CI43/SUM(CI43:CL43)</f>
        <v>0.25751134018747251</v>
      </c>
      <c r="CJ46" s="738">
        <f>+CJ43/SUM(CI43:CL43)</f>
        <v>0.24161129767664208</v>
      </c>
      <c r="CK46" s="738">
        <f>+CK43/SUM(CI43:CL43)</f>
        <v>0.24757388263338881</v>
      </c>
      <c r="CL46" s="738">
        <f>+CL43/SUM(CI43:CL43)</f>
        <v>0.25330347950249654</v>
      </c>
      <c r="CM46" s="729"/>
      <c r="CN46" s="738">
        <f>+CN43/SUM(CN43:CQ43)</f>
        <v>0.26153791015122052</v>
      </c>
      <c r="CO46" s="738">
        <f>+CO43/SUM(CN43:CQ43)</f>
        <v>0.23923944766991459</v>
      </c>
      <c r="CP46" s="738">
        <f>+CP43/SUM(CN43:CQ43)</f>
        <v>0.24674471802000486</v>
      </c>
      <c r="CQ46" s="738">
        <f>+CQ43/SUM(CN43:CQ43)</f>
        <v>0.25247792415886006</v>
      </c>
      <c r="CR46" s="729"/>
      <c r="CT46" s="759"/>
      <c r="CU46" s="759"/>
      <c r="CW46" s="725"/>
      <c r="CX46" s="725"/>
      <c r="CY46" s="725"/>
      <c r="CZ46" s="725"/>
      <c r="DA46" s="725"/>
      <c r="DB46" s="725"/>
      <c r="DC46" s="725"/>
      <c r="DD46" s="725"/>
      <c r="DE46" s="725"/>
      <c r="DF46" s="725"/>
      <c r="DG46" s="725"/>
      <c r="DH46" s="725"/>
      <c r="DI46" s="725"/>
    </row>
    <row r="47" spans="1:113" ht="12" customHeight="1">
      <c r="A47" s="733" t="s">
        <v>896</v>
      </c>
      <c r="B47" s="687"/>
      <c r="C47" s="731"/>
      <c r="D47" s="731"/>
      <c r="E47" s="731"/>
      <c r="F47" s="736"/>
      <c r="G47" s="768"/>
      <c r="H47" s="768"/>
      <c r="I47" s="768"/>
      <c r="J47" s="768"/>
      <c r="K47" s="735"/>
      <c r="L47" s="768"/>
      <c r="M47" s="768"/>
      <c r="N47" s="768"/>
      <c r="O47" s="768"/>
      <c r="P47" s="735"/>
      <c r="Q47" s="768"/>
      <c r="R47" s="768"/>
      <c r="S47" s="768"/>
      <c r="T47" s="768"/>
      <c r="U47" s="735"/>
      <c r="V47" s="768"/>
      <c r="W47" s="768"/>
      <c r="X47" s="768"/>
      <c r="Y47" s="768"/>
      <c r="Z47" s="735"/>
      <c r="AA47" s="768"/>
      <c r="AB47" s="768"/>
      <c r="AC47" s="768"/>
      <c r="AD47" s="768"/>
      <c r="AE47" s="735"/>
      <c r="AF47" s="768"/>
      <c r="AG47" s="768"/>
      <c r="AH47" s="768"/>
      <c r="AI47" s="768"/>
      <c r="AJ47" s="735"/>
      <c r="AK47" s="769">
        <v>0.79032258064516125</v>
      </c>
      <c r="AL47" s="769">
        <v>0.8</v>
      </c>
      <c r="AM47" s="769">
        <v>0.80722891566265065</v>
      </c>
      <c r="AN47" s="769">
        <v>0.8</v>
      </c>
      <c r="AO47" s="770">
        <f t="shared" ref="AO47:CR47" si="25">+AO43/AO29</f>
        <v>0.76356190390990364</v>
      </c>
      <c r="AP47" s="768">
        <f t="shared" si="25"/>
        <v>0.79166666666666663</v>
      </c>
      <c r="AQ47" s="768">
        <f t="shared" si="25"/>
        <v>0.80106100795755963</v>
      </c>
      <c r="AR47" s="768">
        <f t="shared" si="25"/>
        <v>0.80214849388894227</v>
      </c>
      <c r="AS47" s="768">
        <f t="shared" si="25"/>
        <v>0.80191032860503242</v>
      </c>
      <c r="AT47" s="735">
        <f t="shared" si="25"/>
        <v>0.79967027420338122</v>
      </c>
      <c r="AU47" s="768">
        <f t="shared" si="25"/>
        <v>0.8373514267840817</v>
      </c>
      <c r="AV47" s="768">
        <f t="shared" si="25"/>
        <v>0.84377329894765152</v>
      </c>
      <c r="AW47" s="768">
        <f t="shared" si="25"/>
        <v>0.83697862775181076</v>
      </c>
      <c r="AX47" s="768">
        <f t="shared" si="25"/>
        <v>0.80023459686381038</v>
      </c>
      <c r="AY47" s="735">
        <f t="shared" si="25"/>
        <v>0.8297395246233471</v>
      </c>
      <c r="AZ47" s="768">
        <f t="shared" si="25"/>
        <v>0.76943024710902042</v>
      </c>
      <c r="BA47" s="768">
        <f t="shared" si="25"/>
        <v>0.79054547317460533</v>
      </c>
      <c r="BB47" s="768">
        <f t="shared" si="25"/>
        <v>0.78078422212814402</v>
      </c>
      <c r="BC47" s="768">
        <f t="shared" si="25"/>
        <v>0.80334089474377923</v>
      </c>
      <c r="BD47" s="735">
        <f t="shared" si="25"/>
        <v>0.78844630969473239</v>
      </c>
      <c r="BE47" s="768">
        <f t="shared" si="25"/>
        <v>0.80774530648892329</v>
      </c>
      <c r="BF47" s="768">
        <f t="shared" si="25"/>
        <v>0.81917025566979507</v>
      </c>
      <c r="BG47" s="768">
        <f>+BG43/BG29</f>
        <v>0.81800925448624262</v>
      </c>
      <c r="BH47" s="768">
        <f>+BH43/BH29</f>
        <v>0.82331218235948633</v>
      </c>
      <c r="BI47" s="735">
        <f t="shared" si="25"/>
        <v>0.81712318790582861</v>
      </c>
      <c r="BJ47" s="768">
        <f t="shared" si="25"/>
        <v>0.84251186610042461</v>
      </c>
      <c r="BK47" s="768">
        <f t="shared" si="25"/>
        <v>0.85012114481853518</v>
      </c>
      <c r="BL47" s="768">
        <f t="shared" si="25"/>
        <v>0.84319066394915454</v>
      </c>
      <c r="BM47" s="768">
        <f t="shared" si="25"/>
        <v>0.84793845338247642</v>
      </c>
      <c r="BN47" s="735">
        <f t="shared" si="25"/>
        <v>0.84593588567718425</v>
      </c>
      <c r="BO47" s="768">
        <f t="shared" si="25"/>
        <v>0.86928679637212802</v>
      </c>
      <c r="BP47" s="768">
        <f t="shared" si="25"/>
        <v>0.8644015454163162</v>
      </c>
      <c r="BQ47" s="768">
        <f t="shared" si="25"/>
        <v>0.87039662391612538</v>
      </c>
      <c r="BR47" s="768">
        <f t="shared" si="25"/>
        <v>0.87110782169009282</v>
      </c>
      <c r="BS47" s="735">
        <f t="shared" si="25"/>
        <v>0.86879780413633312</v>
      </c>
      <c r="BT47" s="768">
        <f t="shared" si="25"/>
        <v>0.87065067819933162</v>
      </c>
      <c r="BU47" s="768">
        <f t="shared" si="25"/>
        <v>0.87249157103645558</v>
      </c>
      <c r="BV47" s="768">
        <f t="shared" si="25"/>
        <v>0.87415228947602541</v>
      </c>
      <c r="BW47" s="768">
        <f t="shared" si="25"/>
        <v>0.87483861119767992</v>
      </c>
      <c r="BX47" s="735">
        <f t="shared" si="25"/>
        <v>0.87303747245894991</v>
      </c>
      <c r="BY47" s="768">
        <f t="shared" si="25"/>
        <v>0.87350661734617652</v>
      </c>
      <c r="BZ47" s="768">
        <f t="shared" si="25"/>
        <v>0.8746710551194119</v>
      </c>
      <c r="CA47" s="768">
        <f t="shared" si="25"/>
        <v>0.87725069707840164</v>
      </c>
      <c r="CB47" s="768">
        <f t="shared" si="25"/>
        <v>0.87845609515070244</v>
      </c>
      <c r="CC47" s="735">
        <f t="shared" si="25"/>
        <v>0.87598612143983678</v>
      </c>
      <c r="CD47" s="768">
        <f t="shared" si="25"/>
        <v>0.87922329702253121</v>
      </c>
      <c r="CE47" s="768">
        <f t="shared" si="25"/>
        <v>0.87796809901887507</v>
      </c>
      <c r="CF47" s="768">
        <f t="shared" si="25"/>
        <v>0.88085557508554635</v>
      </c>
      <c r="CG47" s="768">
        <f t="shared" si="25"/>
        <v>0.88203836288083182</v>
      </c>
      <c r="CH47" s="735">
        <f t="shared" si="25"/>
        <v>0.88003670660619293</v>
      </c>
      <c r="CI47" s="768">
        <f t="shared" si="25"/>
        <v>0.88498153611327746</v>
      </c>
      <c r="CJ47" s="768">
        <f t="shared" si="25"/>
        <v>0.88130773424400211</v>
      </c>
      <c r="CK47" s="768">
        <f t="shared" si="25"/>
        <v>0.88451449609259303</v>
      </c>
      <c r="CL47" s="768">
        <f t="shared" si="25"/>
        <v>0.88567414063940897</v>
      </c>
      <c r="CM47" s="735">
        <f t="shared" si="25"/>
        <v>0.88415059881479885</v>
      </c>
      <c r="CN47" s="768">
        <f t="shared" si="25"/>
        <v>0.89053582294656264</v>
      </c>
      <c r="CO47" s="768">
        <f t="shared" si="25"/>
        <v>0.88444807481110554</v>
      </c>
      <c r="CP47" s="768">
        <f t="shared" si="25"/>
        <v>0.88822880507358781</v>
      </c>
      <c r="CQ47" s="768">
        <f t="shared" si="25"/>
        <v>0.88936470373294008</v>
      </c>
      <c r="CR47" s="735">
        <f t="shared" si="25"/>
        <v>0.88820867185162811</v>
      </c>
      <c r="CT47" s="759"/>
      <c r="CU47" s="759"/>
      <c r="CW47" s="725"/>
      <c r="CX47" s="725"/>
      <c r="CY47" s="725"/>
      <c r="CZ47" s="725"/>
      <c r="DA47" s="725"/>
      <c r="DB47" s="725"/>
      <c r="DC47" s="725"/>
      <c r="DD47" s="725"/>
      <c r="DE47" s="725"/>
      <c r="DF47" s="725"/>
      <c r="DG47" s="725"/>
      <c r="DH47" s="725"/>
      <c r="DI47" s="725"/>
    </row>
    <row r="48" spans="1:113" ht="12" customHeight="1">
      <c r="A48" s="726"/>
      <c r="B48" s="687"/>
      <c r="C48" s="731"/>
      <c r="D48" s="731"/>
      <c r="E48" s="731"/>
      <c r="F48" s="736"/>
      <c r="G48" s="687"/>
      <c r="H48" s="731"/>
      <c r="I48" s="731"/>
      <c r="J48" s="731"/>
      <c r="K48" s="736"/>
      <c r="L48" s="731"/>
      <c r="M48" s="731"/>
      <c r="N48" s="731"/>
      <c r="O48" s="731"/>
      <c r="P48" s="736"/>
      <c r="Q48" s="687"/>
      <c r="R48" s="731"/>
      <c r="S48" s="731"/>
      <c r="T48" s="731"/>
      <c r="U48" s="736"/>
      <c r="V48" s="687"/>
      <c r="W48" s="731"/>
      <c r="X48" s="731"/>
      <c r="Y48" s="731"/>
      <c r="Z48" s="736"/>
      <c r="AA48" s="687"/>
      <c r="AB48" s="731"/>
      <c r="AC48" s="731"/>
      <c r="AD48" s="731"/>
      <c r="AE48" s="736"/>
      <c r="AF48" s="731"/>
      <c r="AG48" s="731"/>
      <c r="AH48" s="731"/>
      <c r="AI48" s="731"/>
      <c r="AJ48" s="736"/>
      <c r="AK48" s="731"/>
      <c r="AL48" s="731"/>
      <c r="AM48" s="731"/>
      <c r="AN48" s="731"/>
      <c r="AO48" s="729"/>
      <c r="AP48" s="731"/>
      <c r="AQ48" s="731"/>
      <c r="AR48" s="731"/>
      <c r="AS48" s="731"/>
      <c r="AT48" s="729"/>
      <c r="AU48" s="731"/>
      <c r="AV48" s="731"/>
      <c r="AW48" s="731"/>
      <c r="AX48" s="731"/>
      <c r="AY48" s="729"/>
      <c r="AZ48" s="731"/>
      <c r="BA48" s="731"/>
      <c r="BB48" s="731"/>
      <c r="BC48" s="731"/>
      <c r="BD48" s="729"/>
      <c r="BE48" s="731"/>
      <c r="BF48" s="731"/>
      <c r="BG48" s="731"/>
      <c r="BH48" s="731"/>
      <c r="BI48" s="729"/>
      <c r="BJ48" s="731"/>
      <c r="BK48" s="731"/>
      <c r="BL48" s="731"/>
      <c r="BM48" s="731"/>
      <c r="BN48" s="729"/>
      <c r="BO48" s="731"/>
      <c r="BP48" s="731"/>
      <c r="BQ48" s="731"/>
      <c r="BR48" s="731"/>
      <c r="BS48" s="729"/>
      <c r="BT48" s="731"/>
      <c r="BU48" s="731"/>
      <c r="BV48" s="731"/>
      <c r="BW48" s="731"/>
      <c r="BX48" s="729"/>
      <c r="BY48" s="731"/>
      <c r="BZ48" s="731"/>
      <c r="CA48" s="731"/>
      <c r="CB48" s="731"/>
      <c r="CC48" s="729"/>
      <c r="CD48" s="731"/>
      <c r="CE48" s="731"/>
      <c r="CF48" s="731"/>
      <c r="CG48" s="731"/>
      <c r="CH48" s="729"/>
      <c r="CI48" s="731"/>
      <c r="CJ48" s="731"/>
      <c r="CK48" s="731"/>
      <c r="CL48" s="731"/>
      <c r="CM48" s="729"/>
      <c r="CN48" s="731"/>
      <c r="CO48" s="731"/>
      <c r="CP48" s="731"/>
      <c r="CQ48" s="731"/>
      <c r="CR48" s="729"/>
      <c r="CT48" s="759"/>
      <c r="CU48" s="759"/>
      <c r="CW48" s="725"/>
      <c r="CX48" s="725"/>
      <c r="CY48" s="725"/>
      <c r="CZ48" s="725"/>
      <c r="DA48" s="725"/>
      <c r="DB48" s="725"/>
      <c r="DC48" s="725"/>
      <c r="DD48" s="725"/>
      <c r="DE48" s="725"/>
      <c r="DF48" s="725"/>
      <c r="DG48" s="725"/>
      <c r="DH48" s="725"/>
      <c r="DI48" s="725"/>
    </row>
    <row r="49" spans="1:113" ht="12" customHeight="1">
      <c r="A49" s="760" t="s">
        <v>897</v>
      </c>
      <c r="B49" s="687"/>
      <c r="C49" s="731"/>
      <c r="D49" s="731"/>
      <c r="E49" s="731"/>
      <c r="F49" s="736"/>
      <c r="G49" s="761"/>
      <c r="H49" s="761"/>
      <c r="I49" s="761"/>
      <c r="J49" s="761"/>
      <c r="K49" s="762"/>
      <c r="L49" s="761"/>
      <c r="M49" s="761"/>
      <c r="N49" s="761"/>
      <c r="O49" s="761"/>
      <c r="P49" s="762"/>
      <c r="Q49" s="761"/>
      <c r="R49" s="761"/>
      <c r="S49" s="761"/>
      <c r="T49" s="761"/>
      <c r="U49" s="762"/>
      <c r="V49" s="761"/>
      <c r="W49" s="761"/>
      <c r="X49" s="761"/>
      <c r="Y49" s="761"/>
      <c r="Z49" s="763"/>
      <c r="AA49" s="761"/>
      <c r="AB49" s="761"/>
      <c r="AC49" s="761"/>
      <c r="AD49" s="761"/>
      <c r="AE49" s="762"/>
      <c r="AF49" s="761"/>
      <c r="AG49" s="761"/>
      <c r="AH49" s="761"/>
      <c r="AI49" s="761"/>
      <c r="AJ49" s="762"/>
      <c r="AK49" s="761"/>
      <c r="AL49" s="761"/>
      <c r="AM49" s="761"/>
      <c r="AN49" s="761"/>
      <c r="AO49" s="763">
        <v>47.573</v>
      </c>
      <c r="AP49" s="765">
        <v>13</v>
      </c>
      <c r="AQ49" s="765">
        <v>15</v>
      </c>
      <c r="AR49" s="765">
        <f>44.447-SUM(AP49:AQ49)</f>
        <v>16.447000000000003</v>
      </c>
      <c r="AS49" s="765">
        <f>61.121-SUM(AP49:AR49)</f>
        <v>16.673999999999999</v>
      </c>
      <c r="AT49" s="762">
        <f>+SUM(AP49:AS49)</f>
        <v>61.121000000000002</v>
      </c>
      <c r="AU49" s="761">
        <v>13.52</v>
      </c>
      <c r="AV49" s="761">
        <v>12.782</v>
      </c>
      <c r="AW49" s="761">
        <v>13.707000000000001</v>
      </c>
      <c r="AX49" s="761">
        <v>16.178999999999998</v>
      </c>
      <c r="AY49" s="762">
        <f>+SUM(AU49:AX49)</f>
        <v>56.188000000000002</v>
      </c>
      <c r="AZ49" s="761">
        <v>15.292999999999999</v>
      </c>
      <c r="BA49" s="761">
        <v>16.353999999999992</v>
      </c>
      <c r="BB49" s="761">
        <v>30.033000000000001</v>
      </c>
      <c r="BC49" s="761">
        <v>28.349</v>
      </c>
      <c r="BD49" s="762">
        <f>+SUM(AZ49:BC49)</f>
        <v>90.028999999999996</v>
      </c>
      <c r="BE49" s="761">
        <v>30.834</v>
      </c>
      <c r="BF49" s="761">
        <v>29.055</v>
      </c>
      <c r="BG49" s="761">
        <v>30.009</v>
      </c>
      <c r="BH49" s="761">
        <v>29.376999999999999</v>
      </c>
      <c r="BI49" s="762">
        <f>+SUM(BE49:BH49)</f>
        <v>119.27499999999999</v>
      </c>
      <c r="BJ49" s="761">
        <v>25.216999999999999</v>
      </c>
      <c r="BK49" s="761">
        <v>23.754000000000001</v>
      </c>
      <c r="BL49" s="761">
        <v>24.696999999999999</v>
      </c>
      <c r="BM49" s="761">
        <v>24.094000000000001</v>
      </c>
      <c r="BN49" s="762">
        <f>+SUM(BJ49:BM49)</f>
        <v>97.762</v>
      </c>
      <c r="BO49" s="761">
        <v>19.759</v>
      </c>
      <c r="BP49" s="761">
        <v>20.637</v>
      </c>
      <c r="BQ49" s="761">
        <v>19.655000000000001</v>
      </c>
      <c r="BR49" s="761">
        <v>19.678999999999998</v>
      </c>
      <c r="BS49" s="762">
        <f>+SUM(BO49:BR49)</f>
        <v>79.73</v>
      </c>
      <c r="BT49" s="761">
        <v>19.739999999999998</v>
      </c>
      <c r="BU49" s="764">
        <f>+BP59*(1+BU50)</f>
        <v>19.192409999999999</v>
      </c>
      <c r="BV49" s="764">
        <f>+BQ59*(1+BV50)</f>
        <v>19.065350000000002</v>
      </c>
      <c r="BW49" s="764">
        <f>+BR59*(1+BW50)</f>
        <v>19.285419999999998</v>
      </c>
      <c r="BX49" s="762">
        <f>+SUM(BT49:BW49)</f>
        <v>77.283180000000002</v>
      </c>
      <c r="BY49" s="764">
        <f>+BT59*(1+BY50)</f>
        <v>19.739999999999998</v>
      </c>
      <c r="BZ49" s="764">
        <f>+BU59*(1+BZ50)</f>
        <v>19.192409999999999</v>
      </c>
      <c r="CA49" s="764">
        <f>+BV59*(1+CA50)</f>
        <v>19.065350000000002</v>
      </c>
      <c r="CB49" s="764">
        <f>+BW59*(1+CB50)</f>
        <v>19.285419999999998</v>
      </c>
      <c r="CC49" s="762">
        <f>+SUM(BY49:CB49)</f>
        <v>77.283180000000002</v>
      </c>
      <c r="CD49" s="764">
        <f>+BY59*(1+CD50)</f>
        <v>19.9374</v>
      </c>
      <c r="CE49" s="764">
        <f>+BZ59*(1+CE50)</f>
        <v>19.3843341</v>
      </c>
      <c r="CF49" s="764">
        <f>+CA59*(1+CF50)</f>
        <v>19.256003500000002</v>
      </c>
      <c r="CG49" s="764">
        <f>+CB59*(1+CG50)</f>
        <v>19.478274199999998</v>
      </c>
      <c r="CH49" s="762">
        <f>+SUM(CD49:CG49)</f>
        <v>78.056011800000007</v>
      </c>
      <c r="CI49" s="764">
        <f>+CD59*(1+CI50)</f>
        <v>20.136773999999999</v>
      </c>
      <c r="CJ49" s="764">
        <f>+CE59*(1+CJ50)</f>
        <v>19.578177441000001</v>
      </c>
      <c r="CK49" s="764">
        <f>+CF59*(1+CK50)</f>
        <v>19.448563535000002</v>
      </c>
      <c r="CL49" s="764">
        <f>+CG59*(1+CL50)</f>
        <v>19.673056941999999</v>
      </c>
      <c r="CM49" s="762">
        <f>+SUM(CI49:CL49)</f>
        <v>78.836571918000004</v>
      </c>
      <c r="CN49" s="764">
        <f>+CI59*(1+CN50)</f>
        <v>20.338141739999998</v>
      </c>
      <c r="CO49" s="764">
        <f>+CJ59*(1+CO50)</f>
        <v>19.773959215410002</v>
      </c>
      <c r="CP49" s="764">
        <f>+CK59*(1+CP50)</f>
        <v>19.64304917035</v>
      </c>
      <c r="CQ49" s="764">
        <f>+CL59*(1+CQ50)</f>
        <v>19.86978751142</v>
      </c>
      <c r="CR49" s="762">
        <f>+SUM(CN49:CQ49)</f>
        <v>79.624937637179997</v>
      </c>
      <c r="CT49" s="767">
        <f>+(CC49/BN49)^(0.333333333333333)-1</f>
        <v>-7.5362217935981413E-2</v>
      </c>
      <c r="CU49" s="767">
        <f>+(CM49/BN49)^(0.2)-1</f>
        <v>-4.2119062150676845E-2</v>
      </c>
      <c r="CW49" s="725">
        <f>+AJ49-SUM(AF49:AI49)</f>
        <v>0</v>
      </c>
      <c r="CX49" s="725">
        <f>+AO49-SUM(AK49:AN49)</f>
        <v>47.573</v>
      </c>
      <c r="CY49" s="725">
        <f>+AT49-SUM(AP49:AS49)</f>
        <v>0</v>
      </c>
      <c r="CZ49" s="725">
        <f>+AY49-SUM(AU49:AX49)</f>
        <v>0</v>
      </c>
      <c r="DA49" s="725">
        <f>+BD49-SUM(AZ49:BC49)</f>
        <v>0</v>
      </c>
      <c r="DB49" s="725">
        <f>+BI49-SUM(BE49:BH49)</f>
        <v>0</v>
      </c>
      <c r="DC49" s="725">
        <f>+BN49-SUM(BJ49:BM49)</f>
        <v>0</v>
      </c>
      <c r="DD49" s="725">
        <f>+BS49-SUM(BO49:BR49)</f>
        <v>0</v>
      </c>
      <c r="DE49" s="725">
        <f>+BX49-SUM(BT49:BW49)</f>
        <v>0</v>
      </c>
      <c r="DF49" s="725">
        <f>+CC49-SUM(BY49:CB49)</f>
        <v>0</v>
      </c>
      <c r="DG49" s="725">
        <f>+CH49-SUM(CD49:CG49)</f>
        <v>0</v>
      </c>
      <c r="DH49" s="725">
        <f>+CM49-SUM(CI49:CL49)</f>
        <v>0</v>
      </c>
      <c r="DI49" s="725">
        <f>+CR49-SUM(CN49:CQ49)</f>
        <v>0</v>
      </c>
    </row>
    <row r="50" spans="1:113" ht="12" customHeight="1">
      <c r="A50" s="733" t="s">
        <v>881</v>
      </c>
      <c r="B50" s="687"/>
      <c r="C50" s="731"/>
      <c r="D50" s="731"/>
      <c r="E50" s="731"/>
      <c r="F50" s="736"/>
      <c r="G50" s="687"/>
      <c r="H50" s="731"/>
      <c r="I50" s="731"/>
      <c r="J50" s="731"/>
      <c r="K50" s="736"/>
      <c r="L50" s="734"/>
      <c r="M50" s="734"/>
      <c r="N50" s="734"/>
      <c r="O50" s="734"/>
      <c r="P50" s="735"/>
      <c r="Q50" s="734"/>
      <c r="R50" s="734"/>
      <c r="S50" s="734"/>
      <c r="T50" s="734"/>
      <c r="U50" s="735"/>
      <c r="V50" s="734"/>
      <c r="W50" s="734"/>
      <c r="X50" s="734"/>
      <c r="Y50" s="734"/>
      <c r="Z50" s="735"/>
      <c r="AA50" s="734"/>
      <c r="AB50" s="734"/>
      <c r="AC50" s="734"/>
      <c r="AD50" s="734"/>
      <c r="AE50" s="735"/>
      <c r="AF50" s="734"/>
      <c r="AG50" s="734"/>
      <c r="AH50" s="734"/>
      <c r="AI50" s="734"/>
      <c r="AJ50" s="735"/>
      <c r="AK50" s="734"/>
      <c r="AL50" s="734"/>
      <c r="AM50" s="734"/>
      <c r="AN50" s="734"/>
      <c r="AO50" s="735"/>
      <c r="AP50" s="734" t="e">
        <f t="shared" ref="AP50:BA50" si="26">+AP49/AK49-1</f>
        <v>#DIV/0!</v>
      </c>
      <c r="AQ50" s="734" t="e">
        <f t="shared" si="26"/>
        <v>#DIV/0!</v>
      </c>
      <c r="AR50" s="734" t="e">
        <f t="shared" si="26"/>
        <v>#DIV/0!</v>
      </c>
      <c r="AS50" s="734" t="e">
        <f t="shared" si="26"/>
        <v>#DIV/0!</v>
      </c>
      <c r="AT50" s="735">
        <f t="shared" si="26"/>
        <v>0.28478338553381133</v>
      </c>
      <c r="AU50" s="734">
        <f t="shared" si="26"/>
        <v>4.0000000000000036E-2</v>
      </c>
      <c r="AV50" s="734">
        <f t="shared" si="26"/>
        <v>-0.1478666666666667</v>
      </c>
      <c r="AW50" s="734">
        <f t="shared" si="26"/>
        <v>-0.16659573174439113</v>
      </c>
      <c r="AX50" s="734">
        <f t="shared" si="26"/>
        <v>-2.9686937747391173E-2</v>
      </c>
      <c r="AY50" s="735">
        <f t="shared" si="26"/>
        <v>-8.0708758037335793E-2</v>
      </c>
      <c r="AZ50" s="734">
        <f t="shared" si="26"/>
        <v>0.13113905325443787</v>
      </c>
      <c r="BA50" s="734">
        <f t="shared" si="26"/>
        <v>0.27945548427476075</v>
      </c>
      <c r="BB50" s="734">
        <f>+BB49/AW57-1</f>
        <v>0.25624294139791703</v>
      </c>
      <c r="BC50" s="734">
        <f>+BC49/AX57-1</f>
        <v>7.4680617157587559E-2</v>
      </c>
      <c r="BD50" s="735">
        <f>+BD49/AY57-1</f>
        <v>0.17549746696610447</v>
      </c>
      <c r="BE50" s="734">
        <f t="shared" ref="BE50:BT50" si="27">+BE49/AZ59-1</f>
        <v>5.9842573815007016E-2</v>
      </c>
      <c r="BF50" s="734">
        <f t="shared" si="27"/>
        <v>-1.354654715828052E-2</v>
      </c>
      <c r="BG50" s="734">
        <f t="shared" si="27"/>
        <v>-9.154481881754617E-2</v>
      </c>
      <c r="BH50" s="734">
        <f t="shared" si="27"/>
        <v>-6.7396825396825455E-2</v>
      </c>
      <c r="BI50" s="771">
        <f t="shared" si="27"/>
        <v>-3.0914852128696824E-2</v>
      </c>
      <c r="BJ50" s="734">
        <f t="shared" si="27"/>
        <v>-0.18216903418304475</v>
      </c>
      <c r="BK50" s="734">
        <f t="shared" si="27"/>
        <v>-0.182447083118224</v>
      </c>
      <c r="BL50" s="734">
        <f t="shared" si="27"/>
        <v>-0.17701356259788736</v>
      </c>
      <c r="BM50" s="734">
        <f t="shared" si="27"/>
        <v>-0.17983456445518597</v>
      </c>
      <c r="BN50" s="771">
        <f>+BN49/BI59-1</f>
        <v>-0.18036470341647448</v>
      </c>
      <c r="BO50" s="734">
        <f t="shared" si="27"/>
        <v>-0.216441289606218</v>
      </c>
      <c r="BP50" s="734">
        <f t="shared" si="27"/>
        <v>-0.13122000505178077</v>
      </c>
      <c r="BQ50" s="734">
        <f t="shared" si="27"/>
        <v>-0.20415435073085797</v>
      </c>
      <c r="BR50" s="734">
        <f t="shared" si="27"/>
        <v>-0.1832406408234416</v>
      </c>
      <c r="BS50" s="771">
        <f>+BS49/BN59-1</f>
        <v>-0.18444794500930828</v>
      </c>
      <c r="BT50" s="734">
        <f t="shared" si="27"/>
        <v>-9.6158712485461262E-4</v>
      </c>
      <c r="BU50" s="772">
        <v>-7.0000000000000007E-2</v>
      </c>
      <c r="BV50" s="772">
        <v>-0.03</v>
      </c>
      <c r="BW50" s="772">
        <v>-0.02</v>
      </c>
      <c r="BX50" s="771">
        <f>+BX49/BS59-1</f>
        <v>-3.0688824783644875E-2</v>
      </c>
      <c r="BY50" s="772">
        <v>0</v>
      </c>
      <c r="BZ50" s="772">
        <v>0</v>
      </c>
      <c r="CA50" s="772">
        <v>0</v>
      </c>
      <c r="CB50" s="772">
        <v>0</v>
      </c>
      <c r="CC50" s="771">
        <f>+CC49/BX59-1</f>
        <v>0</v>
      </c>
      <c r="CD50" s="772">
        <v>0.01</v>
      </c>
      <c r="CE50" s="772">
        <v>0.01</v>
      </c>
      <c r="CF50" s="772">
        <v>0.01</v>
      </c>
      <c r="CG50" s="772">
        <v>0.01</v>
      </c>
      <c r="CH50" s="771">
        <f>+CH49/CC59-1</f>
        <v>1.0000000000000009E-2</v>
      </c>
      <c r="CI50" s="772">
        <v>0.01</v>
      </c>
      <c r="CJ50" s="772">
        <v>0.01</v>
      </c>
      <c r="CK50" s="772">
        <v>0.01</v>
      </c>
      <c r="CL50" s="772">
        <v>0.01</v>
      </c>
      <c r="CM50" s="771">
        <f>+CM49/CH59-1</f>
        <v>1.0000000000000009E-2</v>
      </c>
      <c r="CN50" s="772">
        <v>0.01</v>
      </c>
      <c r="CO50" s="772">
        <v>0.01</v>
      </c>
      <c r="CP50" s="772">
        <v>0.01</v>
      </c>
      <c r="CQ50" s="772">
        <v>0.01</v>
      </c>
      <c r="CR50" s="771">
        <f>+CR49/CM59-1</f>
        <v>1.0000000000000009E-2</v>
      </c>
      <c r="CT50" s="759"/>
      <c r="CU50" s="759"/>
      <c r="CW50" s="725"/>
      <c r="CX50" s="725"/>
      <c r="CY50" s="725"/>
      <c r="CZ50" s="725"/>
      <c r="DA50" s="725"/>
      <c r="DB50" s="725"/>
      <c r="DC50" s="725"/>
      <c r="DD50" s="725"/>
      <c r="DE50" s="725"/>
      <c r="DF50" s="725"/>
      <c r="DG50" s="725"/>
      <c r="DH50" s="725"/>
      <c r="DI50" s="725"/>
    </row>
    <row r="51" spans="1:113" ht="12" customHeight="1">
      <c r="A51" s="733" t="s">
        <v>882</v>
      </c>
      <c r="B51" s="687"/>
      <c r="C51" s="731"/>
      <c r="D51" s="731"/>
      <c r="E51" s="731"/>
      <c r="F51" s="736"/>
      <c r="G51" s="687"/>
      <c r="H51" s="731"/>
      <c r="I51" s="731"/>
      <c r="J51" s="731"/>
      <c r="K51" s="736"/>
      <c r="L51" s="734"/>
      <c r="M51" s="734"/>
      <c r="N51" s="734"/>
      <c r="O51" s="734"/>
      <c r="P51" s="735"/>
      <c r="Q51" s="734"/>
      <c r="R51" s="734"/>
      <c r="S51" s="734"/>
      <c r="T51" s="734"/>
      <c r="U51" s="735"/>
      <c r="V51" s="734"/>
      <c r="W51" s="734"/>
      <c r="X51" s="734"/>
      <c r="Y51" s="734"/>
      <c r="Z51" s="735"/>
      <c r="AA51" s="734"/>
      <c r="AB51" s="734"/>
      <c r="AC51" s="734"/>
      <c r="AD51" s="734"/>
      <c r="AE51" s="735"/>
      <c r="AF51" s="734"/>
      <c r="AG51" s="734"/>
      <c r="AH51" s="734"/>
      <c r="AI51" s="734"/>
      <c r="AJ51" s="735"/>
      <c r="AK51" s="734"/>
      <c r="AL51" s="734"/>
      <c r="AM51" s="734"/>
      <c r="AN51" s="734"/>
      <c r="AO51" s="735"/>
      <c r="AP51" s="734"/>
      <c r="AQ51" s="734"/>
      <c r="AR51" s="734"/>
      <c r="AS51" s="734"/>
      <c r="AT51" s="735"/>
      <c r="AU51" s="734"/>
      <c r="AV51" s="734"/>
      <c r="AW51" s="734"/>
      <c r="AX51" s="734"/>
      <c r="AY51" s="735"/>
      <c r="AZ51" s="734"/>
      <c r="BA51" s="734"/>
      <c r="BB51" s="734"/>
      <c r="BC51" s="734"/>
      <c r="BD51" s="735"/>
      <c r="BE51" s="734">
        <f>+(-BE54+BE49)/AZ59-1</f>
        <v>8.0466091499673542E-2</v>
      </c>
      <c r="BF51" s="734">
        <f>+(-BF54+BF49)/BA59-1</f>
        <v>1.0219325049229511E-2</v>
      </c>
      <c r="BG51" s="734">
        <f>+(-BG54+BG49)/BB59-1</f>
        <v>-6.4299337026609837E-2</v>
      </c>
      <c r="BH51" s="734">
        <f>+(-BH54+BH49)/BC59-1</f>
        <v>-5.1523809523809527E-2</v>
      </c>
      <c r="BI51" s="771">
        <f>+(BI49-BI54)/BD59-1</f>
        <v>-8.9779005524862621E-3</v>
      </c>
      <c r="BJ51" s="734">
        <f>+(-BJ54+BJ49)/BE59-1</f>
        <v>-0.17243951482130115</v>
      </c>
      <c r="BK51" s="734">
        <f>+(-BK54+BK49)/BF59-1</f>
        <v>-0.18933057993460667</v>
      </c>
      <c r="BL51" s="734">
        <f>+(-BL54+BL49)/BG59-1</f>
        <v>-0.18701056349761747</v>
      </c>
      <c r="BM51" s="734">
        <f>+(-BM54+BM49)/BH59-1</f>
        <v>-0.1866426115668719</v>
      </c>
      <c r="BN51" s="771">
        <f>+(BN49-BN54)/BI59-1</f>
        <v>-0.18287989939216087</v>
      </c>
      <c r="BO51" s="734">
        <f>+(-BO54+BO49)/BJ59-1</f>
        <v>-0.216441289606218</v>
      </c>
      <c r="BP51" s="734">
        <f>+(-BP54+BP49)/BK59-1</f>
        <v>-0.13122000505178077</v>
      </c>
      <c r="BQ51" s="734">
        <f>+(-BQ54+BQ49)/BL59-1</f>
        <v>-0.2061788881240636</v>
      </c>
      <c r="BR51" s="734">
        <f>+(-BR54+BR49)/BM59-1</f>
        <v>-0.17909022993276336</v>
      </c>
      <c r="BS51" s="771">
        <f>+(BS49-BS54)/BN59-1</f>
        <v>-0.18352734191199027</v>
      </c>
      <c r="BT51" s="734">
        <f>+(-BT54+BT49)/BO59-1</f>
        <v>-9.6158712485461262E-4</v>
      </c>
      <c r="BU51" s="734">
        <f>+(-BU54+BU49)/BP59-1</f>
        <v>-6.1456830447117916E-2</v>
      </c>
      <c r="BV51" s="734">
        <f>+(-BV54+BV49)/BQ59-1</f>
        <v>-2.500346870373904E-2</v>
      </c>
      <c r="BW51" s="734">
        <f>+(-BW54+BW49)/BR59-1</f>
        <v>-2.0000000000000018E-2</v>
      </c>
      <c r="BX51" s="771">
        <f>+(BX49-BX54)/BS59-1</f>
        <v>-2.7245801922854196E-2</v>
      </c>
      <c r="BY51" s="734">
        <f>+(-BY54+BY49)/BT59-1</f>
        <v>0</v>
      </c>
      <c r="BZ51" s="734">
        <f>+(-BZ54+BZ49)/BU59-1</f>
        <v>0</v>
      </c>
      <c r="CA51" s="734">
        <f>+(-CA54+CA49)/BV59-1</f>
        <v>0</v>
      </c>
      <c r="CB51" s="734">
        <f>+(-CB54+CB49)/BW59-1</f>
        <v>0</v>
      </c>
      <c r="CC51" s="771">
        <f>+(CC49-CC54)/BX59-1</f>
        <v>0</v>
      </c>
      <c r="CD51" s="773"/>
      <c r="CE51" s="773"/>
      <c r="CF51" s="773"/>
      <c r="CG51" s="773"/>
      <c r="CH51" s="771"/>
      <c r="CI51" s="773"/>
      <c r="CJ51" s="773"/>
      <c r="CK51" s="773"/>
      <c r="CL51" s="773"/>
      <c r="CM51" s="771"/>
      <c r="CN51" s="773"/>
      <c r="CO51" s="773"/>
      <c r="CP51" s="773"/>
      <c r="CQ51" s="773"/>
      <c r="CR51" s="771"/>
      <c r="CT51" s="755"/>
      <c r="CU51" s="755"/>
      <c r="CW51" s="725"/>
      <c r="CX51" s="725"/>
      <c r="CY51" s="725"/>
      <c r="CZ51" s="725"/>
      <c r="DA51" s="725"/>
      <c r="DB51" s="725"/>
      <c r="DC51" s="725"/>
      <c r="DD51" s="725"/>
      <c r="DE51" s="725"/>
      <c r="DF51" s="725"/>
      <c r="DG51" s="725"/>
      <c r="DH51" s="725"/>
      <c r="DI51" s="725"/>
    </row>
    <row r="52" spans="1:113" ht="12" customHeight="1">
      <c r="A52" s="733" t="s">
        <v>883</v>
      </c>
      <c r="B52" s="687"/>
      <c r="C52" s="731"/>
      <c r="D52" s="731"/>
      <c r="E52" s="731"/>
      <c r="F52" s="736"/>
      <c r="G52" s="687"/>
      <c r="H52" s="734"/>
      <c r="I52" s="734"/>
      <c r="J52" s="734"/>
      <c r="K52" s="736"/>
      <c r="L52" s="734"/>
      <c r="M52" s="734"/>
      <c r="N52" s="734"/>
      <c r="O52" s="734"/>
      <c r="P52" s="736"/>
      <c r="Q52" s="734"/>
      <c r="R52" s="734"/>
      <c r="S52" s="734"/>
      <c r="T52" s="734"/>
      <c r="U52" s="736"/>
      <c r="V52" s="734"/>
      <c r="W52" s="734"/>
      <c r="X52" s="734"/>
      <c r="Y52" s="734"/>
      <c r="Z52" s="736"/>
      <c r="AA52" s="734"/>
      <c r="AB52" s="734"/>
      <c r="AC52" s="734"/>
      <c r="AD52" s="734"/>
      <c r="AE52" s="736"/>
      <c r="AF52" s="734"/>
      <c r="AG52" s="734"/>
      <c r="AH52" s="734"/>
      <c r="AI52" s="734"/>
      <c r="AJ52" s="736"/>
      <c r="AK52" s="734"/>
      <c r="AL52" s="734"/>
      <c r="AM52" s="734"/>
      <c r="AN52" s="734"/>
      <c r="AO52" s="736"/>
      <c r="AP52" s="734" t="e">
        <f>+AP49/AN49-1</f>
        <v>#DIV/0!</v>
      </c>
      <c r="AQ52" s="734">
        <f>+AQ49/AP49-1</f>
        <v>0.15384615384615374</v>
      </c>
      <c r="AR52" s="734">
        <f>+AR49/AQ49-1</f>
        <v>9.6466666666666923E-2</v>
      </c>
      <c r="AS52" s="734">
        <f>+AS49/AR49-1</f>
        <v>1.3801909162765025E-2</v>
      </c>
      <c r="AT52" s="736"/>
      <c r="AU52" s="734">
        <f>+AU49/AS49-1</f>
        <v>-0.1891567710207509</v>
      </c>
      <c r="AV52" s="734">
        <f>+AV49/AU49-1</f>
        <v>-5.4585798816567999E-2</v>
      </c>
      <c r="AW52" s="734">
        <f>+AW49/AV49-1</f>
        <v>7.2367391644500234E-2</v>
      </c>
      <c r="AX52" s="734">
        <f>+AX49/AW49-1</f>
        <v>0.18034580871087758</v>
      </c>
      <c r="AY52" s="736"/>
      <c r="AZ52" s="734">
        <f>+AZ49/AX49-1</f>
        <v>-5.4762346251313376E-2</v>
      </c>
      <c r="BA52" s="734">
        <f>+BA49/AZ49-1</f>
        <v>6.9378146864577994E-2</v>
      </c>
      <c r="BB52" s="734">
        <f>+BB49/BA57-1</f>
        <v>0.1395993018137669</v>
      </c>
      <c r="BC52" s="734">
        <f>+BC49/BB49-1</f>
        <v>-5.6071654513368707E-2</v>
      </c>
      <c r="BD52" s="736"/>
      <c r="BE52" s="734">
        <f>+BE49/BC49-1</f>
        <v>8.7657412959892822E-2</v>
      </c>
      <c r="BF52" s="734">
        <f>+BF49/BE49-1</f>
        <v>-5.7696049815139094E-2</v>
      </c>
      <c r="BG52" s="734">
        <f>+BG49/BF49-1</f>
        <v>3.2834279814145662E-2</v>
      </c>
      <c r="BH52" s="734">
        <f>+BH49/BG49-1</f>
        <v>-2.1060348562098041E-2</v>
      </c>
      <c r="BI52" s="736"/>
      <c r="BJ52" s="734">
        <f>+BJ49/BH49-1</f>
        <v>-0.14160737992306904</v>
      </c>
      <c r="BK52" s="734">
        <f>+BK49/BJ49-1</f>
        <v>-5.801641749613351E-2</v>
      </c>
      <c r="BL52" s="734">
        <f>+BL49/BK49-1</f>
        <v>3.9698577081754616E-2</v>
      </c>
      <c r="BM52" s="734">
        <f>+BM49/BL49-1</f>
        <v>-2.4415920962060134E-2</v>
      </c>
      <c r="BN52" s="736"/>
      <c r="BO52" s="734">
        <f>+BO49/BM49-1</f>
        <v>-0.17992031211089898</v>
      </c>
      <c r="BP52" s="734">
        <f>+BP49/BO49-1</f>
        <v>4.4435447138013062E-2</v>
      </c>
      <c r="BQ52" s="734">
        <f>+BQ49/BP49-1</f>
        <v>-4.7584435722246465E-2</v>
      </c>
      <c r="BR52" s="734">
        <f>+BR49/BQ49-1</f>
        <v>1.2210633426608108E-3</v>
      </c>
      <c r="BS52" s="736"/>
      <c r="BT52" s="734">
        <f>+BT49/BR49-1</f>
        <v>3.0997510036079312E-3</v>
      </c>
      <c r="BU52" s="734">
        <f>+BU49/BT49-1</f>
        <v>-2.7740121580547061E-2</v>
      </c>
      <c r="BV52" s="734">
        <f>+BV49/BU49-1</f>
        <v>-6.6203254307299897E-3</v>
      </c>
      <c r="BW52" s="734">
        <f>+BW49/BV49-1</f>
        <v>1.1542929975059346E-2</v>
      </c>
      <c r="BX52" s="729"/>
      <c r="BY52" s="734">
        <f>+BY49/BW49-1</f>
        <v>2.3571174493477454E-2</v>
      </c>
      <c r="BZ52" s="734">
        <f>+BZ49/BY49-1</f>
        <v>-2.7740121580547061E-2</v>
      </c>
      <c r="CA52" s="734">
        <f>+CA49/BZ49-1</f>
        <v>-6.6203254307299897E-3</v>
      </c>
      <c r="CB52" s="734">
        <f>+CB49/CA49-1</f>
        <v>1.1542929975059346E-2</v>
      </c>
      <c r="CC52" s="729"/>
      <c r="CD52" s="734">
        <f>+CD49/CB49-1</f>
        <v>3.3806886238412215E-2</v>
      </c>
      <c r="CE52" s="734">
        <f>+CE49/CD49-1</f>
        <v>-2.7740121580547061E-2</v>
      </c>
      <c r="CF52" s="734">
        <f>+CF49/CE49-1</f>
        <v>-6.6203254307301007E-3</v>
      </c>
      <c r="CG52" s="734">
        <f>+CG49/CF49-1</f>
        <v>1.1542929975059346E-2</v>
      </c>
      <c r="CH52" s="729"/>
      <c r="CI52" s="734">
        <f>+CI49/CG49-1</f>
        <v>3.3806886238412215E-2</v>
      </c>
      <c r="CJ52" s="734">
        <f>+CJ49/CI49-1</f>
        <v>-2.7740121580547061E-2</v>
      </c>
      <c r="CK52" s="734">
        <f>+CK49/CJ49-1</f>
        <v>-6.6203254307301007E-3</v>
      </c>
      <c r="CL52" s="734">
        <f>+CL49/CK49-1</f>
        <v>1.1542929975059346E-2</v>
      </c>
      <c r="CM52" s="729"/>
      <c r="CN52" s="734">
        <f>+CN49/CL49-1</f>
        <v>3.3806886238412215E-2</v>
      </c>
      <c r="CO52" s="734">
        <f>+CO49/CN49-1</f>
        <v>-2.7740121580546839E-2</v>
      </c>
      <c r="CP52" s="734">
        <f>+CP49/CO49-1</f>
        <v>-6.6203254307303228E-3</v>
      </c>
      <c r="CQ52" s="734">
        <f>+CQ49/CP49-1</f>
        <v>1.1542929975059568E-2</v>
      </c>
      <c r="CR52" s="729"/>
      <c r="CT52" s="755"/>
      <c r="CU52" s="755"/>
      <c r="CW52" s="725"/>
      <c r="CX52" s="725"/>
      <c r="CY52" s="725"/>
      <c r="CZ52" s="725"/>
      <c r="DA52" s="725"/>
      <c r="DB52" s="725"/>
      <c r="DC52" s="725"/>
      <c r="DD52" s="725"/>
      <c r="DE52" s="725"/>
      <c r="DF52" s="725"/>
      <c r="DG52" s="725"/>
      <c r="DH52" s="725"/>
      <c r="DI52" s="725"/>
    </row>
    <row r="53" spans="1:113" ht="12" customHeight="1">
      <c r="A53" s="737" t="s">
        <v>884</v>
      </c>
      <c r="B53" s="687"/>
      <c r="C53" s="731"/>
      <c r="D53" s="731"/>
      <c r="E53" s="731"/>
      <c r="F53" s="736"/>
      <c r="G53" s="738"/>
      <c r="H53" s="738"/>
      <c r="I53" s="738"/>
      <c r="J53" s="738"/>
      <c r="K53" s="736"/>
      <c r="L53" s="738"/>
      <c r="M53" s="738"/>
      <c r="N53" s="738"/>
      <c r="O53" s="738"/>
      <c r="P53" s="736"/>
      <c r="Q53" s="738"/>
      <c r="R53" s="738"/>
      <c r="S53" s="738"/>
      <c r="T53" s="738"/>
      <c r="U53" s="736"/>
      <c r="V53" s="738"/>
      <c r="W53" s="738"/>
      <c r="X53" s="738"/>
      <c r="Y53" s="738"/>
      <c r="Z53" s="736"/>
      <c r="AA53" s="738"/>
      <c r="AB53" s="738"/>
      <c r="AC53" s="738"/>
      <c r="AD53" s="738"/>
      <c r="AE53" s="736"/>
      <c r="AF53" s="738"/>
      <c r="AG53" s="738"/>
      <c r="AH53" s="738"/>
      <c r="AI53" s="738"/>
      <c r="AJ53" s="736"/>
      <c r="AK53" s="738"/>
      <c r="AL53" s="738"/>
      <c r="AM53" s="738"/>
      <c r="AN53" s="738"/>
      <c r="AO53" s="729"/>
      <c r="AP53" s="738">
        <f>+AP49/SUM(AP49:AS49)</f>
        <v>0.21269285515616562</v>
      </c>
      <c r="AQ53" s="738">
        <f>+AQ49/SUM(AP49:AS49)</f>
        <v>0.24541483287249879</v>
      </c>
      <c r="AR53" s="738">
        <f>+AR49/SUM(AP49:AS49)</f>
        <v>0.26908918375026591</v>
      </c>
      <c r="AS53" s="738">
        <f>+AS49/SUM(AP49:AS49)</f>
        <v>0.27280312822106967</v>
      </c>
      <c r="AT53" s="729"/>
      <c r="AU53" s="738">
        <f>+AU49/SUM(AU49:AX49)</f>
        <v>0.24062077311881538</v>
      </c>
      <c r="AV53" s="738">
        <f>+AV49/SUM(AU49:AX49)</f>
        <v>0.22748629600626466</v>
      </c>
      <c r="AW53" s="738">
        <f>+AW49/SUM(AU49:AX49)</f>
        <v>0.2439488858831067</v>
      </c>
      <c r="AX53" s="738">
        <f>+AX49/SUM(AU49:AX49)</f>
        <v>0.28794404499181314</v>
      </c>
      <c r="AY53" s="729"/>
      <c r="AZ53" s="738">
        <f>+AZ49/SUM(AZ49:BC49)</f>
        <v>0.16986748714303168</v>
      </c>
      <c r="BA53" s="738">
        <f>+BA49/SUM(AZ49:BC49)</f>
        <v>0.18165257861355777</v>
      </c>
      <c r="BB53" s="738">
        <f>+BB49/SUM(AZ49:BC49)</f>
        <v>0.33359250908040744</v>
      </c>
      <c r="BC53" s="738">
        <f>+BC49/SUM(AZ49:BC49)</f>
        <v>0.31488742516300305</v>
      </c>
      <c r="BD53" s="729"/>
      <c r="BE53" s="738">
        <f>+BE49/SUM(BE49:BH49)</f>
        <v>0.25851184238105218</v>
      </c>
      <c r="BF53" s="738">
        <f>+BF49/SUM(BE49:BH49)</f>
        <v>0.24359673024523162</v>
      </c>
      <c r="BG53" s="738">
        <f>+BG49/SUM(BE49:BH49)</f>
        <v>0.2515950534479145</v>
      </c>
      <c r="BH53" s="738">
        <f>+BH49/SUM(BE49:BH49)</f>
        <v>0.24629637392580173</v>
      </c>
      <c r="BI53" s="729"/>
      <c r="BJ53" s="738">
        <f>+BJ49/SUM(BJ49:BM49)</f>
        <v>0.25794275894519342</v>
      </c>
      <c r="BK53" s="738">
        <f>+BK49/SUM(BJ49:BM49)</f>
        <v>0.24297784415212456</v>
      </c>
      <c r="BL53" s="738">
        <f>+BL49/SUM(BJ49:BM49)</f>
        <v>0.25262371882735624</v>
      </c>
      <c r="BM53" s="738">
        <f>+BM49/SUM(BJ49:BM49)</f>
        <v>0.24645567807532581</v>
      </c>
      <c r="BN53" s="729"/>
      <c r="BO53" s="738">
        <f>+BO49/SUM(BO49:BR49)</f>
        <v>0.24782390568167564</v>
      </c>
      <c r="BP53" s="738">
        <f>+BP49/SUM(BO49:BR49)</f>
        <v>0.25883607174212969</v>
      </c>
      <c r="BQ53" s="738">
        <f>+BQ49/SUM(BO49:BR49)</f>
        <v>0.24651950332371755</v>
      </c>
      <c r="BR53" s="738">
        <f>+BR49/SUM(BO49:BR49)</f>
        <v>0.24682051925247708</v>
      </c>
      <c r="BS53" s="729"/>
      <c r="BT53" s="738">
        <f>+BT49/SUM(BT49:BW49)</f>
        <v>0.25542427213787006</v>
      </c>
      <c r="BU53" s="738">
        <f>+BU49/SUM(BT49:BW49)</f>
        <v>0.24833877177414282</v>
      </c>
      <c r="BV53" s="738">
        <f>+BV49/SUM(BT49:BW49)</f>
        <v>0.2466946882879302</v>
      </c>
      <c r="BW53" s="738">
        <f>+BW49/SUM(BT49:BW49)</f>
        <v>0.24954226780005687</v>
      </c>
      <c r="BX53" s="729"/>
      <c r="BY53" s="738">
        <f>+BY49/SUM(BY49:CB49)</f>
        <v>0.25542427213787006</v>
      </c>
      <c r="BZ53" s="738">
        <f>+BZ49/SUM(BY49:CB49)</f>
        <v>0.24833877177414282</v>
      </c>
      <c r="CA53" s="738">
        <f>+CA49/SUM(BY49:CB49)</f>
        <v>0.2466946882879302</v>
      </c>
      <c r="CB53" s="738">
        <f>+CB49/SUM(BY49:CB49)</f>
        <v>0.24954226780005687</v>
      </c>
      <c r="CC53" s="729"/>
      <c r="CD53" s="738">
        <f>+CD49/SUM(CD49:CG49)</f>
        <v>0.25542427213787006</v>
      </c>
      <c r="CE53" s="738">
        <f>+CE49/SUM(CD49:CG49)</f>
        <v>0.24833877177414282</v>
      </c>
      <c r="CF53" s="738">
        <f>+CF49/SUM(CD49:CG49)</f>
        <v>0.24669468828793018</v>
      </c>
      <c r="CG53" s="738">
        <f>+CG49/SUM(CD49:CG49)</f>
        <v>0.24954226780005684</v>
      </c>
      <c r="CH53" s="729"/>
      <c r="CI53" s="738">
        <f>+CI49/SUM(CI49:CL49)</f>
        <v>0.25542427213787006</v>
      </c>
      <c r="CJ53" s="738">
        <f>+CJ49/SUM(CI49:CL49)</f>
        <v>0.24833877177414285</v>
      </c>
      <c r="CK53" s="738">
        <f>+CK49/SUM(CI49:CL49)</f>
        <v>0.2466946882879302</v>
      </c>
      <c r="CL53" s="738">
        <f>+CL49/SUM(CI49:CL49)</f>
        <v>0.24954226780005687</v>
      </c>
      <c r="CM53" s="729"/>
      <c r="CN53" s="738">
        <f>+CN49/SUM(CN49:CQ49)</f>
        <v>0.25542427213787006</v>
      </c>
      <c r="CO53" s="738">
        <f>+CO49/SUM(CN49:CQ49)</f>
        <v>0.24833877177414287</v>
      </c>
      <c r="CP53" s="738">
        <f>+CP49/SUM(CN49:CQ49)</f>
        <v>0.2466946882879302</v>
      </c>
      <c r="CQ53" s="738">
        <f>+CQ49/SUM(CN49:CQ49)</f>
        <v>0.24954226780005689</v>
      </c>
      <c r="CR53" s="729"/>
      <c r="CT53" s="755"/>
      <c r="CU53" s="755"/>
      <c r="CW53" s="725"/>
      <c r="CX53" s="725"/>
      <c r="CY53" s="725"/>
      <c r="CZ53" s="725"/>
      <c r="DA53" s="725"/>
      <c r="DB53" s="725"/>
      <c r="DC53" s="725"/>
      <c r="DD53" s="725"/>
      <c r="DE53" s="725"/>
      <c r="DF53" s="725"/>
      <c r="DG53" s="725"/>
      <c r="DH53" s="725"/>
      <c r="DI53" s="725"/>
    </row>
    <row r="54" spans="1:113" ht="12" customHeight="1">
      <c r="A54" s="737" t="s">
        <v>885</v>
      </c>
      <c r="B54" s="687"/>
      <c r="C54" s="731"/>
      <c r="D54" s="731"/>
      <c r="E54" s="731"/>
      <c r="F54" s="736"/>
      <c r="G54" s="738"/>
      <c r="H54" s="738"/>
      <c r="I54" s="738"/>
      <c r="J54" s="738"/>
      <c r="K54" s="736"/>
      <c r="L54" s="738"/>
      <c r="M54" s="738"/>
      <c r="N54" s="738"/>
      <c r="O54" s="738"/>
      <c r="P54" s="736"/>
      <c r="Q54" s="738"/>
      <c r="R54" s="738"/>
      <c r="S54" s="738"/>
      <c r="T54" s="738"/>
      <c r="U54" s="736"/>
      <c r="V54" s="738"/>
      <c r="W54" s="738"/>
      <c r="X54" s="738"/>
      <c r="Y54" s="738"/>
      <c r="Z54" s="736"/>
      <c r="AA54" s="738"/>
      <c r="AB54" s="738"/>
      <c r="AC54" s="738"/>
      <c r="AD54" s="738"/>
      <c r="AE54" s="736"/>
      <c r="AF54" s="738"/>
      <c r="AG54" s="738"/>
      <c r="AH54" s="738"/>
      <c r="AI54" s="738"/>
      <c r="AJ54" s="736"/>
      <c r="AK54" s="738"/>
      <c r="AL54" s="738"/>
      <c r="AM54" s="738"/>
      <c r="AN54" s="738"/>
      <c r="AO54" s="729"/>
      <c r="AP54" s="738"/>
      <c r="AQ54" s="738"/>
      <c r="AR54" s="738"/>
      <c r="AS54" s="738"/>
      <c r="AT54" s="729"/>
      <c r="AU54" s="738"/>
      <c r="AV54" s="738"/>
      <c r="AW54" s="738"/>
      <c r="AX54" s="738"/>
      <c r="AY54" s="729"/>
      <c r="AZ54" s="738"/>
      <c r="BA54" s="738"/>
      <c r="BB54" s="738"/>
      <c r="BC54" s="738"/>
      <c r="BD54" s="729"/>
      <c r="BE54" s="741">
        <v>-0.6</v>
      </c>
      <c r="BF54" s="741">
        <v>-0.7</v>
      </c>
      <c r="BG54" s="741">
        <v>-0.9</v>
      </c>
      <c r="BH54" s="741">
        <v>-0.5</v>
      </c>
      <c r="BI54" s="742">
        <f>+BI16-BI37</f>
        <v>-2.6999999999999993</v>
      </c>
      <c r="BJ54" s="741">
        <v>-0.3</v>
      </c>
      <c r="BK54" s="741">
        <v>0.2</v>
      </c>
      <c r="BL54" s="741">
        <v>0.3</v>
      </c>
      <c r="BM54" s="741">
        <v>0.2</v>
      </c>
      <c r="BN54" s="742">
        <f>+BN16-BN37</f>
        <v>0.30000000000000004</v>
      </c>
      <c r="BO54" s="741">
        <v>0</v>
      </c>
      <c r="BP54" s="741">
        <v>0</v>
      </c>
      <c r="BQ54" s="741">
        <v>0.05</v>
      </c>
      <c r="BR54" s="741">
        <v>-0.1</v>
      </c>
      <c r="BS54" s="742">
        <f>+BS16-BS37</f>
        <v>-9.000000000000008E-2</v>
      </c>
      <c r="BT54" s="741">
        <v>0</v>
      </c>
      <c r="BU54" s="758">
        <f>0.25*BU16</f>
        <v>-0.1763053900628293</v>
      </c>
      <c r="BV54" s="758">
        <f>0.25*BV16</f>
        <v>-9.8206822628007728E-2</v>
      </c>
      <c r="BW54" s="758">
        <f>0.25*BW16</f>
        <v>0</v>
      </c>
      <c r="BX54" s="742">
        <f>+BX16-BX37</f>
        <v>-0.27451221269083703</v>
      </c>
      <c r="BY54" s="758">
        <f>0.25*BY16</f>
        <v>7.1054273576010019E-15</v>
      </c>
      <c r="BZ54" s="758">
        <f>0.25*BZ16</f>
        <v>0</v>
      </c>
      <c r="CA54" s="758">
        <f>0.25*CA16</f>
        <v>-7.1054273576010019E-15</v>
      </c>
      <c r="CB54" s="758">
        <f>0.25*CB16</f>
        <v>0</v>
      </c>
      <c r="CC54" s="742">
        <f>+CC16-CC37</f>
        <v>0</v>
      </c>
      <c r="CD54" s="738"/>
      <c r="CE54" s="738"/>
      <c r="CF54" s="738"/>
      <c r="CG54" s="738"/>
      <c r="CH54" s="729"/>
      <c r="CI54" s="738"/>
      <c r="CJ54" s="738"/>
      <c r="CK54" s="738"/>
      <c r="CL54" s="738"/>
      <c r="CM54" s="729"/>
      <c r="CN54" s="738"/>
      <c r="CO54" s="738"/>
      <c r="CP54" s="738"/>
      <c r="CQ54" s="738"/>
      <c r="CR54" s="729"/>
      <c r="CT54" s="755"/>
      <c r="CU54" s="755"/>
      <c r="CW54" s="725"/>
      <c r="CX54" s="725"/>
      <c r="CY54" s="725"/>
      <c r="CZ54" s="725"/>
      <c r="DA54" s="725"/>
      <c r="DB54" s="725"/>
      <c r="DC54" s="725"/>
      <c r="DD54" s="725"/>
      <c r="DE54" s="725"/>
      <c r="DF54" s="725"/>
      <c r="DG54" s="725"/>
      <c r="DH54" s="725"/>
      <c r="DI54" s="725"/>
    </row>
    <row r="55" spans="1:113" ht="12" customHeight="1">
      <c r="A55" s="737" t="s">
        <v>886</v>
      </c>
      <c r="B55" s="687"/>
      <c r="C55" s="731"/>
      <c r="D55" s="731"/>
      <c r="E55" s="731"/>
      <c r="F55" s="736"/>
      <c r="G55" s="738"/>
      <c r="H55" s="738"/>
      <c r="I55" s="738"/>
      <c r="J55" s="738"/>
      <c r="K55" s="736"/>
      <c r="L55" s="738"/>
      <c r="M55" s="738"/>
      <c r="N55" s="738"/>
      <c r="O55" s="738"/>
      <c r="P55" s="736"/>
      <c r="Q55" s="738"/>
      <c r="R55" s="738"/>
      <c r="S55" s="738"/>
      <c r="T55" s="738"/>
      <c r="U55" s="736"/>
      <c r="V55" s="738"/>
      <c r="W55" s="738"/>
      <c r="X55" s="738"/>
      <c r="Y55" s="738"/>
      <c r="Z55" s="736"/>
      <c r="AA55" s="738"/>
      <c r="AB55" s="738"/>
      <c r="AC55" s="738"/>
      <c r="AD55" s="738"/>
      <c r="AE55" s="736"/>
      <c r="AF55" s="738"/>
      <c r="AG55" s="738"/>
      <c r="AH55" s="738"/>
      <c r="AI55" s="738"/>
      <c r="AJ55" s="736"/>
      <c r="AK55" s="738"/>
      <c r="AL55" s="738"/>
      <c r="AM55" s="738"/>
      <c r="AN55" s="738"/>
      <c r="AO55" s="729"/>
      <c r="AP55" s="738"/>
      <c r="AQ55" s="738"/>
      <c r="AR55" s="738"/>
      <c r="AS55" s="738"/>
      <c r="AT55" s="729"/>
      <c r="AU55" s="738"/>
      <c r="AV55" s="738"/>
      <c r="AW55" s="738"/>
      <c r="AX55" s="738"/>
      <c r="AY55" s="729"/>
      <c r="AZ55" s="738"/>
      <c r="BA55" s="738"/>
      <c r="BB55" s="738"/>
      <c r="BC55" s="738"/>
      <c r="BD55" s="729"/>
      <c r="BE55" s="744">
        <f>+(BE50-BE51)*10000</f>
        <v>-206.23517684666527</v>
      </c>
      <c r="BF55" s="744">
        <f>+(BF50-BF51)*10000</f>
        <v>-237.65872207510031</v>
      </c>
      <c r="BG55" s="744">
        <f>+(BG50-BG51)*10000</f>
        <v>-272.45481790936333</v>
      </c>
      <c r="BH55" s="744">
        <f>+(BH50-BH51)*10000</f>
        <v>-158.73015873015927</v>
      </c>
      <c r="BI55" s="729"/>
      <c r="BJ55" s="744">
        <f>+(BJ50-BJ51)*10000</f>
        <v>-97.295193617435999</v>
      </c>
      <c r="BK55" s="744">
        <f>+(BK50-BK51)*10000</f>
        <v>68.83496816382673</v>
      </c>
      <c r="BL55" s="744">
        <f>+(BL50-BL51)*10000</f>
        <v>99.970008997301022</v>
      </c>
      <c r="BM55" s="744">
        <f>+(BM50-BM51)*10000</f>
        <v>68.080471116859215</v>
      </c>
      <c r="BN55" s="729"/>
      <c r="BO55" s="744">
        <f>+(BO50-BO51)*10000</f>
        <v>0</v>
      </c>
      <c r="BP55" s="744">
        <f>+(BP50-BP51)*10000</f>
        <v>0</v>
      </c>
      <c r="BQ55" s="744">
        <f>+(BQ50-BQ51)*10000</f>
        <v>20.245373932056275</v>
      </c>
      <c r="BR55" s="744">
        <f>+(BR50-BR51)*10000</f>
        <v>-41.504108906782463</v>
      </c>
      <c r="BS55" s="729"/>
      <c r="BT55" s="744">
        <f>+(BT50-BT51)*10000</f>
        <v>0</v>
      </c>
      <c r="BU55" s="744">
        <f>+(BU50-BU51)*10000</f>
        <v>-85.43169552882091</v>
      </c>
      <c r="BV55" s="744">
        <f>+(BV50-BV51)*10000</f>
        <v>-49.965312962609588</v>
      </c>
      <c r="BW55" s="744">
        <f>+(BW50-BW51)*10000</f>
        <v>1.7347234759768071E-13</v>
      </c>
      <c r="BX55" s="729"/>
      <c r="BY55" s="744">
        <f>+(BY50-BY51)*10000</f>
        <v>0</v>
      </c>
      <c r="BZ55" s="744">
        <f>+(BZ50-BZ51)*10000</f>
        <v>0</v>
      </c>
      <c r="CA55" s="744">
        <f>+(CA50-CA51)*10000</f>
        <v>0</v>
      </c>
      <c r="CB55" s="744">
        <f>+(CB50-CB51)*10000</f>
        <v>0</v>
      </c>
      <c r="CC55" s="729"/>
      <c r="CD55" s="738"/>
      <c r="CE55" s="738"/>
      <c r="CF55" s="738"/>
      <c r="CG55" s="738"/>
      <c r="CH55" s="729"/>
      <c r="CI55" s="738"/>
      <c r="CJ55" s="738"/>
      <c r="CK55" s="738"/>
      <c r="CL55" s="738"/>
      <c r="CM55" s="729"/>
      <c r="CN55" s="738"/>
      <c r="CO55" s="738"/>
      <c r="CP55" s="738"/>
      <c r="CQ55" s="738"/>
      <c r="CR55" s="729"/>
      <c r="CT55" s="755"/>
      <c r="CU55" s="755"/>
      <c r="CW55" s="725"/>
      <c r="CX55" s="725"/>
      <c r="CY55" s="725"/>
      <c r="CZ55" s="725"/>
      <c r="DA55" s="725"/>
      <c r="DB55" s="725"/>
      <c r="DC55" s="725"/>
      <c r="DD55" s="725"/>
      <c r="DE55" s="725"/>
      <c r="DF55" s="725"/>
      <c r="DG55" s="725"/>
      <c r="DH55" s="725"/>
      <c r="DI55" s="725"/>
    </row>
    <row r="56" spans="1:113" ht="12" customHeight="1">
      <c r="A56" s="733" t="s">
        <v>896</v>
      </c>
      <c r="B56" s="687"/>
      <c r="C56" s="731"/>
      <c r="D56" s="731"/>
      <c r="E56" s="731"/>
      <c r="F56" s="736"/>
      <c r="G56" s="768"/>
      <c r="H56" s="768"/>
      <c r="I56" s="768"/>
      <c r="J56" s="768"/>
      <c r="K56" s="770"/>
      <c r="L56" s="768"/>
      <c r="M56" s="768"/>
      <c r="N56" s="768"/>
      <c r="O56" s="768"/>
      <c r="P56" s="770"/>
      <c r="Q56" s="768"/>
      <c r="R56" s="768"/>
      <c r="S56" s="768"/>
      <c r="T56" s="768"/>
      <c r="U56" s="770"/>
      <c r="V56" s="768"/>
      <c r="W56" s="768"/>
      <c r="X56" s="768"/>
      <c r="Y56" s="768"/>
      <c r="Z56" s="770"/>
      <c r="AA56" s="768"/>
      <c r="AB56" s="768"/>
      <c r="AC56" s="768"/>
      <c r="AD56" s="768"/>
      <c r="AE56" s="770"/>
      <c r="AF56" s="768"/>
      <c r="AG56" s="768"/>
      <c r="AH56" s="768"/>
      <c r="AI56" s="768"/>
      <c r="AJ56" s="770"/>
      <c r="AK56" s="768"/>
      <c r="AL56" s="768"/>
      <c r="AM56" s="768"/>
      <c r="AN56" s="768"/>
      <c r="AO56" s="770">
        <f t="shared" ref="AO56:CR56" si="28">+AO49/AO29</f>
        <v>0.23643809609009628</v>
      </c>
      <c r="AP56" s="768">
        <f t="shared" si="28"/>
        <v>0.20833333333333334</v>
      </c>
      <c r="AQ56" s="768">
        <f t="shared" si="28"/>
        <v>0.19893899204244031</v>
      </c>
      <c r="AR56" s="768">
        <f t="shared" si="28"/>
        <v>0.19785150611105767</v>
      </c>
      <c r="AS56" s="768">
        <f t="shared" si="28"/>
        <v>0.19808967139496755</v>
      </c>
      <c r="AT56" s="770">
        <f t="shared" si="28"/>
        <v>0.20032972579661887</v>
      </c>
      <c r="AU56" s="768">
        <f t="shared" si="28"/>
        <v>0.16264857321591836</v>
      </c>
      <c r="AV56" s="768">
        <f t="shared" si="28"/>
        <v>0.15622670105234854</v>
      </c>
      <c r="AW56" s="768">
        <f t="shared" si="28"/>
        <v>0.16302137224818927</v>
      </c>
      <c r="AX56" s="768">
        <f t="shared" si="28"/>
        <v>0.19976540313618962</v>
      </c>
      <c r="AY56" s="770">
        <f t="shared" si="28"/>
        <v>0.17026047537665298</v>
      </c>
      <c r="AZ56" s="768">
        <f t="shared" si="28"/>
        <v>0.23056975289097953</v>
      </c>
      <c r="BA56" s="768">
        <f t="shared" si="28"/>
        <v>0.2094545268253947</v>
      </c>
      <c r="BB56" s="768">
        <f t="shared" si="28"/>
        <v>0.21921577787185587</v>
      </c>
      <c r="BC56" s="768">
        <f t="shared" si="28"/>
        <v>0.19665910525622088</v>
      </c>
      <c r="BD56" s="770">
        <f t="shared" si="28"/>
        <v>0.21155369030526763</v>
      </c>
      <c r="BE56" s="768">
        <f t="shared" si="28"/>
        <v>0.19225469351107674</v>
      </c>
      <c r="BF56" s="768">
        <f t="shared" si="28"/>
        <v>0.18082974433020488</v>
      </c>
      <c r="BG56" s="768">
        <f>+BG49/BG29</f>
        <v>0.18199074551375743</v>
      </c>
      <c r="BH56" s="768">
        <f>+BH49/BH29</f>
        <v>0.17668781764051361</v>
      </c>
      <c r="BI56" s="735">
        <f t="shared" si="28"/>
        <v>0.18287681209417136</v>
      </c>
      <c r="BJ56" s="768">
        <f t="shared" si="28"/>
        <v>0.15748813389957531</v>
      </c>
      <c r="BK56" s="768">
        <f t="shared" si="28"/>
        <v>0.14987885518146485</v>
      </c>
      <c r="BL56" s="768">
        <f t="shared" si="28"/>
        <v>0.1568093360508454</v>
      </c>
      <c r="BM56" s="768">
        <f t="shared" si="28"/>
        <v>0.15206154661752364</v>
      </c>
      <c r="BN56" s="735">
        <f t="shared" si="28"/>
        <v>0.15406411432281569</v>
      </c>
      <c r="BO56" s="768">
        <f t="shared" si="28"/>
        <v>0.13071320362787189</v>
      </c>
      <c r="BP56" s="768">
        <f t="shared" si="28"/>
        <v>0.13559845458368378</v>
      </c>
      <c r="BQ56" s="768">
        <f t="shared" si="28"/>
        <v>0.12960337608387459</v>
      </c>
      <c r="BR56" s="768">
        <f t="shared" si="28"/>
        <v>0.12889217830990712</v>
      </c>
      <c r="BS56" s="735">
        <f t="shared" si="28"/>
        <v>0.13120219586366688</v>
      </c>
      <c r="BT56" s="768">
        <f t="shared" si="28"/>
        <v>0.12934932180066835</v>
      </c>
      <c r="BU56" s="768">
        <f t="shared" si="28"/>
        <v>0.12750842896354445</v>
      </c>
      <c r="BV56" s="768">
        <f t="shared" si="28"/>
        <v>0.12584771052397459</v>
      </c>
      <c r="BW56" s="768">
        <f t="shared" si="28"/>
        <v>0.12516138880232017</v>
      </c>
      <c r="BX56" s="735">
        <f t="shared" si="28"/>
        <v>0.12696252754105006</v>
      </c>
      <c r="BY56" s="768">
        <f t="shared" si="28"/>
        <v>0.12649338265382346</v>
      </c>
      <c r="BZ56" s="768">
        <f t="shared" si="28"/>
        <v>0.12532894488058816</v>
      </c>
      <c r="CA56" s="768">
        <f t="shared" si="28"/>
        <v>0.12274930292159837</v>
      </c>
      <c r="CB56" s="768">
        <f t="shared" si="28"/>
        <v>0.12154390484929767</v>
      </c>
      <c r="CC56" s="735">
        <f t="shared" si="28"/>
        <v>0.12401387856016323</v>
      </c>
      <c r="CD56" s="768">
        <f t="shared" si="28"/>
        <v>0.12077670297746876</v>
      </c>
      <c r="CE56" s="768">
        <f t="shared" si="28"/>
        <v>0.12203190098112496</v>
      </c>
      <c r="CF56" s="768">
        <f t="shared" si="28"/>
        <v>0.11914442491445375</v>
      </c>
      <c r="CG56" s="768">
        <f t="shared" si="28"/>
        <v>0.11796163711916821</v>
      </c>
      <c r="CH56" s="735">
        <f t="shared" si="28"/>
        <v>0.11996329339380714</v>
      </c>
      <c r="CI56" s="768">
        <f t="shared" si="28"/>
        <v>0.11501846388672256</v>
      </c>
      <c r="CJ56" s="768">
        <f t="shared" si="28"/>
        <v>0.11869226575599789</v>
      </c>
      <c r="CK56" s="768">
        <f t="shared" si="28"/>
        <v>0.11548550390740697</v>
      </c>
      <c r="CL56" s="768">
        <f t="shared" si="28"/>
        <v>0.11432585936059113</v>
      </c>
      <c r="CM56" s="735">
        <f t="shared" si="28"/>
        <v>0.1158494011852011</v>
      </c>
      <c r="CN56" s="768">
        <f t="shared" si="28"/>
        <v>0.1094641770534374</v>
      </c>
      <c r="CO56" s="768">
        <f t="shared" si="28"/>
        <v>0.11555192518889447</v>
      </c>
      <c r="CP56" s="768">
        <f t="shared" si="28"/>
        <v>0.1117711949264122</v>
      </c>
      <c r="CQ56" s="768">
        <f t="shared" si="28"/>
        <v>0.11063529626705981</v>
      </c>
      <c r="CR56" s="735">
        <f t="shared" si="28"/>
        <v>0.11179132814837192</v>
      </c>
      <c r="CT56" s="755"/>
      <c r="CU56" s="755"/>
      <c r="CW56" s="725"/>
      <c r="CX56" s="725"/>
      <c r="CY56" s="725"/>
      <c r="CZ56" s="725"/>
      <c r="DA56" s="725"/>
      <c r="DB56" s="725"/>
      <c r="DC56" s="725"/>
      <c r="DD56" s="725"/>
      <c r="DE56" s="725"/>
      <c r="DF56" s="725"/>
      <c r="DG56" s="725"/>
      <c r="DH56" s="725"/>
      <c r="DI56" s="725"/>
    </row>
    <row r="57" spans="1:113" ht="12" hidden="1" customHeight="1" outlineLevel="1">
      <c r="A57" s="760" t="s">
        <v>898</v>
      </c>
      <c r="B57" s="687"/>
      <c r="C57" s="731"/>
      <c r="D57" s="731"/>
      <c r="E57" s="731"/>
      <c r="F57" s="736"/>
      <c r="G57" s="761"/>
      <c r="H57" s="761"/>
      <c r="I57" s="761"/>
      <c r="J57" s="761"/>
      <c r="K57" s="762"/>
      <c r="L57" s="761"/>
      <c r="M57" s="761"/>
      <c r="N57" s="761"/>
      <c r="O57" s="761"/>
      <c r="P57" s="762"/>
      <c r="Q57" s="761"/>
      <c r="R57" s="761"/>
      <c r="S57" s="761"/>
      <c r="T57" s="761"/>
      <c r="U57" s="762"/>
      <c r="V57" s="761"/>
      <c r="W57" s="761"/>
      <c r="X57" s="761"/>
      <c r="Y57" s="761"/>
      <c r="Z57" s="763"/>
      <c r="AA57" s="761"/>
      <c r="AB57" s="761"/>
      <c r="AC57" s="761"/>
      <c r="AD57" s="761"/>
      <c r="AE57" s="762"/>
      <c r="AF57" s="761"/>
      <c r="AG57" s="761"/>
      <c r="AH57" s="761"/>
      <c r="AI57" s="761"/>
      <c r="AJ57" s="762"/>
      <c r="AK57" s="764"/>
      <c r="AL57" s="764"/>
      <c r="AM57" s="764"/>
      <c r="AN57" s="764"/>
      <c r="AO57" s="763"/>
      <c r="AP57" s="765"/>
      <c r="AQ57" s="765"/>
      <c r="AR57" s="765"/>
      <c r="AS57" s="765"/>
      <c r="AT57" s="762"/>
      <c r="AU57" s="761"/>
      <c r="AV57" s="761"/>
      <c r="AW57" s="761">
        <f>+AW49+10.2</f>
        <v>23.907</v>
      </c>
      <c r="AX57" s="761">
        <f>+AX49+10.2</f>
        <v>26.378999999999998</v>
      </c>
      <c r="AY57" s="762">
        <f>+SUM(AW57:AX57,AU49:AV49)</f>
        <v>76.587999999999994</v>
      </c>
      <c r="AZ57" s="761">
        <f>+AZ49+10.8</f>
        <v>26.093</v>
      </c>
      <c r="BA57" s="761">
        <f>+BA49+10</f>
        <v>26.353999999999992</v>
      </c>
      <c r="BB57" s="764">
        <f>+BB49</f>
        <v>30.033000000000001</v>
      </c>
      <c r="BC57" s="764">
        <f>+BC49</f>
        <v>28.349</v>
      </c>
      <c r="BD57" s="762">
        <f>+SUM(AZ57:BC57)</f>
        <v>110.82899999999999</v>
      </c>
      <c r="BE57" s="764">
        <f>+BE49</f>
        <v>30.834</v>
      </c>
      <c r="BF57" s="764">
        <f>+BF49</f>
        <v>29.055</v>
      </c>
      <c r="BG57" s="764">
        <f t="shared" ref="BG57:CR57" si="29">+BG49</f>
        <v>30.009</v>
      </c>
      <c r="BH57" s="764">
        <f>+BH49</f>
        <v>29.376999999999999</v>
      </c>
      <c r="BI57" s="762">
        <f t="shared" si="29"/>
        <v>119.27499999999999</v>
      </c>
      <c r="BJ57" s="764">
        <f t="shared" si="29"/>
        <v>25.216999999999999</v>
      </c>
      <c r="BK57" s="764">
        <f t="shared" si="29"/>
        <v>23.754000000000001</v>
      </c>
      <c r="BL57" s="764">
        <f>+BL49</f>
        <v>24.696999999999999</v>
      </c>
      <c r="BM57" s="764">
        <f>+BM49</f>
        <v>24.094000000000001</v>
      </c>
      <c r="BN57" s="762">
        <f>+BN49</f>
        <v>97.762</v>
      </c>
      <c r="BO57" s="764">
        <f>+BO49</f>
        <v>19.759</v>
      </c>
      <c r="BP57" s="764">
        <f t="shared" ref="BP57" si="30">+BP49</f>
        <v>20.637</v>
      </c>
      <c r="BQ57" s="764">
        <f>+BQ49</f>
        <v>19.655000000000001</v>
      </c>
      <c r="BR57" s="764">
        <f>+BR49</f>
        <v>19.678999999999998</v>
      </c>
      <c r="BS57" s="762">
        <f t="shared" si="29"/>
        <v>79.73</v>
      </c>
      <c r="BT57" s="764">
        <f>+BT49</f>
        <v>19.739999999999998</v>
      </c>
      <c r="BU57" s="764">
        <f t="shared" si="29"/>
        <v>19.192409999999999</v>
      </c>
      <c r="BV57" s="764">
        <f t="shared" si="29"/>
        <v>19.065350000000002</v>
      </c>
      <c r="BW57" s="764">
        <f t="shared" si="29"/>
        <v>19.285419999999998</v>
      </c>
      <c r="BX57" s="762">
        <f t="shared" si="29"/>
        <v>77.283180000000002</v>
      </c>
      <c r="BY57" s="764">
        <f t="shared" si="29"/>
        <v>19.739999999999998</v>
      </c>
      <c r="BZ57" s="764">
        <f t="shared" si="29"/>
        <v>19.192409999999999</v>
      </c>
      <c r="CA57" s="764">
        <f t="shared" si="29"/>
        <v>19.065350000000002</v>
      </c>
      <c r="CB57" s="764">
        <f t="shared" si="29"/>
        <v>19.285419999999998</v>
      </c>
      <c r="CC57" s="762">
        <f t="shared" si="29"/>
        <v>77.283180000000002</v>
      </c>
      <c r="CD57" s="764">
        <f t="shared" si="29"/>
        <v>19.9374</v>
      </c>
      <c r="CE57" s="764">
        <f t="shared" si="29"/>
        <v>19.3843341</v>
      </c>
      <c r="CF57" s="764">
        <f t="shared" si="29"/>
        <v>19.256003500000002</v>
      </c>
      <c r="CG57" s="764">
        <f t="shared" si="29"/>
        <v>19.478274199999998</v>
      </c>
      <c r="CH57" s="762">
        <f t="shared" si="29"/>
        <v>78.056011800000007</v>
      </c>
      <c r="CI57" s="764">
        <f t="shared" si="29"/>
        <v>20.136773999999999</v>
      </c>
      <c r="CJ57" s="764">
        <f t="shared" si="29"/>
        <v>19.578177441000001</v>
      </c>
      <c r="CK57" s="764">
        <f t="shared" si="29"/>
        <v>19.448563535000002</v>
      </c>
      <c r="CL57" s="764">
        <f t="shared" si="29"/>
        <v>19.673056941999999</v>
      </c>
      <c r="CM57" s="762">
        <f t="shared" si="29"/>
        <v>78.836571918000004</v>
      </c>
      <c r="CN57" s="764">
        <f t="shared" si="29"/>
        <v>20.338141739999998</v>
      </c>
      <c r="CO57" s="764">
        <f t="shared" si="29"/>
        <v>19.773959215410002</v>
      </c>
      <c r="CP57" s="764">
        <f t="shared" si="29"/>
        <v>19.64304917035</v>
      </c>
      <c r="CQ57" s="764">
        <f t="shared" si="29"/>
        <v>19.86978751142</v>
      </c>
      <c r="CR57" s="762">
        <f t="shared" si="29"/>
        <v>79.624937637179997</v>
      </c>
      <c r="CT57" s="755"/>
      <c r="CU57" s="755"/>
      <c r="CW57" s="725">
        <f>+AJ57-SUM(AF57:AI57)</f>
        <v>0</v>
      </c>
      <c r="CX57" s="725">
        <f>+AO57-SUM(AK57:AN57)</f>
        <v>0</v>
      </c>
      <c r="CY57" s="725">
        <f>+AT57-SUM(AP57:AS57)</f>
        <v>0</v>
      </c>
      <c r="CZ57" s="725">
        <f>+AY57-SUM(AU57:AX57)</f>
        <v>26.301999999999992</v>
      </c>
      <c r="DA57" s="725">
        <f>+BD57-SUM(AZ57:BC57)</f>
        <v>0</v>
      </c>
      <c r="DB57" s="725">
        <f>+BI57-SUM(BE57:BH57)</f>
        <v>0</v>
      </c>
      <c r="DC57" s="725">
        <f>+BN57-SUM(BJ57:BM57)</f>
        <v>0</v>
      </c>
      <c r="DD57" s="725">
        <f>+BS57-SUM(BO57:BR57)</f>
        <v>0</v>
      </c>
      <c r="DE57" s="725">
        <f>+BX57-SUM(BT57:BW57)</f>
        <v>0</v>
      </c>
      <c r="DF57" s="725">
        <f>+CC57-SUM(BY57:CB57)</f>
        <v>0</v>
      </c>
      <c r="DG57" s="725">
        <f>+CH57-SUM(CD57:CG57)</f>
        <v>0</v>
      </c>
      <c r="DH57" s="725">
        <f>+CM57-SUM(CI57:CL57)</f>
        <v>0</v>
      </c>
      <c r="DI57" s="725">
        <f>+CR57-SUM(CN57:CQ57)</f>
        <v>0</v>
      </c>
    </row>
    <row r="58" spans="1:113" ht="12" hidden="1" customHeight="1" outlineLevel="1">
      <c r="A58" s="733" t="s">
        <v>881</v>
      </c>
      <c r="B58" s="687"/>
      <c r="C58" s="731"/>
      <c r="D58" s="731"/>
      <c r="E58" s="731"/>
      <c r="F58" s="736"/>
      <c r="G58" s="687"/>
      <c r="H58" s="731"/>
      <c r="I58" s="731"/>
      <c r="J58" s="731"/>
      <c r="K58" s="736"/>
      <c r="L58" s="734"/>
      <c r="M58" s="734"/>
      <c r="N58" s="734"/>
      <c r="O58" s="734"/>
      <c r="P58" s="735"/>
      <c r="Q58" s="734"/>
      <c r="R58" s="734"/>
      <c r="S58" s="734"/>
      <c r="T58" s="734"/>
      <c r="U58" s="735"/>
      <c r="V58" s="734"/>
      <c r="W58" s="734"/>
      <c r="X58" s="734"/>
      <c r="Y58" s="734"/>
      <c r="Z58" s="735"/>
      <c r="AA58" s="734"/>
      <c r="AB58" s="734"/>
      <c r="AC58" s="734"/>
      <c r="AD58" s="734"/>
      <c r="AE58" s="735"/>
      <c r="AF58" s="734"/>
      <c r="AG58" s="734"/>
      <c r="AH58" s="734"/>
      <c r="AI58" s="734"/>
      <c r="AJ58" s="735"/>
      <c r="AK58" s="734"/>
      <c r="AL58" s="734"/>
      <c r="AM58" s="734"/>
      <c r="AN58" s="734"/>
      <c r="AO58" s="735"/>
      <c r="AP58" s="734"/>
      <c r="AQ58" s="734"/>
      <c r="AR58" s="734"/>
      <c r="AS58" s="734"/>
      <c r="AT58" s="735"/>
      <c r="AU58" s="734"/>
      <c r="AV58" s="734"/>
      <c r="AW58" s="734"/>
      <c r="AX58" s="734"/>
      <c r="AY58" s="735"/>
      <c r="AZ58" s="734"/>
      <c r="BA58" s="734"/>
      <c r="BB58" s="734">
        <f>+BB57/AW57-1</f>
        <v>0.25624294139791703</v>
      </c>
      <c r="BC58" s="734">
        <f>+BC57/AX57-1</f>
        <v>7.4680617157587559E-2</v>
      </c>
      <c r="BD58" s="735">
        <f>+BD57/AY57-1</f>
        <v>0.44708048258212774</v>
      </c>
      <c r="BE58" s="734">
        <f>+BE57/AZ59-1</f>
        <v>5.9842573815007016E-2</v>
      </c>
      <c r="BF58" s="734">
        <f t="shared" ref="BF58:CR58" si="31">+BF57/BA57-1</f>
        <v>0.10248918570236043</v>
      </c>
      <c r="BG58" s="734">
        <f t="shared" si="31"/>
        <v>-7.9912096693635082E-4</v>
      </c>
      <c r="BH58" s="734">
        <f t="shared" si="31"/>
        <v>3.6262302021235371E-2</v>
      </c>
      <c r="BI58" s="735">
        <f t="shared" si="31"/>
        <v>7.6207490819189871E-2</v>
      </c>
      <c r="BJ58" s="734">
        <f t="shared" si="31"/>
        <v>-0.18216903418304475</v>
      </c>
      <c r="BK58" s="734">
        <f t="shared" si="31"/>
        <v>-0.182447083118224</v>
      </c>
      <c r="BL58" s="734">
        <f t="shared" si="31"/>
        <v>-0.17701356259788736</v>
      </c>
      <c r="BM58" s="734">
        <f t="shared" si="31"/>
        <v>-0.17983456445518597</v>
      </c>
      <c r="BN58" s="735">
        <f t="shared" si="31"/>
        <v>-0.18036470341647448</v>
      </c>
      <c r="BO58" s="734">
        <f t="shared" si="31"/>
        <v>-0.216441289606218</v>
      </c>
      <c r="BP58" s="734">
        <f t="shared" si="31"/>
        <v>-0.13122000505178077</v>
      </c>
      <c r="BQ58" s="734">
        <f t="shared" si="31"/>
        <v>-0.20415435073085797</v>
      </c>
      <c r="BR58" s="734">
        <f t="shared" si="31"/>
        <v>-0.1832406408234416</v>
      </c>
      <c r="BS58" s="735">
        <f t="shared" si="31"/>
        <v>-0.18444794500930828</v>
      </c>
      <c r="BT58" s="734">
        <f t="shared" si="31"/>
        <v>-9.6158712485461262E-4</v>
      </c>
      <c r="BU58" s="734">
        <f t="shared" si="31"/>
        <v>-7.0000000000000062E-2</v>
      </c>
      <c r="BV58" s="734">
        <f t="shared" si="31"/>
        <v>-2.9999999999999916E-2</v>
      </c>
      <c r="BW58" s="734">
        <f t="shared" si="31"/>
        <v>-2.0000000000000018E-2</v>
      </c>
      <c r="BX58" s="735">
        <f t="shared" si="31"/>
        <v>-3.0688824783644875E-2</v>
      </c>
      <c r="BY58" s="734">
        <f t="shared" si="31"/>
        <v>0</v>
      </c>
      <c r="BZ58" s="734">
        <f t="shared" si="31"/>
        <v>0</v>
      </c>
      <c r="CA58" s="734">
        <f t="shared" si="31"/>
        <v>0</v>
      </c>
      <c r="CB58" s="734">
        <f t="shared" si="31"/>
        <v>0</v>
      </c>
      <c r="CC58" s="735">
        <f t="shared" si="31"/>
        <v>0</v>
      </c>
      <c r="CD58" s="734">
        <f t="shared" si="31"/>
        <v>1.0000000000000009E-2</v>
      </c>
      <c r="CE58" s="734">
        <f t="shared" si="31"/>
        <v>1.0000000000000009E-2</v>
      </c>
      <c r="CF58" s="734">
        <f t="shared" si="31"/>
        <v>1.0000000000000009E-2</v>
      </c>
      <c r="CG58" s="734">
        <f t="shared" si="31"/>
        <v>1.0000000000000009E-2</v>
      </c>
      <c r="CH58" s="735">
        <f t="shared" si="31"/>
        <v>1.0000000000000009E-2</v>
      </c>
      <c r="CI58" s="734">
        <f t="shared" si="31"/>
        <v>1.0000000000000009E-2</v>
      </c>
      <c r="CJ58" s="734">
        <f t="shared" si="31"/>
        <v>1.0000000000000009E-2</v>
      </c>
      <c r="CK58" s="734">
        <f t="shared" si="31"/>
        <v>1.0000000000000009E-2</v>
      </c>
      <c r="CL58" s="734">
        <f t="shared" si="31"/>
        <v>1.0000000000000009E-2</v>
      </c>
      <c r="CM58" s="735">
        <f t="shared" si="31"/>
        <v>1.0000000000000009E-2</v>
      </c>
      <c r="CN58" s="734">
        <f t="shared" si="31"/>
        <v>1.0000000000000009E-2</v>
      </c>
      <c r="CO58" s="734">
        <f t="shared" si="31"/>
        <v>1.0000000000000009E-2</v>
      </c>
      <c r="CP58" s="734">
        <f t="shared" si="31"/>
        <v>1.0000000000000009E-2</v>
      </c>
      <c r="CQ58" s="734">
        <f t="shared" si="31"/>
        <v>1.0000000000000009E-2</v>
      </c>
      <c r="CR58" s="735">
        <f t="shared" si="31"/>
        <v>1.0000000000000009E-2</v>
      </c>
      <c r="CT58" s="755"/>
      <c r="CU58" s="755"/>
      <c r="CW58" s="725"/>
      <c r="CX58" s="725"/>
      <c r="CY58" s="725"/>
      <c r="CZ58" s="725"/>
      <c r="DA58" s="725"/>
      <c r="DB58" s="725"/>
      <c r="DC58" s="725"/>
      <c r="DD58" s="725"/>
      <c r="DE58" s="725"/>
      <c r="DF58" s="725"/>
      <c r="DG58" s="725"/>
      <c r="DH58" s="725"/>
      <c r="DI58" s="725"/>
    </row>
    <row r="59" spans="1:113" ht="12" hidden="1" customHeight="1" outlineLevel="1">
      <c r="A59" s="760" t="s">
        <v>899</v>
      </c>
      <c r="B59" s="687"/>
      <c r="C59" s="731"/>
      <c r="D59" s="731"/>
      <c r="E59" s="731"/>
      <c r="F59" s="736"/>
      <c r="G59" s="687"/>
      <c r="H59" s="731"/>
      <c r="I59" s="731"/>
      <c r="J59" s="731"/>
      <c r="K59" s="736"/>
      <c r="L59" s="734"/>
      <c r="M59" s="734"/>
      <c r="N59" s="734"/>
      <c r="O59" s="734"/>
      <c r="P59" s="735"/>
      <c r="Q59" s="734"/>
      <c r="R59" s="734"/>
      <c r="S59" s="734"/>
      <c r="T59" s="734"/>
      <c r="U59" s="735"/>
      <c r="V59" s="734"/>
      <c r="W59" s="734"/>
      <c r="X59" s="734"/>
      <c r="Y59" s="734"/>
      <c r="Z59" s="735"/>
      <c r="AA59" s="734"/>
      <c r="AB59" s="734"/>
      <c r="AC59" s="734"/>
      <c r="AD59" s="734"/>
      <c r="AE59" s="735"/>
      <c r="AF59" s="734"/>
      <c r="AG59" s="734"/>
      <c r="AH59" s="734"/>
      <c r="AI59" s="734"/>
      <c r="AJ59" s="735"/>
      <c r="AK59" s="734"/>
      <c r="AL59" s="734"/>
      <c r="AM59" s="734"/>
      <c r="AN59" s="734"/>
      <c r="AO59" s="735"/>
      <c r="AP59" s="734"/>
      <c r="AQ59" s="734"/>
      <c r="AR59" s="734"/>
      <c r="AS59" s="734"/>
      <c r="AT59" s="735"/>
      <c r="AU59" s="734"/>
      <c r="AV59" s="734"/>
      <c r="AW59" s="761"/>
      <c r="AX59" s="761"/>
      <c r="AY59" s="762"/>
      <c r="AZ59" s="761">
        <f>+AZ57+3</f>
        <v>29.093</v>
      </c>
      <c r="BA59" s="761">
        <f>+BA57+3.1</f>
        <v>29.453999999999994</v>
      </c>
      <c r="BB59" s="761">
        <f>+BB57+3</f>
        <v>33.033000000000001</v>
      </c>
      <c r="BC59" s="766">
        <v>31.5</v>
      </c>
      <c r="BD59" s="762">
        <f>+SUM(AZ59:BC59)</f>
        <v>123.08</v>
      </c>
      <c r="BE59" s="764">
        <f>+BE57</f>
        <v>30.834</v>
      </c>
      <c r="BF59" s="764">
        <f>+BF49</f>
        <v>29.055</v>
      </c>
      <c r="BG59" s="764">
        <f>+BG49</f>
        <v>30.009</v>
      </c>
      <c r="BH59" s="764">
        <f>+BH49</f>
        <v>29.376999999999999</v>
      </c>
      <c r="BI59" s="762">
        <f t="shared" ref="BI59:CR59" si="32">+BI49</f>
        <v>119.27499999999999</v>
      </c>
      <c r="BJ59" s="764">
        <f t="shared" si="32"/>
        <v>25.216999999999999</v>
      </c>
      <c r="BK59" s="764">
        <f t="shared" si="32"/>
        <v>23.754000000000001</v>
      </c>
      <c r="BL59" s="764">
        <f>+BL49</f>
        <v>24.696999999999999</v>
      </c>
      <c r="BM59" s="764">
        <f>+BM49</f>
        <v>24.094000000000001</v>
      </c>
      <c r="BN59" s="762">
        <f>+BN49</f>
        <v>97.762</v>
      </c>
      <c r="BO59" s="764">
        <f>+BO49</f>
        <v>19.759</v>
      </c>
      <c r="BP59" s="764">
        <f t="shared" ref="BP59" si="33">+BP49</f>
        <v>20.637</v>
      </c>
      <c r="BQ59" s="764">
        <f>+BQ49</f>
        <v>19.655000000000001</v>
      </c>
      <c r="BR59" s="764">
        <f>+BR49</f>
        <v>19.678999999999998</v>
      </c>
      <c r="BS59" s="762">
        <f t="shared" si="32"/>
        <v>79.73</v>
      </c>
      <c r="BT59" s="764">
        <f>+BT49</f>
        <v>19.739999999999998</v>
      </c>
      <c r="BU59" s="764">
        <f t="shared" si="32"/>
        <v>19.192409999999999</v>
      </c>
      <c r="BV59" s="764">
        <f t="shared" si="32"/>
        <v>19.065350000000002</v>
      </c>
      <c r="BW59" s="764">
        <f t="shared" si="32"/>
        <v>19.285419999999998</v>
      </c>
      <c r="BX59" s="762">
        <f t="shared" si="32"/>
        <v>77.283180000000002</v>
      </c>
      <c r="BY59" s="764">
        <f t="shared" si="32"/>
        <v>19.739999999999998</v>
      </c>
      <c r="BZ59" s="764">
        <f t="shared" si="32"/>
        <v>19.192409999999999</v>
      </c>
      <c r="CA59" s="764">
        <f t="shared" si="32"/>
        <v>19.065350000000002</v>
      </c>
      <c r="CB59" s="764">
        <f t="shared" si="32"/>
        <v>19.285419999999998</v>
      </c>
      <c r="CC59" s="762">
        <f t="shared" si="32"/>
        <v>77.283180000000002</v>
      </c>
      <c r="CD59" s="764">
        <f t="shared" si="32"/>
        <v>19.9374</v>
      </c>
      <c r="CE59" s="764">
        <f t="shared" si="32"/>
        <v>19.3843341</v>
      </c>
      <c r="CF59" s="764">
        <f t="shared" si="32"/>
        <v>19.256003500000002</v>
      </c>
      <c r="CG59" s="764">
        <f t="shared" si="32"/>
        <v>19.478274199999998</v>
      </c>
      <c r="CH59" s="762">
        <f t="shared" si="32"/>
        <v>78.056011800000007</v>
      </c>
      <c r="CI59" s="764">
        <f t="shared" si="32"/>
        <v>20.136773999999999</v>
      </c>
      <c r="CJ59" s="764">
        <f t="shared" si="32"/>
        <v>19.578177441000001</v>
      </c>
      <c r="CK59" s="764">
        <f t="shared" si="32"/>
        <v>19.448563535000002</v>
      </c>
      <c r="CL59" s="764">
        <f t="shared" si="32"/>
        <v>19.673056941999999</v>
      </c>
      <c r="CM59" s="762">
        <f t="shared" si="32"/>
        <v>78.836571918000004</v>
      </c>
      <c r="CN59" s="764">
        <f t="shared" si="32"/>
        <v>20.338141739999998</v>
      </c>
      <c r="CO59" s="764">
        <f t="shared" si="32"/>
        <v>19.773959215410002</v>
      </c>
      <c r="CP59" s="764">
        <f t="shared" si="32"/>
        <v>19.64304917035</v>
      </c>
      <c r="CQ59" s="764">
        <f t="shared" si="32"/>
        <v>19.86978751142</v>
      </c>
      <c r="CR59" s="762">
        <f t="shared" si="32"/>
        <v>79.624937637179997</v>
      </c>
      <c r="CT59" s="755"/>
      <c r="CU59" s="755"/>
      <c r="CW59" s="725"/>
      <c r="CX59" s="725"/>
      <c r="CY59" s="725"/>
      <c r="CZ59" s="725"/>
      <c r="DA59" s="725"/>
      <c r="DB59" s="725"/>
      <c r="DC59" s="725"/>
      <c r="DD59" s="725"/>
      <c r="DE59" s="725"/>
      <c r="DF59" s="725"/>
      <c r="DG59" s="725"/>
      <c r="DH59" s="725"/>
      <c r="DI59" s="725"/>
    </row>
    <row r="60" spans="1:113" ht="12" hidden="1" customHeight="1" outlineLevel="1">
      <c r="A60" s="733" t="s">
        <v>881</v>
      </c>
      <c r="B60" s="687"/>
      <c r="C60" s="731"/>
      <c r="D60" s="731"/>
      <c r="E60" s="731"/>
      <c r="F60" s="736"/>
      <c r="G60" s="687"/>
      <c r="H60" s="731"/>
      <c r="I60" s="731"/>
      <c r="J60" s="731"/>
      <c r="K60" s="736"/>
      <c r="L60" s="734"/>
      <c r="M60" s="734"/>
      <c r="N60" s="734"/>
      <c r="O60" s="734"/>
      <c r="P60" s="735"/>
      <c r="Q60" s="734"/>
      <c r="R60" s="734"/>
      <c r="S60" s="734"/>
      <c r="T60" s="734"/>
      <c r="U60" s="735"/>
      <c r="V60" s="734"/>
      <c r="W60" s="734"/>
      <c r="X60" s="734"/>
      <c r="Y60" s="734"/>
      <c r="Z60" s="735"/>
      <c r="AA60" s="734"/>
      <c r="AB60" s="734"/>
      <c r="AC60" s="734"/>
      <c r="AD60" s="734"/>
      <c r="AE60" s="735"/>
      <c r="AF60" s="734"/>
      <c r="AG60" s="734"/>
      <c r="AH60" s="734"/>
      <c r="AI60" s="734"/>
      <c r="AJ60" s="735"/>
      <c r="AK60" s="734"/>
      <c r="AL60" s="734"/>
      <c r="AM60" s="734"/>
      <c r="AN60" s="734"/>
      <c r="AO60" s="735"/>
      <c r="AP60" s="734"/>
      <c r="AQ60" s="734"/>
      <c r="AR60" s="734"/>
      <c r="AS60" s="734"/>
      <c r="AT60" s="735"/>
      <c r="AU60" s="734"/>
      <c r="AV60" s="734"/>
      <c r="AW60" s="734"/>
      <c r="AX60" s="734"/>
      <c r="AY60" s="735"/>
      <c r="AZ60" s="734"/>
      <c r="BA60" s="734"/>
      <c r="BB60" s="734"/>
      <c r="BC60" s="734"/>
      <c r="BD60" s="735"/>
      <c r="BE60" s="734">
        <f t="shared" ref="BE60:CR60" si="34">+BE59/AZ59-1</f>
        <v>5.9842573815007016E-2</v>
      </c>
      <c r="BF60" s="734">
        <f t="shared" si="34"/>
        <v>-1.354654715828052E-2</v>
      </c>
      <c r="BG60" s="734">
        <f t="shared" si="34"/>
        <v>-9.154481881754617E-2</v>
      </c>
      <c r="BH60" s="734">
        <f t="shared" si="34"/>
        <v>-6.7396825396825455E-2</v>
      </c>
      <c r="BI60" s="735">
        <f t="shared" si="34"/>
        <v>-3.0914852128696824E-2</v>
      </c>
      <c r="BJ60" s="734">
        <f t="shared" si="34"/>
        <v>-0.18216903418304475</v>
      </c>
      <c r="BK60" s="734">
        <f t="shared" si="34"/>
        <v>-0.182447083118224</v>
      </c>
      <c r="BL60" s="734">
        <f t="shared" si="34"/>
        <v>-0.17701356259788736</v>
      </c>
      <c r="BM60" s="734">
        <f t="shared" si="34"/>
        <v>-0.17983456445518597</v>
      </c>
      <c r="BN60" s="735">
        <f t="shared" si="34"/>
        <v>-0.18036470341647448</v>
      </c>
      <c r="BO60" s="734">
        <f t="shared" si="34"/>
        <v>-0.216441289606218</v>
      </c>
      <c r="BP60" s="734">
        <f t="shared" si="34"/>
        <v>-0.13122000505178077</v>
      </c>
      <c r="BQ60" s="734">
        <f t="shared" si="34"/>
        <v>-0.20415435073085797</v>
      </c>
      <c r="BR60" s="734">
        <f t="shared" si="34"/>
        <v>-0.1832406408234416</v>
      </c>
      <c r="BS60" s="735">
        <f t="shared" si="34"/>
        <v>-0.18444794500930828</v>
      </c>
      <c r="BT60" s="734">
        <f t="shared" si="34"/>
        <v>-9.6158712485461262E-4</v>
      </c>
      <c r="BU60" s="734">
        <f t="shared" si="34"/>
        <v>-7.0000000000000062E-2</v>
      </c>
      <c r="BV60" s="734">
        <f t="shared" si="34"/>
        <v>-2.9999999999999916E-2</v>
      </c>
      <c r="BW60" s="734">
        <f t="shared" si="34"/>
        <v>-2.0000000000000018E-2</v>
      </c>
      <c r="BX60" s="735">
        <f t="shared" si="34"/>
        <v>-3.0688824783644875E-2</v>
      </c>
      <c r="BY60" s="734">
        <f t="shared" si="34"/>
        <v>0</v>
      </c>
      <c r="BZ60" s="734">
        <f t="shared" si="34"/>
        <v>0</v>
      </c>
      <c r="CA60" s="734">
        <f t="shared" si="34"/>
        <v>0</v>
      </c>
      <c r="CB60" s="734">
        <f t="shared" si="34"/>
        <v>0</v>
      </c>
      <c r="CC60" s="735">
        <f t="shared" si="34"/>
        <v>0</v>
      </c>
      <c r="CD60" s="734">
        <f t="shared" si="34"/>
        <v>1.0000000000000009E-2</v>
      </c>
      <c r="CE60" s="734">
        <f t="shared" si="34"/>
        <v>1.0000000000000009E-2</v>
      </c>
      <c r="CF60" s="734">
        <f t="shared" si="34"/>
        <v>1.0000000000000009E-2</v>
      </c>
      <c r="CG60" s="734">
        <f t="shared" si="34"/>
        <v>1.0000000000000009E-2</v>
      </c>
      <c r="CH60" s="735">
        <f t="shared" si="34"/>
        <v>1.0000000000000009E-2</v>
      </c>
      <c r="CI60" s="734">
        <f t="shared" si="34"/>
        <v>1.0000000000000009E-2</v>
      </c>
      <c r="CJ60" s="734">
        <f t="shared" si="34"/>
        <v>1.0000000000000009E-2</v>
      </c>
      <c r="CK60" s="734">
        <f t="shared" si="34"/>
        <v>1.0000000000000009E-2</v>
      </c>
      <c r="CL60" s="734">
        <f t="shared" si="34"/>
        <v>1.0000000000000009E-2</v>
      </c>
      <c r="CM60" s="735">
        <f t="shared" si="34"/>
        <v>1.0000000000000009E-2</v>
      </c>
      <c r="CN60" s="734">
        <f t="shared" si="34"/>
        <v>1.0000000000000009E-2</v>
      </c>
      <c r="CO60" s="734">
        <f t="shared" si="34"/>
        <v>1.0000000000000009E-2</v>
      </c>
      <c r="CP60" s="734">
        <f t="shared" si="34"/>
        <v>1.0000000000000009E-2</v>
      </c>
      <c r="CQ60" s="734">
        <f t="shared" si="34"/>
        <v>1.0000000000000009E-2</v>
      </c>
      <c r="CR60" s="735">
        <f t="shared" si="34"/>
        <v>1.0000000000000009E-2</v>
      </c>
      <c r="CT60" s="755"/>
      <c r="CU60" s="755"/>
      <c r="CW60" s="725"/>
      <c r="CX60" s="725"/>
      <c r="CY60" s="725"/>
      <c r="CZ60" s="725"/>
      <c r="DA60" s="725"/>
      <c r="DB60" s="725"/>
      <c r="DC60" s="725"/>
      <c r="DD60" s="725"/>
      <c r="DE60" s="725"/>
      <c r="DF60" s="725"/>
      <c r="DG60" s="725"/>
      <c r="DH60" s="725"/>
      <c r="DI60" s="725"/>
    </row>
    <row r="61" spans="1:113" ht="12" customHeight="1" collapsed="1">
      <c r="A61" s="726"/>
      <c r="B61" s="687"/>
      <c r="C61" s="731"/>
      <c r="D61" s="731"/>
      <c r="E61" s="731"/>
      <c r="F61" s="736"/>
      <c r="G61" s="687"/>
      <c r="H61" s="731"/>
      <c r="I61" s="731"/>
      <c r="J61" s="731"/>
      <c r="K61" s="736"/>
      <c r="L61" s="731"/>
      <c r="M61" s="731"/>
      <c r="N61" s="731"/>
      <c r="O61" s="731"/>
      <c r="P61" s="736"/>
      <c r="Q61" s="687"/>
      <c r="R61" s="731"/>
      <c r="S61" s="731"/>
      <c r="T61" s="731"/>
      <c r="U61" s="736"/>
      <c r="V61" s="687"/>
      <c r="W61" s="731"/>
      <c r="X61" s="731"/>
      <c r="Y61" s="731"/>
      <c r="Z61" s="736"/>
      <c r="AA61" s="731"/>
      <c r="AB61" s="731"/>
      <c r="AC61" s="731"/>
      <c r="AD61" s="731"/>
      <c r="AE61" s="736"/>
      <c r="AF61" s="731"/>
      <c r="AG61" s="731"/>
      <c r="AH61" s="731"/>
      <c r="AI61" s="731"/>
      <c r="AJ61" s="736"/>
      <c r="AK61" s="731"/>
      <c r="AL61" s="731"/>
      <c r="AM61" s="731"/>
      <c r="AN61" s="731"/>
      <c r="AO61" s="729"/>
      <c r="AP61" s="731"/>
      <c r="AQ61" s="731"/>
      <c r="AR61" s="731"/>
      <c r="AS61" s="731"/>
      <c r="AT61" s="729"/>
      <c r="AU61" s="731"/>
      <c r="AV61" s="731"/>
      <c r="AW61" s="731"/>
      <c r="AX61" s="731"/>
      <c r="AY61" s="729"/>
      <c r="AZ61" s="731"/>
      <c r="BA61" s="731"/>
      <c r="BB61" s="731"/>
      <c r="BC61" s="731"/>
      <c r="BD61" s="729"/>
      <c r="BE61" s="731"/>
      <c r="BF61" s="731"/>
      <c r="BG61" s="731"/>
      <c r="BH61" s="731"/>
      <c r="BI61" s="729"/>
      <c r="BJ61" s="731"/>
      <c r="BK61" s="731"/>
      <c r="BL61" s="731"/>
      <c r="BM61" s="731"/>
      <c r="BN61" s="729"/>
      <c r="BO61" s="731"/>
      <c r="BP61" s="731"/>
      <c r="BQ61" s="731"/>
      <c r="BR61" s="731"/>
      <c r="BS61" s="729"/>
      <c r="BT61" s="731"/>
      <c r="BU61" s="731"/>
      <c r="BV61" s="731"/>
      <c r="BW61" s="731"/>
      <c r="BX61" s="729"/>
      <c r="BY61" s="731"/>
      <c r="BZ61" s="731"/>
      <c r="CA61" s="731"/>
      <c r="CB61" s="731"/>
      <c r="CC61" s="729"/>
      <c r="CD61" s="731"/>
      <c r="CE61" s="731"/>
      <c r="CF61" s="731"/>
      <c r="CG61" s="731"/>
      <c r="CH61" s="729"/>
      <c r="CI61" s="731"/>
      <c r="CJ61" s="731"/>
      <c r="CK61" s="731"/>
      <c r="CL61" s="731"/>
      <c r="CM61" s="729"/>
      <c r="CN61" s="731"/>
      <c r="CO61" s="731"/>
      <c r="CP61" s="731"/>
      <c r="CQ61" s="731"/>
      <c r="CR61" s="729"/>
      <c r="CT61" s="755"/>
      <c r="CU61" s="755"/>
      <c r="CW61" s="725"/>
      <c r="CX61" s="725"/>
      <c r="CY61" s="725"/>
      <c r="CZ61" s="725"/>
      <c r="DA61" s="725"/>
      <c r="DB61" s="725"/>
      <c r="DC61" s="725"/>
      <c r="DD61" s="725"/>
      <c r="DE61" s="725"/>
      <c r="DF61" s="725"/>
      <c r="DG61" s="725"/>
      <c r="DH61" s="725"/>
      <c r="DI61" s="725"/>
    </row>
    <row r="62" spans="1:113" ht="12" customHeight="1">
      <c r="A62" s="774" t="s">
        <v>900</v>
      </c>
      <c r="B62" s="775"/>
      <c r="C62" s="776"/>
      <c r="D62" s="776"/>
      <c r="E62" s="776"/>
      <c r="F62" s="777"/>
      <c r="G62" s="775"/>
      <c r="H62" s="776"/>
      <c r="I62" s="776"/>
      <c r="J62" s="776"/>
      <c r="K62" s="777"/>
      <c r="L62" s="776"/>
      <c r="M62" s="776"/>
      <c r="N62" s="776"/>
      <c r="O62" s="776"/>
      <c r="P62" s="777"/>
      <c r="Q62" s="778"/>
      <c r="R62" s="776"/>
      <c r="S62" s="776"/>
      <c r="T62" s="776"/>
      <c r="U62" s="777"/>
      <c r="V62" s="778"/>
      <c r="W62" s="776"/>
      <c r="X62" s="776"/>
      <c r="Y62" s="776"/>
      <c r="Z62" s="777"/>
      <c r="AA62" s="776"/>
      <c r="AB62" s="776"/>
      <c r="AC62" s="776"/>
      <c r="AD62" s="776"/>
      <c r="AE62" s="777"/>
      <c r="AF62" s="776"/>
      <c r="AG62" s="776"/>
      <c r="AH62" s="776"/>
      <c r="AI62" s="776"/>
      <c r="AJ62" s="777"/>
      <c r="AK62" s="776"/>
      <c r="AL62" s="776"/>
      <c r="AM62" s="776"/>
      <c r="AN62" s="776"/>
      <c r="AO62" s="779"/>
      <c r="AP62" s="776"/>
      <c r="AQ62" s="776"/>
      <c r="AR62" s="776"/>
      <c r="AS62" s="776"/>
      <c r="AT62" s="779"/>
      <c r="AU62" s="776"/>
      <c r="AV62" s="776"/>
      <c r="AW62" s="776"/>
      <c r="AX62" s="776"/>
      <c r="AY62" s="779"/>
      <c r="AZ62" s="776"/>
      <c r="BA62" s="776"/>
      <c r="BB62" s="776"/>
      <c r="BC62" s="776"/>
      <c r="BD62" s="779"/>
      <c r="BE62" s="776"/>
      <c r="BF62" s="776"/>
      <c r="BG62" s="776"/>
      <c r="BH62" s="776"/>
      <c r="BI62" s="779"/>
      <c r="BJ62" s="776"/>
      <c r="BK62" s="776"/>
      <c r="BL62" s="776"/>
      <c r="BM62" s="776"/>
      <c r="BN62" s="779"/>
      <c r="BO62" s="776"/>
      <c r="BP62" s="776"/>
      <c r="BQ62" s="776"/>
      <c r="BR62" s="776"/>
      <c r="BS62" s="779"/>
      <c r="BT62" s="776"/>
      <c r="BU62" s="776"/>
      <c r="BV62" s="776"/>
      <c r="BW62" s="776"/>
      <c r="BX62" s="779"/>
      <c r="BY62" s="776"/>
      <c r="BZ62" s="776"/>
      <c r="CA62" s="776"/>
      <c r="CB62" s="776"/>
      <c r="CC62" s="779"/>
      <c r="CD62" s="776"/>
      <c r="CE62" s="776"/>
      <c r="CF62" s="776"/>
      <c r="CG62" s="776"/>
      <c r="CH62" s="779"/>
      <c r="CI62" s="776"/>
      <c r="CJ62" s="776"/>
      <c r="CK62" s="776"/>
      <c r="CL62" s="776"/>
      <c r="CM62" s="779"/>
      <c r="CN62" s="776"/>
      <c r="CO62" s="776"/>
      <c r="CP62" s="776"/>
      <c r="CQ62" s="776"/>
      <c r="CR62" s="779"/>
      <c r="CT62" s="779"/>
      <c r="CU62" s="779"/>
      <c r="CW62" s="725"/>
      <c r="CX62" s="725"/>
      <c r="CY62" s="725"/>
      <c r="CZ62" s="725"/>
      <c r="DA62" s="725"/>
      <c r="DB62" s="725"/>
      <c r="DC62" s="725"/>
      <c r="DD62" s="725"/>
      <c r="DE62" s="725"/>
      <c r="DF62" s="725"/>
      <c r="DG62" s="725"/>
      <c r="DH62" s="725"/>
      <c r="DI62" s="725"/>
    </row>
    <row r="63" spans="1:113" ht="12" customHeight="1">
      <c r="A63" s="726"/>
      <c r="B63" s="687"/>
      <c r="C63" s="731"/>
      <c r="D63" s="731"/>
      <c r="E63" s="731"/>
      <c r="F63" s="736"/>
      <c r="G63" s="687"/>
      <c r="H63" s="731"/>
      <c r="I63" s="731"/>
      <c r="J63" s="731"/>
      <c r="K63" s="736"/>
      <c r="L63" s="731"/>
      <c r="M63" s="731"/>
      <c r="N63" s="731"/>
      <c r="O63" s="731"/>
      <c r="P63" s="736"/>
      <c r="Q63" s="687"/>
      <c r="R63" s="731"/>
      <c r="S63" s="731"/>
      <c r="T63" s="731"/>
      <c r="U63" s="736"/>
      <c r="V63" s="687"/>
      <c r="W63" s="731"/>
      <c r="X63" s="731"/>
      <c r="Y63" s="731"/>
      <c r="Z63" s="736"/>
      <c r="AA63" s="731"/>
      <c r="AB63" s="731"/>
      <c r="AC63" s="731"/>
      <c r="AD63" s="731"/>
      <c r="AE63" s="736"/>
      <c r="AF63" s="731"/>
      <c r="AG63" s="731"/>
      <c r="AH63" s="731"/>
      <c r="AI63" s="731"/>
      <c r="AJ63" s="736"/>
      <c r="AK63" s="731"/>
      <c r="AL63" s="731"/>
      <c r="AM63" s="731"/>
      <c r="AN63" s="731"/>
      <c r="AO63" s="729"/>
      <c r="AP63" s="731"/>
      <c r="AQ63" s="731"/>
      <c r="AR63" s="731"/>
      <c r="AS63" s="731"/>
      <c r="AT63" s="729"/>
      <c r="AU63" s="731"/>
      <c r="AV63" s="731"/>
      <c r="AW63" s="731"/>
      <c r="AX63" s="731"/>
      <c r="AY63" s="729"/>
      <c r="AZ63" s="731"/>
      <c r="BA63" s="731"/>
      <c r="BB63" s="731"/>
      <c r="BC63" s="731"/>
      <c r="BD63" s="729"/>
      <c r="BE63" s="731"/>
      <c r="BF63" s="731"/>
      <c r="BG63" s="731"/>
      <c r="BH63" s="731"/>
      <c r="BI63" s="729"/>
      <c r="BJ63" s="731"/>
      <c r="BK63" s="731"/>
      <c r="BL63" s="731"/>
      <c r="BM63" s="731"/>
      <c r="BN63" s="729"/>
      <c r="BO63" s="731"/>
      <c r="BP63" s="731"/>
      <c r="BQ63" s="731"/>
      <c r="BR63" s="780"/>
      <c r="BS63" s="729"/>
      <c r="BT63" s="731"/>
      <c r="BU63" s="731"/>
      <c r="BV63" s="731"/>
      <c r="BW63" s="731"/>
      <c r="BX63" s="729"/>
      <c r="BY63" s="731"/>
      <c r="BZ63" s="731"/>
      <c r="CA63" s="731"/>
      <c r="CB63" s="731"/>
      <c r="CC63" s="729"/>
      <c r="CD63" s="731"/>
      <c r="CE63" s="731"/>
      <c r="CF63" s="731"/>
      <c r="CG63" s="731"/>
      <c r="CH63" s="729"/>
      <c r="CI63" s="731"/>
      <c r="CJ63" s="731"/>
      <c r="CK63" s="731"/>
      <c r="CL63" s="731"/>
      <c r="CM63" s="729"/>
      <c r="CN63" s="731"/>
      <c r="CO63" s="731"/>
      <c r="CP63" s="731"/>
      <c r="CQ63" s="731"/>
      <c r="CR63" s="729"/>
      <c r="CT63" s="755"/>
      <c r="CU63" s="755"/>
      <c r="CW63" s="725"/>
      <c r="CX63" s="725"/>
      <c r="CY63" s="725"/>
      <c r="CZ63" s="725"/>
      <c r="DA63" s="725"/>
      <c r="DB63" s="725"/>
      <c r="DC63" s="725"/>
      <c r="DD63" s="725"/>
      <c r="DE63" s="725"/>
      <c r="DF63" s="725"/>
      <c r="DG63" s="725"/>
      <c r="DH63" s="725"/>
      <c r="DI63" s="725"/>
    </row>
    <row r="64" spans="1:113" ht="12" customHeight="1">
      <c r="A64" s="760" t="s">
        <v>901</v>
      </c>
      <c r="B64" s="687"/>
      <c r="C64" s="731"/>
      <c r="D64" s="731"/>
      <c r="E64" s="731"/>
      <c r="F64" s="736"/>
      <c r="G64" s="687"/>
      <c r="H64" s="731"/>
      <c r="I64" s="731"/>
      <c r="J64" s="731"/>
      <c r="K64" s="736"/>
      <c r="L64" s="681"/>
      <c r="M64" s="681"/>
      <c r="N64" s="681"/>
      <c r="O64" s="681"/>
      <c r="P64" s="736"/>
      <c r="Q64" s="681"/>
      <c r="R64" s="681"/>
      <c r="S64" s="681"/>
      <c r="T64" s="681"/>
      <c r="U64" s="736"/>
      <c r="V64" s="681"/>
      <c r="W64" s="681"/>
      <c r="X64" s="681"/>
      <c r="Y64" s="681"/>
      <c r="Z64" s="736"/>
      <c r="AA64" s="681"/>
      <c r="AB64" s="681"/>
      <c r="AC64" s="681"/>
      <c r="AD64" s="681"/>
      <c r="AE64" s="762"/>
      <c r="AF64" s="681"/>
      <c r="AG64" s="681"/>
      <c r="AH64" s="681"/>
      <c r="AI64" s="681"/>
      <c r="AJ64" s="762"/>
      <c r="AK64" s="681"/>
      <c r="AL64" s="681"/>
      <c r="AM64" s="681"/>
      <c r="AN64" s="681"/>
      <c r="AO64" s="762"/>
      <c r="AP64" s="681"/>
      <c r="AQ64" s="681"/>
      <c r="AR64" s="681"/>
      <c r="AS64" s="681"/>
      <c r="AT64" s="762"/>
      <c r="AU64" s="681">
        <f>+AP126</f>
        <v>197.6</v>
      </c>
      <c r="AV64" s="681">
        <f>+AQ126</f>
        <v>241.6</v>
      </c>
      <c r="AW64" s="681">
        <f>+AR126</f>
        <v>266.72399999999999</v>
      </c>
      <c r="AX64" s="681">
        <f>+AS126</f>
        <v>270</v>
      </c>
      <c r="AY64" s="762">
        <f>+AX64</f>
        <v>270</v>
      </c>
      <c r="AZ64" s="681">
        <f>+AU126</f>
        <v>268.41600000000005</v>
      </c>
      <c r="BA64" s="681">
        <f>+AV126</f>
        <v>276.14</v>
      </c>
      <c r="BB64" s="681">
        <f>+AW126</f>
        <v>422.29599999999999</v>
      </c>
      <c r="BC64" s="681">
        <f>+AX126</f>
        <v>440.83199999999988</v>
      </c>
      <c r="BD64" s="762">
        <f>+BC64</f>
        <v>440.83199999999988</v>
      </c>
      <c r="BE64" s="681">
        <f>+AZ126</f>
        <v>468.14400000000001</v>
      </c>
      <c r="BF64" s="681">
        <f>+BA126</f>
        <v>484.512</v>
      </c>
      <c r="BG64" s="681">
        <f>+BB126</f>
        <v>499.452</v>
      </c>
      <c r="BH64" s="681">
        <f>+BC126</f>
        <v>519.87599999999998</v>
      </c>
      <c r="BI64" s="781">
        <f>+BH64</f>
        <v>519.87599999999998</v>
      </c>
      <c r="BJ64" s="681">
        <f>+BE126</f>
        <v>518.18799999999999</v>
      </c>
      <c r="BK64" s="681">
        <f>+BF126</f>
        <v>526.48400000000004</v>
      </c>
      <c r="BL64" s="681">
        <f>+BG126</f>
        <v>539.53599999999994</v>
      </c>
      <c r="BM64" s="681">
        <f>+BH126</f>
        <v>542.07648000000006</v>
      </c>
      <c r="BN64" s="781">
        <f>+BM64</f>
        <v>542.07648000000006</v>
      </c>
      <c r="BO64" s="681">
        <f>+BJ126</f>
        <v>534.21587999999997</v>
      </c>
      <c r="BP64" s="681">
        <f>+BK126</f>
        <v>533.54664000000002</v>
      </c>
      <c r="BQ64" s="681">
        <f>+BL126</f>
        <v>525.88800000000003</v>
      </c>
      <c r="BR64" s="681">
        <f>+BM126</f>
        <v>537.41999999999996</v>
      </c>
      <c r="BS64" s="781">
        <f>+BR64</f>
        <v>537.41999999999996</v>
      </c>
      <c r="BT64" s="681">
        <f>+BO126</f>
        <v>520.35983999999996</v>
      </c>
      <c r="BU64" s="681">
        <f>+BP126</f>
        <v>520.95780000000002</v>
      </c>
      <c r="BV64" s="681">
        <f>+BQ126</f>
        <v>522.72</v>
      </c>
      <c r="BW64" s="681">
        <f>+BR126</f>
        <v>531.99599999999998</v>
      </c>
      <c r="BX64" s="781">
        <f>+BW64</f>
        <v>531.99599999999998</v>
      </c>
      <c r="BY64" s="681">
        <f>+BT126</f>
        <v>526.16520000000003</v>
      </c>
      <c r="BZ64" s="681">
        <f>+BU126</f>
        <v>525.30538064000007</v>
      </c>
      <c r="CA64" s="681">
        <f>+BV126</f>
        <v>529.72022400000003</v>
      </c>
      <c r="CB64" s="681">
        <f>+BW126</f>
        <v>539.19600000000003</v>
      </c>
      <c r="CC64" s="781">
        <f>+CB64</f>
        <v>539.19600000000003</v>
      </c>
      <c r="CD64" s="681">
        <f>+BY126</f>
        <v>545.26237704000005</v>
      </c>
      <c r="CE64" s="681">
        <f>+BZ126</f>
        <v>535.77553121440019</v>
      </c>
      <c r="CF64" s="681">
        <f>+CA126</f>
        <v>545.01626255999997</v>
      </c>
      <c r="CG64" s="681">
        <f>+CB126</f>
        <v>557.53991999999994</v>
      </c>
      <c r="CH64" s="781">
        <f>+CG64</f>
        <v>557.53991999999994</v>
      </c>
      <c r="CI64" s="681">
        <f>+CD126</f>
        <v>580.55655204720006</v>
      </c>
      <c r="CJ64" s="681">
        <f>+CE126</f>
        <v>557.8484584340323</v>
      </c>
      <c r="CK64" s="681">
        <f>+CF126</f>
        <v>569.45200915679993</v>
      </c>
      <c r="CL64" s="681">
        <f>+CG126</f>
        <v>582.58211759999995</v>
      </c>
      <c r="CM64" s="781">
        <f>+CL64</f>
        <v>582.58211759999995</v>
      </c>
      <c r="CN64" s="681">
        <f>+CI126</f>
        <v>619.74999785901605</v>
      </c>
      <c r="CO64" s="681">
        <f>+CJ126</f>
        <v>581.48352266273344</v>
      </c>
      <c r="CP64" s="681">
        <f>+CK126</f>
        <v>595.83361695950396</v>
      </c>
      <c r="CQ64" s="681">
        <f>+CL126</f>
        <v>609.62298112799999</v>
      </c>
      <c r="CR64" s="781">
        <f>+CQ64</f>
        <v>609.62298112799999</v>
      </c>
      <c r="CT64" s="767">
        <f>+(CC64/BN64)^(0.333333333333333)-1</f>
        <v>-1.7744096448318869E-3</v>
      </c>
      <c r="CU64" s="767">
        <f>+(CM64/BN64)^(0.2)-1</f>
        <v>1.451697272896002E-2</v>
      </c>
      <c r="CW64" s="725"/>
      <c r="CX64" s="725"/>
      <c r="CY64" s="725"/>
      <c r="CZ64" s="725"/>
      <c r="DA64" s="725"/>
      <c r="DB64" s="725"/>
      <c r="DC64" s="725"/>
      <c r="DD64" s="725"/>
      <c r="DE64" s="725"/>
      <c r="DF64" s="725"/>
      <c r="DG64" s="725"/>
      <c r="DH64" s="725"/>
      <c r="DI64" s="725"/>
    </row>
    <row r="65" spans="1:113" ht="12" customHeight="1">
      <c r="A65" s="760" t="s">
        <v>902</v>
      </c>
      <c r="B65" s="687"/>
      <c r="C65" s="731"/>
      <c r="D65" s="731"/>
      <c r="E65" s="731"/>
      <c r="F65" s="736"/>
      <c r="G65" s="687"/>
      <c r="H65" s="731"/>
      <c r="I65" s="731"/>
      <c r="J65" s="731"/>
      <c r="K65" s="782"/>
      <c r="L65" s="769"/>
      <c r="M65" s="769"/>
      <c r="N65" s="769"/>
      <c r="O65" s="769"/>
      <c r="P65" s="782"/>
      <c r="Q65" s="769"/>
      <c r="R65" s="769"/>
      <c r="S65" s="769"/>
      <c r="T65" s="769"/>
      <c r="U65" s="782"/>
      <c r="V65" s="769"/>
      <c r="W65" s="769"/>
      <c r="X65" s="769"/>
      <c r="Y65" s="769"/>
      <c r="Z65" s="782"/>
      <c r="AA65" s="769"/>
      <c r="AB65" s="769"/>
      <c r="AC65" s="769"/>
      <c r="AD65" s="769"/>
      <c r="AE65" s="782"/>
      <c r="AF65" s="769"/>
      <c r="AG65" s="769"/>
      <c r="AH65" s="769"/>
      <c r="AI65" s="769"/>
      <c r="AJ65" s="782"/>
      <c r="AK65" s="769"/>
      <c r="AL65" s="769"/>
      <c r="AM65" s="769"/>
      <c r="AN65" s="769"/>
      <c r="AO65" s="782">
        <v>1.06</v>
      </c>
      <c r="AP65" s="769">
        <v>1.07</v>
      </c>
      <c r="AQ65" s="769">
        <v>1.07</v>
      </c>
      <c r="AR65" s="769">
        <v>1.07</v>
      </c>
      <c r="AS65" s="769">
        <v>1.07</v>
      </c>
      <c r="AT65" s="782">
        <v>1.07</v>
      </c>
      <c r="AU65" s="769">
        <v>1.07</v>
      </c>
      <c r="AV65" s="769">
        <v>1.06</v>
      </c>
      <c r="AW65" s="769">
        <v>1.04</v>
      </c>
      <c r="AX65" s="769">
        <v>1.07</v>
      </c>
      <c r="AY65" s="782">
        <f>+AX65</f>
        <v>1.07</v>
      </c>
      <c r="AZ65" s="769">
        <v>1.08</v>
      </c>
      <c r="BA65" s="769">
        <v>1.08</v>
      </c>
      <c r="BB65" s="769">
        <v>1.08</v>
      </c>
      <c r="BC65" s="769">
        <v>1.08</v>
      </c>
      <c r="BD65" s="782">
        <v>1.08</v>
      </c>
      <c r="BE65" s="769">
        <v>1.08</v>
      </c>
      <c r="BF65" s="769">
        <v>1.07</v>
      </c>
      <c r="BG65" s="769">
        <v>1.06</v>
      </c>
      <c r="BH65" s="769">
        <v>1.04</v>
      </c>
      <c r="BI65" s="771">
        <f>+BH65</f>
        <v>1.04</v>
      </c>
      <c r="BJ65" s="769">
        <v>1.03</v>
      </c>
      <c r="BK65" s="769">
        <v>1.0149999999999999</v>
      </c>
      <c r="BL65" s="769">
        <v>0.98</v>
      </c>
      <c r="BM65" s="769">
        <v>0.98499999999999999</v>
      </c>
      <c r="BN65" s="771">
        <f>+BM65</f>
        <v>0.98499999999999999</v>
      </c>
      <c r="BO65" s="769">
        <v>0.98</v>
      </c>
      <c r="BP65" s="769">
        <v>0.98</v>
      </c>
      <c r="BQ65" s="769">
        <v>0.98499999999999999</v>
      </c>
      <c r="BR65" s="769">
        <v>0.99</v>
      </c>
      <c r="BS65" s="771">
        <f>+BR65</f>
        <v>0.99</v>
      </c>
      <c r="BT65" s="783">
        <v>0.995</v>
      </c>
      <c r="BU65" s="783">
        <v>1</v>
      </c>
      <c r="BV65" s="783">
        <v>1</v>
      </c>
      <c r="BW65" s="783">
        <v>1</v>
      </c>
      <c r="BX65" s="771">
        <f>+BW65</f>
        <v>1</v>
      </c>
      <c r="BY65" s="783">
        <v>1.0049999999999999</v>
      </c>
      <c r="BZ65" s="783">
        <v>1.01</v>
      </c>
      <c r="CA65" s="783">
        <v>1.0149999999999999</v>
      </c>
      <c r="CB65" s="783">
        <v>1.02</v>
      </c>
      <c r="CC65" s="771">
        <f>+CB65</f>
        <v>1.02</v>
      </c>
      <c r="CD65" s="783">
        <v>1.03</v>
      </c>
      <c r="CE65" s="783">
        <v>1.03</v>
      </c>
      <c r="CF65" s="783">
        <v>1.03</v>
      </c>
      <c r="CG65" s="783">
        <v>1.03</v>
      </c>
      <c r="CH65" s="771">
        <f>+CG65</f>
        <v>1.03</v>
      </c>
      <c r="CI65" s="783">
        <v>1.03</v>
      </c>
      <c r="CJ65" s="783">
        <v>1.03</v>
      </c>
      <c r="CK65" s="783">
        <v>1.03</v>
      </c>
      <c r="CL65" s="783">
        <v>1.03</v>
      </c>
      <c r="CM65" s="771">
        <f>+CL65</f>
        <v>1.03</v>
      </c>
      <c r="CN65" s="783">
        <v>1.0275000000000001</v>
      </c>
      <c r="CO65" s="783">
        <v>1.0275000000000001</v>
      </c>
      <c r="CP65" s="783">
        <v>1.03</v>
      </c>
      <c r="CQ65" s="783">
        <v>1.03</v>
      </c>
      <c r="CR65" s="771">
        <f>+CQ65</f>
        <v>1.03</v>
      </c>
      <c r="CT65" s="759"/>
      <c r="CU65" s="759"/>
      <c r="CW65" s="725"/>
      <c r="CX65" s="725"/>
      <c r="CY65" s="725"/>
      <c r="CZ65" s="725"/>
      <c r="DA65" s="725"/>
      <c r="DB65" s="725"/>
      <c r="DC65" s="725"/>
      <c r="DD65" s="725"/>
      <c r="DE65" s="725"/>
      <c r="DF65" s="725"/>
      <c r="DG65" s="725"/>
      <c r="DH65" s="725"/>
      <c r="DI65" s="725"/>
    </row>
    <row r="66" spans="1:113" ht="12" customHeight="1">
      <c r="A66" s="760" t="s">
        <v>903</v>
      </c>
      <c r="B66" s="687"/>
      <c r="C66" s="731"/>
      <c r="D66" s="731"/>
      <c r="E66" s="731"/>
      <c r="F66" s="736"/>
      <c r="G66" s="687"/>
      <c r="H66" s="731"/>
      <c r="I66" s="731"/>
      <c r="J66" s="731"/>
      <c r="K66" s="782"/>
      <c r="L66" s="769"/>
      <c r="M66" s="769"/>
      <c r="N66" s="769"/>
      <c r="O66" s="769"/>
      <c r="P66" s="782"/>
      <c r="Q66" s="769"/>
      <c r="R66" s="769"/>
      <c r="S66" s="769"/>
      <c r="T66" s="769"/>
      <c r="U66" s="782"/>
      <c r="V66" s="769"/>
      <c r="W66" s="769"/>
      <c r="X66" s="769"/>
      <c r="Y66" s="769"/>
      <c r="Z66" s="782"/>
      <c r="AA66" s="769"/>
      <c r="AB66" s="769"/>
      <c r="AC66" s="769"/>
      <c r="AD66" s="769"/>
      <c r="AE66" s="782"/>
      <c r="AF66" s="769"/>
      <c r="AG66" s="769"/>
      <c r="AH66" s="769"/>
      <c r="AI66" s="769"/>
      <c r="AJ66" s="782"/>
      <c r="AK66" s="769"/>
      <c r="AL66" s="769"/>
      <c r="AM66" s="769"/>
      <c r="AN66" s="769"/>
      <c r="AO66" s="782">
        <v>0.95</v>
      </c>
      <c r="AP66" s="769">
        <v>0.94</v>
      </c>
      <c r="AQ66" s="769">
        <v>0.94</v>
      </c>
      <c r="AR66" s="769">
        <v>0.94</v>
      </c>
      <c r="AS66" s="769">
        <v>0.94</v>
      </c>
      <c r="AT66" s="782">
        <v>0.94</v>
      </c>
      <c r="AU66" s="769">
        <v>0.94</v>
      </c>
      <c r="AV66" s="769">
        <v>0.93</v>
      </c>
      <c r="AW66" s="769">
        <v>0.93</v>
      </c>
      <c r="AX66" s="769">
        <v>0.94</v>
      </c>
      <c r="AY66" s="782">
        <v>0.94</v>
      </c>
      <c r="AZ66" s="773">
        <v>0.94499999999999995</v>
      </c>
      <c r="BA66" s="773">
        <v>0.94499999999999995</v>
      </c>
      <c r="BB66" s="773">
        <v>0.94499999999999995</v>
      </c>
      <c r="BC66" s="773">
        <v>0.94499999999999995</v>
      </c>
      <c r="BD66" s="784">
        <f>+BC66</f>
        <v>0.94499999999999995</v>
      </c>
      <c r="BE66" s="773">
        <f>+BD66</f>
        <v>0.94499999999999995</v>
      </c>
      <c r="BF66" s="773">
        <v>0.94499999999999995</v>
      </c>
      <c r="BG66" s="773">
        <v>0.94499999999999995</v>
      </c>
      <c r="BH66" s="773">
        <v>0.94</v>
      </c>
      <c r="BI66" s="771">
        <f>+BH66</f>
        <v>0.94</v>
      </c>
      <c r="BJ66" s="773">
        <v>0.93500000000000005</v>
      </c>
      <c r="BK66" s="773">
        <v>0.92500000000000004</v>
      </c>
      <c r="BL66" s="773">
        <v>0.9</v>
      </c>
      <c r="BM66" s="773">
        <v>0.9</v>
      </c>
      <c r="BN66" s="771">
        <f>+BM66</f>
        <v>0.9</v>
      </c>
      <c r="BO66" s="773">
        <v>0.89</v>
      </c>
      <c r="BP66" s="773">
        <v>0.89500000000000002</v>
      </c>
      <c r="BQ66" s="773">
        <v>0.9</v>
      </c>
      <c r="BR66" s="773">
        <v>0.91</v>
      </c>
      <c r="BS66" s="771">
        <f>+BR66</f>
        <v>0.91</v>
      </c>
      <c r="BT66" s="772">
        <v>0.92</v>
      </c>
      <c r="BU66" s="772">
        <f>+BU65-8%</f>
        <v>0.92</v>
      </c>
      <c r="BV66" s="772">
        <f>+BV65-8%</f>
        <v>0.92</v>
      </c>
      <c r="BW66" s="772">
        <f>+BW65-8%</f>
        <v>0.92</v>
      </c>
      <c r="BX66" s="771">
        <f>+BW66</f>
        <v>0.92</v>
      </c>
      <c r="BY66" s="772">
        <f>+BY65-8%</f>
        <v>0.92499999999999993</v>
      </c>
      <c r="BZ66" s="772">
        <f>+BZ65-8%</f>
        <v>0.93</v>
      </c>
      <c r="CA66" s="772">
        <f>+CA65-8%</f>
        <v>0.93499999999999994</v>
      </c>
      <c r="CB66" s="772">
        <f>+CB65-8%</f>
        <v>0.94000000000000006</v>
      </c>
      <c r="CC66" s="771">
        <f>+CB66</f>
        <v>0.94000000000000006</v>
      </c>
      <c r="CD66" s="772">
        <v>0.94499999999999995</v>
      </c>
      <c r="CE66" s="772">
        <v>0.94499999999999995</v>
      </c>
      <c r="CF66" s="772">
        <v>0.94499999999999995</v>
      </c>
      <c r="CG66" s="772">
        <v>0.94499999999999995</v>
      </c>
      <c r="CH66" s="771">
        <f>+CG66</f>
        <v>0.94499999999999995</v>
      </c>
      <c r="CI66" s="772">
        <v>0.94499999999999995</v>
      </c>
      <c r="CJ66" s="772">
        <v>0.94499999999999995</v>
      </c>
      <c r="CK66" s="772">
        <v>0.94499999999999995</v>
      </c>
      <c r="CL66" s="772">
        <v>0.94499999999999995</v>
      </c>
      <c r="CM66" s="771">
        <f>+CL66</f>
        <v>0.94499999999999995</v>
      </c>
      <c r="CN66" s="772">
        <v>0.94499999999999995</v>
      </c>
      <c r="CO66" s="772">
        <v>0.94499999999999995</v>
      </c>
      <c r="CP66" s="772">
        <v>0.94499999999999995</v>
      </c>
      <c r="CQ66" s="772">
        <v>0.94499999999999995</v>
      </c>
      <c r="CR66" s="771">
        <f>+CQ66</f>
        <v>0.94499999999999995</v>
      </c>
      <c r="CT66" s="759"/>
      <c r="CU66" s="759"/>
      <c r="CW66" s="725"/>
      <c r="CX66" s="725"/>
      <c r="CY66" s="725"/>
      <c r="CZ66" s="725"/>
      <c r="DA66" s="725"/>
      <c r="DB66" s="725"/>
      <c r="DC66" s="725"/>
      <c r="DD66" s="725"/>
      <c r="DE66" s="725"/>
      <c r="DF66" s="725"/>
      <c r="DG66" s="725"/>
      <c r="DH66" s="725"/>
      <c r="DI66" s="725"/>
    </row>
    <row r="67" spans="1:113" ht="12" customHeight="1">
      <c r="A67" s="726"/>
      <c r="B67" s="687"/>
      <c r="C67" s="731"/>
      <c r="D67" s="731"/>
      <c r="E67" s="731"/>
      <c r="F67" s="736"/>
      <c r="G67" s="687"/>
      <c r="H67" s="731"/>
      <c r="I67" s="731"/>
      <c r="J67" s="731"/>
      <c r="K67" s="736"/>
      <c r="L67" s="731"/>
      <c r="M67" s="731"/>
      <c r="N67" s="731"/>
      <c r="O67" s="731"/>
      <c r="P67" s="736"/>
      <c r="Q67" s="687"/>
      <c r="R67" s="731"/>
      <c r="S67" s="731"/>
      <c r="T67" s="731"/>
      <c r="U67" s="736"/>
      <c r="V67" s="687"/>
      <c r="W67" s="731"/>
      <c r="X67" s="731"/>
      <c r="Y67" s="731"/>
      <c r="Z67" s="736"/>
      <c r="AA67" s="731"/>
      <c r="AB67" s="731"/>
      <c r="AC67" s="731"/>
      <c r="AD67" s="731"/>
      <c r="AE67" s="736"/>
      <c r="AF67" s="731"/>
      <c r="AG67" s="731"/>
      <c r="AH67" s="731"/>
      <c r="AI67" s="731"/>
      <c r="AJ67" s="736"/>
      <c r="AK67" s="731"/>
      <c r="AL67" s="731"/>
      <c r="AM67" s="731"/>
      <c r="AN67" s="731"/>
      <c r="AO67" s="729"/>
      <c r="AP67" s="731"/>
      <c r="AQ67" s="731"/>
      <c r="AR67" s="731"/>
      <c r="AS67" s="731"/>
      <c r="AT67" s="729"/>
      <c r="AU67" s="731"/>
      <c r="AV67" s="731"/>
      <c r="AW67" s="731"/>
      <c r="AX67" s="731"/>
      <c r="AY67" s="729"/>
      <c r="AZ67" s="731"/>
      <c r="BA67" s="731"/>
      <c r="BB67" s="731"/>
      <c r="BC67" s="731"/>
      <c r="BD67" s="729"/>
      <c r="BE67" s="731"/>
      <c r="BF67" s="731"/>
      <c r="BG67" s="731"/>
      <c r="BH67" s="731"/>
      <c r="BI67" s="729"/>
      <c r="BJ67" s="731"/>
      <c r="BK67" s="731"/>
      <c r="BL67" s="731"/>
      <c r="BM67" s="731"/>
      <c r="BN67" s="729"/>
      <c r="BO67" s="731"/>
      <c r="BP67" s="731"/>
      <c r="BQ67" s="731"/>
      <c r="BR67" s="731"/>
      <c r="BS67" s="729"/>
      <c r="BT67" s="731"/>
      <c r="BU67" s="731"/>
      <c r="BV67" s="731"/>
      <c r="BW67" s="731"/>
      <c r="BX67" s="729"/>
      <c r="BY67" s="731"/>
      <c r="BZ67" s="731"/>
      <c r="CA67" s="731"/>
      <c r="CB67" s="731"/>
      <c r="CC67" s="729"/>
      <c r="CD67" s="731"/>
      <c r="CE67" s="731"/>
      <c r="CF67" s="731"/>
      <c r="CG67" s="731"/>
      <c r="CH67" s="729"/>
      <c r="CI67" s="731"/>
      <c r="CJ67" s="731"/>
      <c r="CK67" s="731"/>
      <c r="CL67" s="731"/>
      <c r="CM67" s="729"/>
      <c r="CN67" s="731"/>
      <c r="CO67" s="731"/>
      <c r="CP67" s="731"/>
      <c r="CQ67" s="731"/>
      <c r="CR67" s="729"/>
      <c r="CT67" s="759"/>
      <c r="CU67" s="759"/>
      <c r="CW67" s="725"/>
      <c r="CX67" s="725"/>
      <c r="CY67" s="725"/>
      <c r="CZ67" s="725"/>
      <c r="DA67" s="725"/>
      <c r="DB67" s="725"/>
      <c r="DC67" s="725"/>
      <c r="DD67" s="725"/>
      <c r="DE67" s="725"/>
      <c r="DF67" s="725"/>
      <c r="DG67" s="725"/>
      <c r="DH67" s="725"/>
      <c r="DI67" s="725"/>
    </row>
    <row r="68" spans="1:113" ht="12" customHeight="1">
      <c r="A68" s="760" t="s">
        <v>904</v>
      </c>
      <c r="B68" s="687"/>
      <c r="C68" s="731"/>
      <c r="D68" s="731"/>
      <c r="E68" s="731"/>
      <c r="F68" s="736"/>
      <c r="G68" s="687"/>
      <c r="H68" s="731"/>
      <c r="I68" s="731"/>
      <c r="J68" s="731"/>
      <c r="K68" s="736"/>
      <c r="L68" s="731"/>
      <c r="M68" s="731"/>
      <c r="N68" s="731"/>
      <c r="O68" s="731"/>
      <c r="P68" s="736"/>
      <c r="Q68" s="764"/>
      <c r="R68" s="681"/>
      <c r="S68" s="681"/>
      <c r="T68" s="681"/>
      <c r="U68" s="762"/>
      <c r="V68" s="764"/>
      <c r="W68" s="681"/>
      <c r="X68" s="681"/>
      <c r="Y68" s="681"/>
      <c r="Z68" s="762"/>
      <c r="AA68" s="681"/>
      <c r="AB68" s="681"/>
      <c r="AC68" s="681"/>
      <c r="AD68" s="681"/>
      <c r="AE68" s="762"/>
      <c r="AF68" s="681"/>
      <c r="AG68" s="681"/>
      <c r="AH68" s="681"/>
      <c r="AI68" s="681"/>
      <c r="AJ68" s="762"/>
      <c r="AK68" s="681"/>
      <c r="AL68" s="681"/>
      <c r="AM68" s="681"/>
      <c r="AN68" s="681"/>
      <c r="AO68" s="762"/>
      <c r="AP68" s="681"/>
      <c r="AQ68" s="681"/>
      <c r="AR68" s="681"/>
      <c r="AS68" s="681"/>
      <c r="AT68" s="781"/>
      <c r="AU68" s="681">
        <f>+AU64*AU65/4</f>
        <v>52.858000000000004</v>
      </c>
      <c r="AV68" s="681">
        <f>+AV64*AV65/4</f>
        <v>64.024000000000001</v>
      </c>
      <c r="AW68" s="681">
        <f>+AW64*AW65/4</f>
        <v>69.348240000000004</v>
      </c>
      <c r="AX68" s="681">
        <f>+AX64*AX65/4</f>
        <v>72.225000000000009</v>
      </c>
      <c r="AY68" s="781"/>
      <c r="AZ68" s="681">
        <f>+AZ64*AZ65/4</f>
        <v>72.472320000000025</v>
      </c>
      <c r="BA68" s="681">
        <f>+BA64*BA65/4</f>
        <v>74.5578</v>
      </c>
      <c r="BB68" s="681">
        <f>+BB64*BB65/4</f>
        <v>114.01992</v>
      </c>
      <c r="BC68" s="681">
        <f>+BC64*BC65/4</f>
        <v>119.02463999999998</v>
      </c>
      <c r="BD68" s="781">
        <f>SUM(AZ68:BC68)</f>
        <v>380.07468</v>
      </c>
      <c r="BE68" s="681">
        <f>+BE64*BE65/4</f>
        <v>126.39888000000001</v>
      </c>
      <c r="BF68" s="681">
        <f>+BF64*BF65/4</f>
        <v>129.60696000000002</v>
      </c>
      <c r="BG68" s="681">
        <f>+BG64*BG65/4</f>
        <v>132.35478000000001</v>
      </c>
      <c r="BH68" s="681">
        <f>+BH64*BH65/4</f>
        <v>135.16775999999999</v>
      </c>
      <c r="BI68" s="781">
        <f>SUM(BE68:BH68)</f>
        <v>523.52837999999997</v>
      </c>
      <c r="BJ68" s="681">
        <f>+BJ64*BJ65/4</f>
        <v>133.43341000000001</v>
      </c>
      <c r="BK68" s="681">
        <f>+BK64*BK65/4</f>
        <v>133.595315</v>
      </c>
      <c r="BL68" s="681">
        <f>+BL64*BL65/4</f>
        <v>132.18631999999999</v>
      </c>
      <c r="BM68" s="681">
        <f>+BM64*BM65/4</f>
        <v>133.48633320000002</v>
      </c>
      <c r="BN68" s="781">
        <f>SUM(BJ68:BM68)</f>
        <v>532.70137820000002</v>
      </c>
      <c r="BO68" s="681">
        <f>+BO64*BO65/4</f>
        <v>130.8828906</v>
      </c>
      <c r="BP68" s="681">
        <f>+BP64*BP65/4</f>
        <v>130.71892679999999</v>
      </c>
      <c r="BQ68" s="681">
        <f>+BQ64*BQ65/4</f>
        <v>129.49992</v>
      </c>
      <c r="BR68" s="681">
        <f>+BR64*BR65/4</f>
        <v>133.01145</v>
      </c>
      <c r="BS68" s="781">
        <f>SUM(BO68:BR68)</f>
        <v>524.1131873999999</v>
      </c>
      <c r="BT68" s="681">
        <f>+BT64*BT65/4</f>
        <v>129.4395102</v>
      </c>
      <c r="BU68" s="681">
        <f>+BU64*BU65/4</f>
        <v>130.23945000000001</v>
      </c>
      <c r="BV68" s="681">
        <f>+BV64*BV65/4</f>
        <v>130.68</v>
      </c>
      <c r="BW68" s="681">
        <f>+BW64*BW65/4</f>
        <v>132.999</v>
      </c>
      <c r="BX68" s="781">
        <f>SUM(BT68:BW68)</f>
        <v>523.35796019999998</v>
      </c>
      <c r="BY68" s="681">
        <f>+BY64*BY65/4</f>
        <v>132.1990065</v>
      </c>
      <c r="BZ68" s="681">
        <f>+BZ64*BZ65/4</f>
        <v>132.63960861160001</v>
      </c>
      <c r="CA68" s="681">
        <f>+CA64*CA65/4</f>
        <v>134.41650683999998</v>
      </c>
      <c r="CB68" s="681">
        <f>+CB64*CB65/4</f>
        <v>137.49498</v>
      </c>
      <c r="CC68" s="781">
        <f>SUM(BY68:CB68)</f>
        <v>536.75010195160007</v>
      </c>
      <c r="CD68" s="681">
        <f>+CD64*CD65/4</f>
        <v>140.40506208780002</v>
      </c>
      <c r="CE68" s="681">
        <f>+CE64*CE65/4</f>
        <v>137.96219928770805</v>
      </c>
      <c r="CF68" s="681">
        <f>+CF64*CF65/4</f>
        <v>140.34168760919999</v>
      </c>
      <c r="CG68" s="681">
        <f>+CG64*CG65/4</f>
        <v>143.56652939999998</v>
      </c>
      <c r="CH68" s="781">
        <f>SUM(CD68:CG68)</f>
        <v>562.27547838470809</v>
      </c>
      <c r="CI68" s="681">
        <f>+CI64*CI65/4</f>
        <v>149.493312152154</v>
      </c>
      <c r="CJ68" s="681">
        <f>+CJ64*CJ65/4</f>
        <v>143.64597804676333</v>
      </c>
      <c r="CK68" s="681">
        <f>+CK64*CK65/4</f>
        <v>146.63389235787599</v>
      </c>
      <c r="CL68" s="681">
        <f>+CL64*CL65/4</f>
        <v>150.014895282</v>
      </c>
      <c r="CM68" s="781">
        <f>SUM(CI68:CL68)</f>
        <v>589.78807783879336</v>
      </c>
      <c r="CN68" s="681">
        <f>+CN64*CN65/4</f>
        <v>159.19828070003476</v>
      </c>
      <c r="CO68" s="681">
        <f>+CO64*CO65/4</f>
        <v>149.36857988398967</v>
      </c>
      <c r="CP68" s="681">
        <f>+CP64*CP65/4</f>
        <v>153.42715636707229</v>
      </c>
      <c r="CQ68" s="681">
        <f>+CQ64*CQ65/4</f>
        <v>156.97791764045999</v>
      </c>
      <c r="CR68" s="781">
        <f>SUM(CN68:CQ68)</f>
        <v>618.97193459155665</v>
      </c>
      <c r="CT68" s="767">
        <f>+(CC68/BN68)^(0.333333333333333)-1</f>
        <v>2.5270628489824087E-3</v>
      </c>
      <c r="CU68" s="767">
        <f>+(CM68/BN68)^(0.2)-1</f>
        <v>2.0569144241301629E-2</v>
      </c>
      <c r="CW68" s="725">
        <f>+AJ68-SUM(AF68:AI68)</f>
        <v>0</v>
      </c>
      <c r="CX68" s="725">
        <f>+AO68-SUM(AK68:AN68)</f>
        <v>0</v>
      </c>
      <c r="CY68" s="725">
        <f>+AT68-SUM(AP68:AS68)</f>
        <v>0</v>
      </c>
      <c r="CZ68" s="725">
        <f>+AY68-SUM(AU68:AX68)</f>
        <v>-258.45524</v>
      </c>
      <c r="DA68" s="725">
        <f>+BD68-SUM(AZ68:BC68)</f>
        <v>0</v>
      </c>
      <c r="DB68" s="725">
        <f>+BI68-SUM(BE68:BH68)</f>
        <v>0</v>
      </c>
      <c r="DC68" s="725">
        <f>+BN68-SUM(BJ68:BM68)</f>
        <v>0</v>
      </c>
      <c r="DD68" s="725">
        <f>+BS68-SUM(BO68:BR68)</f>
        <v>0</v>
      </c>
      <c r="DE68" s="725">
        <f>+BX68-SUM(BT68:BW68)</f>
        <v>0</v>
      </c>
      <c r="DF68" s="725">
        <f>+CC68-SUM(BY68:CB68)</f>
        <v>0</v>
      </c>
      <c r="DG68" s="725">
        <f>+CH68-SUM(CD68:CG68)</f>
        <v>0</v>
      </c>
      <c r="DH68" s="725">
        <f>+CM68-SUM(CI68:CL68)</f>
        <v>0</v>
      </c>
      <c r="DI68" s="725">
        <f>+CR68-SUM(CN68:CQ68)</f>
        <v>0</v>
      </c>
    </row>
    <row r="69" spans="1:113" ht="12" customHeight="1">
      <c r="A69" s="733" t="s">
        <v>881</v>
      </c>
      <c r="B69" s="687"/>
      <c r="C69" s="731"/>
      <c r="D69" s="731"/>
      <c r="E69" s="731"/>
      <c r="F69" s="736"/>
      <c r="G69" s="687"/>
      <c r="H69" s="731"/>
      <c r="I69" s="731"/>
      <c r="J69" s="731"/>
      <c r="K69" s="736"/>
      <c r="L69" s="731"/>
      <c r="M69" s="731"/>
      <c r="N69" s="731"/>
      <c r="O69" s="731"/>
      <c r="P69" s="736"/>
      <c r="Q69" s="687"/>
      <c r="R69" s="731"/>
      <c r="S69" s="731"/>
      <c r="T69" s="731"/>
      <c r="U69" s="736"/>
      <c r="V69" s="785"/>
      <c r="W69" s="785"/>
      <c r="X69" s="785"/>
      <c r="Y69" s="785"/>
      <c r="Z69" s="735"/>
      <c r="AA69" s="785"/>
      <c r="AB69" s="785"/>
      <c r="AC69" s="785"/>
      <c r="AD69" s="785"/>
      <c r="AE69" s="735"/>
      <c r="AF69" s="785"/>
      <c r="AG69" s="785"/>
      <c r="AH69" s="785"/>
      <c r="AI69" s="785"/>
      <c r="AJ69" s="735"/>
      <c r="AK69" s="785"/>
      <c r="AL69" s="785"/>
      <c r="AM69" s="785"/>
      <c r="AN69" s="785"/>
      <c r="AO69" s="735"/>
      <c r="AP69" s="785"/>
      <c r="AQ69" s="785"/>
      <c r="AR69" s="785"/>
      <c r="AS69" s="785"/>
      <c r="AT69" s="735"/>
      <c r="AU69" s="785"/>
      <c r="AV69" s="785"/>
      <c r="AW69" s="785"/>
      <c r="AX69" s="785"/>
      <c r="AY69" s="735"/>
      <c r="AZ69" s="785">
        <f>+AZ68/AU68-1</f>
        <v>0.37107571228574709</v>
      </c>
      <c r="BA69" s="785">
        <f>+BA68/AV68-1</f>
        <v>0.1645289266525054</v>
      </c>
      <c r="BB69" s="785">
        <f>+BB68/AW68-1</f>
        <v>0.64416458153804612</v>
      </c>
      <c r="BC69" s="785">
        <f>+BC68/AX68-1</f>
        <v>0.64797009345794332</v>
      </c>
      <c r="BD69" s="735"/>
      <c r="BE69" s="785">
        <f t="shared" ref="BE69:CR69" si="35">+BE68/AZ68-1</f>
        <v>0.7440987124463514</v>
      </c>
      <c r="BF69" s="785">
        <f t="shared" si="35"/>
        <v>0.73834206481414433</v>
      </c>
      <c r="BG69" s="785">
        <f t="shared" si="35"/>
        <v>0.16080400687879814</v>
      </c>
      <c r="BH69" s="785">
        <f t="shared" si="35"/>
        <v>0.13562838753387552</v>
      </c>
      <c r="BI69" s="735">
        <f t="shared" si="35"/>
        <v>0.37743556082188889</v>
      </c>
      <c r="BJ69" s="785">
        <f t="shared" si="35"/>
        <v>5.5653420346762683E-2</v>
      </c>
      <c r="BK69" s="785">
        <f t="shared" si="35"/>
        <v>3.0772691528294427E-2</v>
      </c>
      <c r="BL69" s="785">
        <f t="shared" si="35"/>
        <v>-1.2727912055764401E-3</v>
      </c>
      <c r="BM69" s="785">
        <f t="shared" si="35"/>
        <v>-1.2439555112846223E-2</v>
      </c>
      <c r="BN69" s="735">
        <f t="shared" si="35"/>
        <v>1.7521491767074959E-2</v>
      </c>
      <c r="BO69" s="785">
        <f t="shared" si="35"/>
        <v>-1.9114548597686354E-2</v>
      </c>
      <c r="BP69" s="785">
        <f t="shared" si="35"/>
        <v>-2.153060681806096E-2</v>
      </c>
      <c r="BQ69" s="785">
        <f t="shared" si="35"/>
        <v>-2.0322829170219658E-2</v>
      </c>
      <c r="BR69" s="785">
        <f t="shared" si="35"/>
        <v>-3.5575417244289032E-3</v>
      </c>
      <c r="BS69" s="735">
        <f t="shared" si="35"/>
        <v>-1.6121960917427458E-2</v>
      </c>
      <c r="BT69" s="785">
        <f t="shared" si="35"/>
        <v>-1.1028029663641914E-2</v>
      </c>
      <c r="BU69" s="785">
        <f t="shared" si="35"/>
        <v>-3.6679982902061425E-3</v>
      </c>
      <c r="BV69" s="785">
        <f t="shared" si="35"/>
        <v>9.1125925019877041E-3</v>
      </c>
      <c r="BW69" s="785">
        <f t="shared" si="35"/>
        <v>-9.3600964428230959E-5</v>
      </c>
      <c r="BX69" s="735">
        <f t="shared" si="35"/>
        <v>-1.4409620252954225E-3</v>
      </c>
      <c r="BY69" s="785">
        <f t="shared" si="35"/>
        <v>2.1318809811132988E-2</v>
      </c>
      <c r="BZ69" s="785">
        <f t="shared" si="35"/>
        <v>1.8428814092811496E-2</v>
      </c>
      <c r="CA69" s="785">
        <f t="shared" si="35"/>
        <v>2.8592797979797746E-2</v>
      </c>
      <c r="CB69" s="785">
        <f t="shared" si="35"/>
        <v>3.3804615072293709E-2</v>
      </c>
      <c r="CC69" s="735">
        <f t="shared" si="35"/>
        <v>2.5588875626315621E-2</v>
      </c>
      <c r="CD69" s="785">
        <f t="shared" si="35"/>
        <v>6.2073504219564812E-2</v>
      </c>
      <c r="CE69" s="785">
        <f t="shared" si="35"/>
        <v>4.0128214579506549E-2</v>
      </c>
      <c r="CF69" s="785">
        <f t="shared" si="35"/>
        <v>4.4080752494579656E-2</v>
      </c>
      <c r="CG69" s="785">
        <f t="shared" si="35"/>
        <v>4.4158335089760969E-2</v>
      </c>
      <c r="CH69" s="735">
        <f t="shared" si="35"/>
        <v>4.7555419813240629E-2</v>
      </c>
      <c r="CI69" s="785">
        <f t="shared" si="35"/>
        <v>6.4728792033657667E-2</v>
      </c>
      <c r="CJ69" s="785">
        <f t="shared" si="35"/>
        <v>4.1198087508030223E-2</v>
      </c>
      <c r="CK69" s="785">
        <f t="shared" si="35"/>
        <v>4.4834894434200301E-2</v>
      </c>
      <c r="CL69" s="785">
        <f t="shared" si="35"/>
        <v>4.491552389647735E-2</v>
      </c>
      <c r="CM69" s="735">
        <f t="shared" si="35"/>
        <v>4.8930818632039186E-2</v>
      </c>
      <c r="CN69" s="785">
        <f t="shared" si="35"/>
        <v>6.4919081717870197E-2</v>
      </c>
      <c r="CO69" s="785">
        <f t="shared" si="35"/>
        <v>3.9838232264069129E-2</v>
      </c>
      <c r="CP69" s="785">
        <f t="shared" si="35"/>
        <v>4.6328061677695764E-2</v>
      </c>
      <c r="CQ69" s="785">
        <f t="shared" si="35"/>
        <v>4.6415539906025982E-2</v>
      </c>
      <c r="CR69" s="735">
        <f t="shared" si="35"/>
        <v>4.9481937409965981E-2</v>
      </c>
      <c r="CT69" s="759"/>
      <c r="CU69" s="759"/>
      <c r="CW69" s="725"/>
      <c r="CX69" s="725"/>
      <c r="CY69" s="725"/>
      <c r="CZ69" s="725"/>
      <c r="DA69" s="725"/>
      <c r="DB69" s="725"/>
      <c r="DC69" s="725"/>
      <c r="DD69" s="725"/>
      <c r="DE69" s="725"/>
      <c r="DF69" s="725"/>
      <c r="DG69" s="725"/>
      <c r="DH69" s="725"/>
      <c r="DI69" s="725"/>
    </row>
    <row r="70" spans="1:113" ht="12" customHeight="1">
      <c r="A70" s="733" t="s">
        <v>883</v>
      </c>
      <c r="B70" s="687"/>
      <c r="C70" s="731"/>
      <c r="D70" s="731"/>
      <c r="E70" s="731"/>
      <c r="F70" s="736"/>
      <c r="G70" s="687"/>
      <c r="H70" s="731"/>
      <c r="I70" s="731"/>
      <c r="J70" s="731"/>
      <c r="K70" s="736"/>
      <c r="L70" s="731"/>
      <c r="M70" s="731"/>
      <c r="N70" s="731"/>
      <c r="O70" s="731"/>
      <c r="P70" s="736"/>
      <c r="Q70" s="687"/>
      <c r="R70" s="734"/>
      <c r="S70" s="734"/>
      <c r="T70" s="734"/>
      <c r="U70" s="736"/>
      <c r="V70" s="734"/>
      <c r="W70" s="734"/>
      <c r="X70" s="734"/>
      <c r="Y70" s="734"/>
      <c r="Z70" s="736"/>
      <c r="AA70" s="734"/>
      <c r="AB70" s="734"/>
      <c r="AC70" s="734"/>
      <c r="AD70" s="734"/>
      <c r="AE70" s="736"/>
      <c r="AF70" s="734"/>
      <c r="AG70" s="734"/>
      <c r="AH70" s="734"/>
      <c r="AI70" s="734"/>
      <c r="AJ70" s="736"/>
      <c r="AK70" s="734"/>
      <c r="AL70" s="734"/>
      <c r="AM70" s="734"/>
      <c r="AN70" s="734"/>
      <c r="AO70" s="736"/>
      <c r="AP70" s="734"/>
      <c r="AQ70" s="734"/>
      <c r="AR70" s="734"/>
      <c r="AS70" s="734"/>
      <c r="AT70" s="736"/>
      <c r="AU70" s="734"/>
      <c r="AV70" s="734">
        <f>+AV68/AU68-1</f>
        <v>0.21124522305043691</v>
      </c>
      <c r="AW70" s="734">
        <f>+AW68/AV68-1</f>
        <v>8.3160064975634107E-2</v>
      </c>
      <c r="AX70" s="734">
        <f>+AX68/AW68-1</f>
        <v>4.1482811964658417E-2</v>
      </c>
      <c r="AY70" s="736"/>
      <c r="AZ70" s="734">
        <f>+AZ68/AX68-1</f>
        <v>3.4242990654207439E-3</v>
      </c>
      <c r="BA70" s="734">
        <f>+BA68/AZ68-1</f>
        <v>2.8776227944682597E-2</v>
      </c>
      <c r="BB70" s="734">
        <f>+BB68/BA68-1</f>
        <v>0.52928224813500391</v>
      </c>
      <c r="BC70" s="734">
        <f>+BC68/BB68-1</f>
        <v>4.3893382840471951E-2</v>
      </c>
      <c r="BD70" s="736"/>
      <c r="BE70" s="734">
        <f>+BE68/BC68-1</f>
        <v>6.1955574912892164E-2</v>
      </c>
      <c r="BF70" s="734">
        <f>+BF68/BE68-1</f>
        <v>2.5380604638268967E-2</v>
      </c>
      <c r="BG70" s="734">
        <f>+BG68/BF68-1</f>
        <v>2.1201176233128116E-2</v>
      </c>
      <c r="BH70" s="734">
        <f>+BH68/BG68-1</f>
        <v>2.1253331387049101E-2</v>
      </c>
      <c r="BI70" s="736"/>
      <c r="BJ70" s="734">
        <f>+BJ68/BH68-1</f>
        <v>-1.2831092266380573E-2</v>
      </c>
      <c r="BK70" s="734">
        <f>+BK68/BJ68-1</f>
        <v>1.2133767697308784E-3</v>
      </c>
      <c r="BL70" s="734">
        <f>+BL68/BK68-1</f>
        <v>-1.0546739606849265E-2</v>
      </c>
      <c r="BM70" s="734">
        <f>+BM68/BL68-1</f>
        <v>9.8347030161669569E-3</v>
      </c>
      <c r="BN70" s="736"/>
      <c r="BO70" s="734">
        <f>+BO68/BM68-1</f>
        <v>-1.9503439322880567E-2</v>
      </c>
      <c r="BP70" s="734">
        <f>+BP68/BO68-1</f>
        <v>-1.2527519773467555E-3</v>
      </c>
      <c r="BQ70" s="734">
        <f>+BQ68/BP68-1</f>
        <v>-9.3254039781481834E-3</v>
      </c>
      <c r="BR70" s="734">
        <f>+BR68/BQ68-1</f>
        <v>2.7116078527307241E-2</v>
      </c>
      <c r="BS70" s="736"/>
      <c r="BT70" s="734">
        <f>+BT68/BR68-1</f>
        <v>-2.68543783260764E-2</v>
      </c>
      <c r="BU70" s="734">
        <f>+BU68/BT68-1</f>
        <v>6.1800280205324132E-3</v>
      </c>
      <c r="BV70" s="734">
        <f>+BV68/BU68-1</f>
        <v>3.3826156360456938E-3</v>
      </c>
      <c r="BW70" s="734">
        <f>+BW68/BV68-1</f>
        <v>1.7745638200183489E-2</v>
      </c>
      <c r="BX70" s="736"/>
      <c r="BY70" s="734">
        <f>+BY68/BW68-1</f>
        <v>-6.0150339476237047E-3</v>
      </c>
      <c r="BZ70" s="734">
        <f>+BZ68/BY68-1</f>
        <v>3.332870066614424E-3</v>
      </c>
      <c r="CA70" s="734">
        <f>+CA68/BZ68-1</f>
        <v>1.3396437512139814E-2</v>
      </c>
      <c r="CB70" s="734">
        <f>+CB68/CA68-1</f>
        <v>2.2902493394389545E-2</v>
      </c>
      <c r="CC70" s="736"/>
      <c r="CD70" s="734">
        <f>+CD68/CB68-1</f>
        <v>2.11650060809494E-2</v>
      </c>
      <c r="CE70" s="734">
        <f>+CE68/CD68-1</f>
        <v>-1.7398680387779475E-2</v>
      </c>
      <c r="CF70" s="734">
        <f>+CF68/CE68-1</f>
        <v>1.7247393371351949E-2</v>
      </c>
      <c r="CG70" s="734">
        <f>+CG68/CF68-1</f>
        <v>2.2978502294913161E-2</v>
      </c>
      <c r="CH70" s="736"/>
      <c r="CI70" s="734">
        <f>+CI68/CG68-1</f>
        <v>4.1282482601784132E-2</v>
      </c>
      <c r="CJ70" s="734">
        <f>+CJ68/CI68-1</f>
        <v>-3.9114352483134995E-2</v>
      </c>
      <c r="CK70" s="734">
        <f>+CK68/CJ68-1</f>
        <v>2.0800542777048348E-2</v>
      </c>
      <c r="CL70" s="734">
        <f>+CL68/CK68-1</f>
        <v>2.3057445108749519E-2</v>
      </c>
      <c r="CM70" s="736"/>
      <c r="CN70" s="734">
        <f>+CN68/CL68-1</f>
        <v>6.1216490540967339E-2</v>
      </c>
      <c r="CO70" s="734">
        <f>+CO68/CN68-1</f>
        <v>-6.1745018682497266E-2</v>
      </c>
      <c r="CP70" s="734">
        <f>+CP68/CO68-1</f>
        <v>2.7171554327120262E-2</v>
      </c>
      <c r="CQ70" s="734">
        <f>+CQ68/CP68-1</f>
        <v>2.3142977797832254E-2</v>
      </c>
      <c r="CR70" s="736"/>
      <c r="CT70" s="759"/>
      <c r="CU70" s="759"/>
      <c r="CW70" s="725"/>
      <c r="CX70" s="725"/>
      <c r="CY70" s="725"/>
      <c r="CZ70" s="725"/>
      <c r="DA70" s="725"/>
      <c r="DB70" s="725"/>
      <c r="DC70" s="725"/>
      <c r="DD70" s="725"/>
      <c r="DE70" s="725"/>
      <c r="DF70" s="725"/>
      <c r="DG70" s="725"/>
      <c r="DH70" s="725"/>
      <c r="DI70" s="725"/>
    </row>
    <row r="71" spans="1:113" ht="12" customHeight="1">
      <c r="A71" s="760" t="s">
        <v>905</v>
      </c>
      <c r="B71" s="687"/>
      <c r="C71" s="731"/>
      <c r="D71" s="731"/>
      <c r="E71" s="731"/>
      <c r="F71" s="736"/>
      <c r="G71" s="687"/>
      <c r="H71" s="731"/>
      <c r="I71" s="731"/>
      <c r="J71" s="731"/>
      <c r="K71" s="736"/>
      <c r="L71" s="731"/>
      <c r="M71" s="731"/>
      <c r="N71" s="731"/>
      <c r="O71" s="731"/>
      <c r="P71" s="736"/>
      <c r="Q71" s="687"/>
      <c r="R71" s="734"/>
      <c r="S71" s="734"/>
      <c r="T71" s="734"/>
      <c r="U71" s="736"/>
      <c r="V71" s="734"/>
      <c r="W71" s="734"/>
      <c r="X71" s="734"/>
      <c r="Y71" s="734"/>
      <c r="Z71" s="736"/>
      <c r="AA71" s="734"/>
      <c r="AB71" s="734"/>
      <c r="AC71" s="734"/>
      <c r="AD71" s="734"/>
      <c r="AE71" s="736"/>
      <c r="AF71" s="764"/>
      <c r="AG71" s="764"/>
      <c r="AH71" s="764"/>
      <c r="AI71" s="764"/>
      <c r="AJ71" s="762"/>
      <c r="AK71" s="764"/>
      <c r="AL71" s="764"/>
      <c r="AM71" s="764"/>
      <c r="AN71" s="764"/>
      <c r="AO71" s="762"/>
      <c r="AP71" s="764"/>
      <c r="AQ71" s="764"/>
      <c r="AR71" s="764"/>
      <c r="AS71" s="764"/>
      <c r="AT71" s="762"/>
      <c r="AU71" s="764"/>
      <c r="AV71" s="764">
        <f>+AV68-AQ34</f>
        <v>3.6240000000000023</v>
      </c>
      <c r="AW71" s="764">
        <f>+AW68-AR34</f>
        <v>2.6672400000000067</v>
      </c>
      <c r="AX71" s="764">
        <f>+AX68-AS34</f>
        <v>4.7250000000000085</v>
      </c>
      <c r="AY71" s="762"/>
      <c r="AZ71" s="764">
        <f>+AZ68-AU34</f>
        <v>2.8683200000000113</v>
      </c>
      <c r="BA71" s="764">
        <f>+BA68-AV34</f>
        <v>5.5228000000000037</v>
      </c>
      <c r="BB71" s="764">
        <f>+BB68-AW39</f>
        <v>8.445920000000001</v>
      </c>
      <c r="BC71" s="764">
        <f>+BC68-AX39</f>
        <v>8.8166400000000067</v>
      </c>
      <c r="BD71" s="762">
        <f>+SUM(AZ71:BC71)</f>
        <v>25.653680000000023</v>
      </c>
      <c r="BE71" s="764">
        <f>+BE68-AZ41</f>
        <v>9.3628800000000041</v>
      </c>
      <c r="BF71" s="764">
        <f>+BF68-BA41</f>
        <v>8.4789600000000149</v>
      </c>
      <c r="BG71" s="764">
        <f>+BG68-BB41</f>
        <v>7.4917800000000057</v>
      </c>
      <c r="BH71" s="764">
        <f>+BH68-BC39</f>
        <v>12.898759999999982</v>
      </c>
      <c r="BI71" s="762">
        <f>+SUM(BE71:BH71)</f>
        <v>38.232380000000006</v>
      </c>
      <c r="BJ71" s="764">
        <f>+BJ68-BE41</f>
        <v>3.8864100000000121</v>
      </c>
      <c r="BK71" s="764">
        <f>+BK68-BF43</f>
        <v>1.9743149999999901</v>
      </c>
      <c r="BL71" s="764">
        <f>+BL68-BG41</f>
        <v>-2.6976799999999912</v>
      </c>
      <c r="BM71" s="764">
        <f>+BM68-BH43</f>
        <v>-3.4016667999999868</v>
      </c>
      <c r="BN71" s="762">
        <f>+SUM(BJ71:BM71)</f>
        <v>-0.23862179999997579</v>
      </c>
      <c r="BO71" s="764">
        <f>+BO68-BJ41</f>
        <v>-4.0201093999999955</v>
      </c>
      <c r="BP71" s="764">
        <f>+BP68-BK43</f>
        <v>-4.0150732000000176</v>
      </c>
      <c r="BQ71" s="764">
        <f>+BQ68-BL41</f>
        <v>-3.3000800000000083</v>
      </c>
      <c r="BR71" s="764">
        <f>+BR68-BM43</f>
        <v>-1.3435499999999934</v>
      </c>
      <c r="BS71" s="762">
        <f>+SUM(BO71:BR71)</f>
        <v>-12.678812600000015</v>
      </c>
      <c r="BT71" s="764">
        <f>+BT68-BO41</f>
        <v>-1.9644897999999955</v>
      </c>
      <c r="BU71" s="764">
        <f>+BU68-BP43</f>
        <v>-1.3155500000000018</v>
      </c>
      <c r="BV71" s="764">
        <f>+BV68-BQ43</f>
        <v>-1.3199999999999932</v>
      </c>
      <c r="BW71" s="764">
        <f>+BW68-BR43</f>
        <v>0</v>
      </c>
      <c r="BX71" s="762">
        <f>+SUM(BT71:BW71)</f>
        <v>-4.6000397999999905</v>
      </c>
      <c r="BY71" s="764">
        <f>+BY68-BT43</f>
        <v>-0.67099350000000868</v>
      </c>
      <c r="BZ71" s="764">
        <f>+BZ68-BU43</f>
        <v>1.3132634515999939</v>
      </c>
      <c r="CA71" s="764">
        <f>+CA68-BV43</f>
        <v>1.986450839999975</v>
      </c>
      <c r="CB71" s="764">
        <f>+CB68-BW43</f>
        <v>2.6959799999999916</v>
      </c>
      <c r="CC71" s="762">
        <f>+SUM(BY71:CB71)</f>
        <v>5.3247007915999518</v>
      </c>
      <c r="CD71" s="764">
        <f>+CD68-BY43</f>
        <v>4.0894678278000072</v>
      </c>
      <c r="CE71" s="764">
        <f>+CE68-BZ43</f>
        <v>4.0183164841079986</v>
      </c>
      <c r="CF71" s="764">
        <f>+CF68-CA43</f>
        <v>4.0876219692000006</v>
      </c>
      <c r="CG71" s="764">
        <f>+CG68-CB43</f>
        <v>4.1815493999999944</v>
      </c>
      <c r="CH71" s="762">
        <f>+SUM(CD71:CG71)</f>
        <v>16.376955681108001</v>
      </c>
      <c r="CI71" s="764">
        <f>+CI68-CD43</f>
        <v>4.3541741403539902</v>
      </c>
      <c r="CJ71" s="764">
        <f>+CJ68-CE43</f>
        <v>4.1838634382552584</v>
      </c>
      <c r="CK71" s="764">
        <f>+CK68-CF43</f>
        <v>4.2708900686760103</v>
      </c>
      <c r="CL71" s="764">
        <f>+CL68-CG43</f>
        <v>4.369365882000011</v>
      </c>
      <c r="CM71" s="762">
        <f>+SUM(CI71:CL71)</f>
        <v>17.17829352928527</v>
      </c>
      <c r="CN71" s="764">
        <f>+CN68-CI43</f>
        <v>4.2607812352807457</v>
      </c>
      <c r="CO71" s="764">
        <f>+CO68-CJ43</f>
        <v>3.9976992183063089</v>
      </c>
      <c r="CP71" s="764">
        <f>+CP68-CK43</f>
        <v>4.4687521271962964</v>
      </c>
      <c r="CQ71" s="764">
        <f>+CQ68-CL43</f>
        <v>4.5721723584599943</v>
      </c>
      <c r="CR71" s="762">
        <f>+SUM(CN71:CQ71)</f>
        <v>17.299404939243345</v>
      </c>
      <c r="CT71" s="759"/>
      <c r="CU71" s="759"/>
      <c r="CW71" s="725"/>
      <c r="CX71" s="725"/>
      <c r="CY71" s="725"/>
      <c r="CZ71" s="725"/>
      <c r="DA71" s="725"/>
      <c r="DB71" s="725"/>
      <c r="DC71" s="725"/>
      <c r="DD71" s="725"/>
      <c r="DE71" s="725"/>
      <c r="DF71" s="725"/>
      <c r="DG71" s="725"/>
      <c r="DH71" s="725"/>
      <c r="DI71" s="725"/>
    </row>
    <row r="72" spans="1:113" ht="12" customHeight="1">
      <c r="A72" s="786" t="s">
        <v>906</v>
      </c>
      <c r="B72" s="687"/>
      <c r="C72" s="731"/>
      <c r="D72" s="731"/>
      <c r="E72" s="731"/>
      <c r="F72" s="736"/>
      <c r="G72" s="687"/>
      <c r="H72" s="731"/>
      <c r="I72" s="731"/>
      <c r="J72" s="731"/>
      <c r="K72" s="736"/>
      <c r="L72" s="731"/>
      <c r="M72" s="731"/>
      <c r="N72" s="731"/>
      <c r="O72" s="731"/>
      <c r="P72" s="736"/>
      <c r="Q72" s="687"/>
      <c r="R72" s="734"/>
      <c r="S72" s="734"/>
      <c r="T72" s="734"/>
      <c r="U72" s="736"/>
      <c r="V72" s="734"/>
      <c r="W72" s="734"/>
      <c r="X72" s="734"/>
      <c r="Y72" s="734"/>
      <c r="Z72" s="736"/>
      <c r="AA72" s="734"/>
      <c r="AB72" s="734"/>
      <c r="AC72" s="734"/>
      <c r="AD72" s="734"/>
      <c r="AE72" s="736"/>
      <c r="AF72" s="734"/>
      <c r="AG72" s="734"/>
      <c r="AH72" s="734"/>
      <c r="AI72" s="734"/>
      <c r="AJ72" s="735"/>
      <c r="AK72" s="734"/>
      <c r="AL72" s="734"/>
      <c r="AM72" s="734"/>
      <c r="AN72" s="734"/>
      <c r="AO72" s="735"/>
      <c r="AP72" s="734"/>
      <c r="AQ72" s="734"/>
      <c r="AR72" s="734"/>
      <c r="AS72" s="734"/>
      <c r="AT72" s="735"/>
      <c r="AU72" s="734"/>
      <c r="AV72" s="734">
        <f>+AV71/(AV34-AQ34)</f>
        <v>0.41968731905037676</v>
      </c>
      <c r="AW72" s="734">
        <f>+AW71/(AW34-AR34)</f>
        <v>0.72224207961007536</v>
      </c>
      <c r="AX72" s="734">
        <f>+AX71/(AX34-AS34)</f>
        <v>0.9250195771339137</v>
      </c>
      <c r="AY72" s="735"/>
      <c r="AZ72" s="734">
        <f>+AZ71/(AZ34-AU34)</f>
        <v>0.72948118006104279</v>
      </c>
      <c r="BA72" s="734">
        <f>+BA71/(BA34-AV34)</f>
        <v>0.80121862759321094</v>
      </c>
      <c r="BB72" s="734">
        <f>+BB71/(BB34-AW39)</f>
        <v>0.7164237848842141</v>
      </c>
      <c r="BC72" s="734">
        <f>+BC71/(BC34-AX39)</f>
        <v>0.73100406268136808</v>
      </c>
      <c r="BD72" s="735">
        <f>+BD71/(BD34-AY39)</f>
        <v>0.73983215573179439</v>
      </c>
      <c r="BE72" s="734">
        <f>+BE71/(BE41-AZ41)</f>
        <v>0.74837183278714792</v>
      </c>
      <c r="BF72" s="734">
        <f>+BF71/(BF41-BA41)</f>
        <v>0.80805870580386996</v>
      </c>
      <c r="BG72" s="734">
        <f>+BG71/(BG41-BB41)</f>
        <v>0.74760802315138364</v>
      </c>
      <c r="BH72" s="734">
        <f>+BH71/(BH34-BC39)</f>
        <v>0.88232847663998781</v>
      </c>
      <c r="BI72" s="735">
        <f>+BI71/(BI43-BD41)</f>
        <v>0.95714950931303666</v>
      </c>
      <c r="BJ72" s="734">
        <f>+BJ71/(BJ41-BE41)</f>
        <v>0.725617998506351</v>
      </c>
      <c r="BK72" s="734">
        <f>+BK71/(BK41-BF41)</f>
        <v>0.63421619017025066</v>
      </c>
      <c r="BL72" s="734">
        <f>+BL71/(BL41-BG41)</f>
        <v>1.2944721689059615</v>
      </c>
      <c r="BM72" s="734">
        <f t="shared" ref="BM72:CR72" si="36">+BM71/(BM43-BH43)</f>
        <v>1.3429399131464532</v>
      </c>
      <c r="BN72" s="735">
        <f t="shared" si="36"/>
        <v>-6.1947507788156102E-2</v>
      </c>
      <c r="BO72" s="734">
        <f>+BO71/(BO41-BJ41)</f>
        <v>1.1489309517004862</v>
      </c>
      <c r="BP72" s="734">
        <f>+BP71/(BP41-BK41)</f>
        <v>1.2629988046555567</v>
      </c>
      <c r="BQ72" s="734">
        <f>+BQ71/(BQ41-BL41)</f>
        <v>4.1250999999999518</v>
      </c>
      <c r="BR72" s="734">
        <f t="shared" si="36"/>
        <v>0.99081858407079559</v>
      </c>
      <c r="BS72" s="735">
        <f t="shared" si="36"/>
        <v>1.4352289563051763</v>
      </c>
      <c r="BT72" s="734">
        <f>+BT71/(BT41-BO41)</f>
        <v>-1.3400339699863468</v>
      </c>
      <c r="BU72" s="734">
        <f t="shared" si="36"/>
        <v>5.7534316789448168</v>
      </c>
      <c r="BV72" s="734">
        <f t="shared" si="36"/>
        <v>-3.0693677102516186</v>
      </c>
      <c r="BW72" s="734">
        <f t="shared" si="36"/>
        <v>0</v>
      </c>
      <c r="BX72" s="735">
        <f t="shared" si="36"/>
        <v>-1.3266534755384287</v>
      </c>
      <c r="BY72" s="734">
        <f t="shared" si="36"/>
        <v>-0.19473955705974716</v>
      </c>
      <c r="BZ72" s="734">
        <f t="shared" si="36"/>
        <v>0.50171712136059177</v>
      </c>
      <c r="CA72" s="734">
        <f t="shared" si="36"/>
        <v>0.5194680523870181</v>
      </c>
      <c r="CB72" s="734">
        <f t="shared" si="36"/>
        <v>0.58787434746771783</v>
      </c>
      <c r="CC72" s="735">
        <f t="shared" si="36"/>
        <v>0.36790272060932822</v>
      </c>
      <c r="CD72" s="734">
        <f t="shared" si="36"/>
        <v>0.46347226724701807</v>
      </c>
      <c r="CE72" s="734">
        <f t="shared" si="36"/>
        <v>0.72818914213317876</v>
      </c>
      <c r="CF72" s="734">
        <f t="shared" si="36"/>
        <v>0.66912168253296667</v>
      </c>
      <c r="CG72" s="734">
        <f t="shared" si="36"/>
        <v>0.6679205182855027</v>
      </c>
      <c r="CH72" s="735">
        <f t="shared" si="36"/>
        <v>0.61311052704024027</v>
      </c>
      <c r="CI72" s="734">
        <f t="shared" si="36"/>
        <v>0.44437778308752829</v>
      </c>
      <c r="CJ72" s="734">
        <f t="shared" si="36"/>
        <v>0.70807735452220211</v>
      </c>
      <c r="CK72" s="734">
        <f t="shared" si="36"/>
        <v>0.64755569116424494</v>
      </c>
      <c r="CL72" s="734">
        <f t="shared" si="36"/>
        <v>0.64633525885379461</v>
      </c>
      <c r="CM72" s="735">
        <f t="shared" si="36"/>
        <v>0.59107607786742933</v>
      </c>
      <c r="CN72" s="734">
        <f t="shared" si="36"/>
        <v>0.40495576661346022</v>
      </c>
      <c r="CO72" s="734">
        <f t="shared" si="36"/>
        <v>0.66836211779072296</v>
      </c>
      <c r="CP72" s="734">
        <f t="shared" si="36"/>
        <v>0.62570556906844021</v>
      </c>
      <c r="CQ72" s="734">
        <f t="shared" si="36"/>
        <v>0.62447295989946161</v>
      </c>
      <c r="CR72" s="735">
        <f t="shared" si="36"/>
        <v>0.55864857954575109</v>
      </c>
      <c r="CT72" s="759"/>
      <c r="CU72" s="759"/>
      <c r="CW72" s="725"/>
      <c r="CX72" s="725"/>
      <c r="CY72" s="725"/>
      <c r="CZ72" s="725"/>
      <c r="DA72" s="725"/>
      <c r="DB72" s="725"/>
      <c r="DC72" s="725"/>
      <c r="DD72" s="725"/>
      <c r="DE72" s="725"/>
      <c r="DF72" s="725"/>
      <c r="DG72" s="725"/>
      <c r="DH72" s="725"/>
      <c r="DI72" s="725"/>
    </row>
    <row r="73" spans="1:113" ht="12" customHeight="1">
      <c r="A73" s="786" t="s">
        <v>907</v>
      </c>
      <c r="B73" s="687"/>
      <c r="C73" s="731"/>
      <c r="D73" s="731"/>
      <c r="E73" s="731"/>
      <c r="F73" s="736"/>
      <c r="G73" s="687"/>
      <c r="H73" s="731"/>
      <c r="I73" s="731"/>
      <c r="J73" s="731"/>
      <c r="K73" s="736"/>
      <c r="L73" s="731"/>
      <c r="M73" s="731"/>
      <c r="N73" s="731"/>
      <c r="O73" s="731"/>
      <c r="P73" s="736"/>
      <c r="Q73" s="687"/>
      <c r="R73" s="734"/>
      <c r="S73" s="734"/>
      <c r="T73" s="734"/>
      <c r="U73" s="736"/>
      <c r="V73" s="734"/>
      <c r="W73" s="734"/>
      <c r="X73" s="734"/>
      <c r="Y73" s="734"/>
      <c r="Z73" s="736"/>
      <c r="AA73" s="734"/>
      <c r="AB73" s="734"/>
      <c r="AC73" s="734"/>
      <c r="AD73" s="734"/>
      <c r="AE73" s="736"/>
      <c r="AF73" s="764"/>
      <c r="AG73" s="764"/>
      <c r="AH73" s="764"/>
      <c r="AI73" s="764"/>
      <c r="AJ73" s="762"/>
      <c r="AK73" s="764"/>
      <c r="AL73" s="764"/>
      <c r="AM73" s="764"/>
      <c r="AN73" s="764"/>
      <c r="AO73" s="762"/>
      <c r="AP73" s="764"/>
      <c r="AQ73" s="764"/>
      <c r="AR73" s="764"/>
      <c r="AS73" s="764"/>
      <c r="AT73" s="762"/>
      <c r="AU73" s="764"/>
      <c r="AV73" s="764">
        <f>+AV71-AV75</f>
        <v>20.535999999999991</v>
      </c>
      <c r="AW73" s="764">
        <f>+AW71-AW75</f>
        <v>21.337919999999993</v>
      </c>
      <c r="AX73" s="764">
        <f>+AX71-AX75</f>
        <v>20.925000000000022</v>
      </c>
      <c r="AY73" s="762"/>
      <c r="AZ73" s="764">
        <f>+AZ71-AZ75</f>
        <v>17.631200000000028</v>
      </c>
      <c r="BA73" s="764">
        <f>+BA71-BA75</f>
        <v>20.710500000000017</v>
      </c>
      <c r="BB73" s="764">
        <f>+BB71-BB75</f>
        <v>31.672200000000021</v>
      </c>
      <c r="BC73" s="764">
        <f>+BC71-BC75</f>
        <v>33.062400000000025</v>
      </c>
      <c r="BD73" s="762"/>
      <c r="BE73" s="764">
        <f>+BE71-BE75</f>
        <v>35.110800000000026</v>
      </c>
      <c r="BF73" s="764">
        <f>+BF71-BF75</f>
        <v>35.127120000000033</v>
      </c>
      <c r="BG73" s="764">
        <f>+BG71-BG75</f>
        <v>34.961640000000031</v>
      </c>
      <c r="BH73" s="764">
        <f>+BH71-BH75</f>
        <v>44.09132000000001</v>
      </c>
      <c r="BI73" s="762"/>
      <c r="BJ73" s="764">
        <f>+BJ71-BJ75</f>
        <v>37.568629999999985</v>
      </c>
      <c r="BK73" s="764">
        <f>+BK71-BK75</f>
        <v>41.460614999999969</v>
      </c>
      <c r="BL73" s="764">
        <f>+BL71-BL75</f>
        <v>51.255919999999989</v>
      </c>
      <c r="BM73" s="764">
        <f>+BM71-BM75</f>
        <v>50.805981200000005</v>
      </c>
      <c r="BN73" s="762"/>
      <c r="BO73" s="764">
        <f>+BO71-BO75</f>
        <v>54.743637399999997</v>
      </c>
      <c r="BP73" s="764">
        <f>+BP71-BP75</f>
        <v>52.007323999999976</v>
      </c>
      <c r="BQ73" s="764">
        <f>+BQ71-BQ75</f>
        <v>49.288719999999984</v>
      </c>
      <c r="BR73" s="764">
        <f>+BR71-BR75</f>
        <v>47.024249999999988</v>
      </c>
      <c r="BS73" s="762"/>
      <c r="BT73" s="764">
        <f>+BT71-BT75</f>
        <v>39.664297399999981</v>
      </c>
      <c r="BU73" s="764">
        <f>+BU71-BU75</f>
        <v>40.361073999999981</v>
      </c>
      <c r="BV73" s="764">
        <f>+BV71-BV75</f>
        <v>40.497599999999991</v>
      </c>
      <c r="BW73" s="764">
        <f>+BW71-BW75</f>
        <v>42.559679999999979</v>
      </c>
      <c r="BX73" s="762"/>
      <c r="BY73" s="764">
        <f>+BY71-BY75</f>
        <v>38.791396500000026</v>
      </c>
      <c r="BZ73" s="764">
        <f>+BZ71-BZ75</f>
        <v>38.084640096399973</v>
      </c>
      <c r="CA73" s="764">
        <f>+CA71-CA75</f>
        <v>36.41826540000001</v>
      </c>
      <c r="CB73" s="764">
        <f>+CB71-CB75</f>
        <v>35.047739999999962</v>
      </c>
      <c r="CC73" s="762"/>
      <c r="CD73" s="764">
        <f>+CD71-CD75</f>
        <v>34.078898565000031</v>
      </c>
      <c r="CE73" s="764">
        <f>+CE71-CE75</f>
        <v>33.48597070090004</v>
      </c>
      <c r="CF73" s="764">
        <f>+CF71-CF75</f>
        <v>34.063516410000027</v>
      </c>
      <c r="CG73" s="764">
        <f>+CG71-CG75</f>
        <v>34.846245000000017</v>
      </c>
      <c r="CH73" s="762"/>
      <c r="CI73" s="764">
        <f>+CI71-CI75</f>
        <v>36.284784502950018</v>
      </c>
      <c r="CJ73" s="764">
        <f>+CJ71-CJ75</f>
        <v>34.865528652127061</v>
      </c>
      <c r="CK73" s="764">
        <f>+CK71-CK75</f>
        <v>35.590750572300038</v>
      </c>
      <c r="CL73" s="764">
        <f>+CL71-CL75</f>
        <v>36.411382350000039</v>
      </c>
      <c r="CM73" s="762"/>
      <c r="CN73" s="764">
        <f>+CN71-CN75</f>
        <v>38.347031117526662</v>
      </c>
      <c r="CO73" s="764">
        <f>+CO71-CO75</f>
        <v>35.979292964756681</v>
      </c>
      <c r="CP73" s="764">
        <f>+CP71-CP75</f>
        <v>37.23960105996904</v>
      </c>
      <c r="CQ73" s="764">
        <f>+CQ71-CQ75</f>
        <v>38.101436320500021</v>
      </c>
      <c r="CR73" s="762"/>
      <c r="CT73" s="755"/>
      <c r="CU73" s="755"/>
      <c r="CW73" s="725"/>
      <c r="CX73" s="725"/>
      <c r="CY73" s="725"/>
      <c r="CZ73" s="725"/>
      <c r="DA73" s="725"/>
      <c r="DB73" s="725"/>
      <c r="DC73" s="725"/>
      <c r="DD73" s="725"/>
      <c r="DE73" s="725"/>
      <c r="DF73" s="725"/>
      <c r="DG73" s="725"/>
      <c r="DH73" s="725"/>
      <c r="DI73" s="725"/>
    </row>
    <row r="74" spans="1:113" ht="12" customHeight="1">
      <c r="A74" s="733" t="s">
        <v>908</v>
      </c>
      <c r="B74" s="687"/>
      <c r="C74" s="731"/>
      <c r="D74" s="731"/>
      <c r="E74" s="731"/>
      <c r="F74" s="736"/>
      <c r="G74" s="687"/>
      <c r="H74" s="731"/>
      <c r="I74" s="731"/>
      <c r="J74" s="731"/>
      <c r="K74" s="736"/>
      <c r="L74" s="731"/>
      <c r="M74" s="731"/>
      <c r="N74" s="731"/>
      <c r="O74" s="731"/>
      <c r="P74" s="736"/>
      <c r="Q74" s="687"/>
      <c r="R74" s="734"/>
      <c r="S74" s="734"/>
      <c r="T74" s="734"/>
      <c r="U74" s="736"/>
      <c r="V74" s="734"/>
      <c r="W74" s="734"/>
      <c r="X74" s="734"/>
      <c r="Y74" s="734"/>
      <c r="Z74" s="736"/>
      <c r="AA74" s="734"/>
      <c r="AB74" s="734"/>
      <c r="AC74" s="734"/>
      <c r="AD74" s="734"/>
      <c r="AE74" s="736"/>
      <c r="AF74" s="769"/>
      <c r="AG74" s="769"/>
      <c r="AH74" s="769"/>
      <c r="AI74" s="769"/>
      <c r="AJ74" s="770"/>
      <c r="AK74" s="769"/>
      <c r="AL74" s="769"/>
      <c r="AM74" s="769"/>
      <c r="AN74" s="769"/>
      <c r="AO74" s="770"/>
      <c r="AP74" s="787"/>
      <c r="AQ74" s="787"/>
      <c r="AR74" s="787"/>
      <c r="AS74" s="787"/>
      <c r="AT74" s="770"/>
      <c r="AU74" s="734"/>
      <c r="AV74" s="734">
        <f>+AV73/SUM(AV73,AV78)</f>
        <v>0.80385172427290885</v>
      </c>
      <c r="AW74" s="734">
        <f>+AW73/SUM(AW73,AW78)</f>
        <v>0.95413277242385908</v>
      </c>
      <c r="AX74" s="734">
        <f>+AX73/SUM(AX73,AX78)</f>
        <v>0.98202553031725326</v>
      </c>
      <c r="AY74" s="770"/>
      <c r="AZ74" s="734">
        <f>+AZ73/SUM(AZ73,AZ78)</f>
        <v>0.94310313839939186</v>
      </c>
      <c r="BA74" s="734">
        <f>+BA73/SUM(BA73,BA78)</f>
        <v>0.93794580787746784</v>
      </c>
      <c r="BB74" s="734">
        <f>+BB73/SUM(BB73,BB78)</f>
        <v>0.90452511018046988</v>
      </c>
      <c r="BC74" s="734">
        <f>+BC73/SUM(BC73,BC78)</f>
        <v>0.91064033254413157</v>
      </c>
      <c r="BD74" s="770"/>
      <c r="BE74" s="734">
        <f>+BE73/SUM(BE73,BE78)</f>
        <v>0.91771539813460523</v>
      </c>
      <c r="BF74" s="734">
        <f>+BF73/SUM(BF73,BF78)</f>
        <v>0.9457733684139108</v>
      </c>
      <c r="BG74" s="734">
        <f>+BG73/SUM(BG73,BG78)</f>
        <v>0.93253769051976987</v>
      </c>
      <c r="BH74" s="734">
        <f>+BH73/SUM(BH73,BH78)</f>
        <v>0.9624496524458015</v>
      </c>
      <c r="BI74" s="770"/>
      <c r="BJ74" s="734">
        <f>+BJ73/SUM(BJ73,BJ78)</f>
        <v>0.96235509713301515</v>
      </c>
      <c r="BK74" s="734">
        <f>+BK73/SUM(BK73,BK78)</f>
        <v>0.97326986593676401</v>
      </c>
      <c r="BL74" s="734">
        <f>+BL73/SUM(BL73,BL78)</f>
        <v>0.98816879251044898</v>
      </c>
      <c r="BM74" s="734">
        <f>+BM73/SUM(BM73,BM78)</f>
        <v>0.98318969100670073</v>
      </c>
      <c r="BN74" s="770"/>
      <c r="BO74" s="734">
        <f>+BO73/SUM(BO73,BO78)</f>
        <v>0.99057067244176711</v>
      </c>
      <c r="BP74" s="734">
        <f>+BP73/SUM(BP73,BP78)</f>
        <v>0.98417828443474831</v>
      </c>
      <c r="BQ74" s="734">
        <f>+BQ73/SUM(BQ73,BQ78)</f>
        <v>0.95172546959960458</v>
      </c>
      <c r="BR74" s="734">
        <f>+BR73/SUM(BR73,BR78)</f>
        <v>1.0002648271285082</v>
      </c>
      <c r="BS74" s="770"/>
      <c r="BT74" s="734">
        <f>+BT73/SUM(BT73,BT78)</f>
        <v>0.92039664138311361</v>
      </c>
      <c r="BU74" s="734">
        <f>+BU73/SUM(BU73,BU78)</f>
        <v>0.97377687780541622</v>
      </c>
      <c r="BV74" s="734">
        <f>+BV73/SUM(BV73,BV78)</f>
        <v>0.95857625805322788</v>
      </c>
      <c r="BW74" s="734">
        <f>+BW73/SUM(BW73,BW78)</f>
        <v>0.95942261080332414</v>
      </c>
      <c r="BX74" s="770"/>
      <c r="BY74" s="734">
        <f>+BY73/SUM(BY73,BY78)</f>
        <v>0.90406009904693674</v>
      </c>
      <c r="BZ74" s="734">
        <f>+BZ73/SUM(BZ73,BZ78)</f>
        <v>0.96688727740880809</v>
      </c>
      <c r="CA74" s="734">
        <f>+CA73/SUM(CA73,CA78)</f>
        <v>0.95196656095047627</v>
      </c>
      <c r="CB74" s="734">
        <f>+CB73/SUM(CB73,CB78)</f>
        <v>0.94883281976645018</v>
      </c>
      <c r="CC74" s="770"/>
      <c r="CD74" s="734">
        <f>+CD73/SUM(CD73,CD78)</f>
        <v>0.8780285204541155</v>
      </c>
      <c r="CE74" s="734">
        <f>+CE73/SUM(CE73,CE78)</f>
        <v>0.95712798813013622</v>
      </c>
      <c r="CF74" s="734">
        <f>+CF73/SUM(CF73,CF78)</f>
        <v>0.94398436631285354</v>
      </c>
      <c r="CG74" s="734">
        <f>+CG73/SUM(CG73,CG78)</f>
        <v>0.94369705603849074</v>
      </c>
      <c r="CH74" s="770"/>
      <c r="CI74" s="734">
        <f>+CI73/SUM(CI73,CI78)</f>
        <v>0.86953459249692644</v>
      </c>
      <c r="CJ74" s="734">
        <f>+CJ73/SUM(CJ73,CJ78)</f>
        <v>0.95285918861839447</v>
      </c>
      <c r="CK74" s="734">
        <f>+CK73/SUM(CK73,CK78)</f>
        <v>0.93869192162913884</v>
      </c>
      <c r="CL74" s="734">
        <f>+CL73/SUM(CL73,CL78)</f>
        <v>0.93838369972030755</v>
      </c>
      <c r="CM74" s="770"/>
      <c r="CN74" s="734">
        <f>+CN73/SUM(CN73,CN78)</f>
        <v>0.85964766522189873</v>
      </c>
      <c r="CO74" s="734">
        <f>+CO73/SUM(CO73,CO78)</f>
        <v>0.94774802785946133</v>
      </c>
      <c r="CP74" s="734">
        <f>+CP73/SUM(CP73,CP78)</f>
        <v>0.93302425907165887</v>
      </c>
      <c r="CQ74" s="734">
        <f>+CQ73/SUM(CQ73,CQ78)</f>
        <v>0.93269483487979554</v>
      </c>
      <c r="CR74" s="770"/>
      <c r="CT74" s="755"/>
      <c r="CU74" s="755"/>
      <c r="CW74" s="725"/>
      <c r="CX74" s="725"/>
      <c r="CY74" s="725"/>
      <c r="CZ74" s="725"/>
      <c r="DA74" s="725"/>
      <c r="DB74" s="725"/>
      <c r="DC74" s="725"/>
      <c r="DD74" s="725"/>
      <c r="DE74" s="725"/>
      <c r="DF74" s="725"/>
      <c r="DG74" s="725"/>
      <c r="DH74" s="725"/>
      <c r="DI74" s="725"/>
    </row>
    <row r="75" spans="1:113" ht="12" customHeight="1">
      <c r="A75" s="786" t="s">
        <v>909</v>
      </c>
      <c r="B75" s="687"/>
      <c r="C75" s="731"/>
      <c r="D75" s="731"/>
      <c r="E75" s="731"/>
      <c r="F75" s="736"/>
      <c r="G75" s="687"/>
      <c r="H75" s="731"/>
      <c r="I75" s="731"/>
      <c r="J75" s="731"/>
      <c r="K75" s="736"/>
      <c r="L75" s="731"/>
      <c r="M75" s="731"/>
      <c r="N75" s="731"/>
      <c r="O75" s="731"/>
      <c r="P75" s="736"/>
      <c r="Q75" s="687"/>
      <c r="R75" s="734"/>
      <c r="S75" s="734"/>
      <c r="T75" s="734"/>
      <c r="U75" s="736"/>
      <c r="V75" s="734"/>
      <c r="W75" s="734"/>
      <c r="X75" s="734"/>
      <c r="Y75" s="734"/>
      <c r="Z75" s="736"/>
      <c r="AA75" s="734"/>
      <c r="AB75" s="734"/>
      <c r="AC75" s="734"/>
      <c r="AD75" s="734"/>
      <c r="AE75" s="736"/>
      <c r="AF75" s="764"/>
      <c r="AG75" s="764"/>
      <c r="AH75" s="764"/>
      <c r="AI75" s="764"/>
      <c r="AJ75" s="762"/>
      <c r="AK75" s="764"/>
      <c r="AL75" s="764"/>
      <c r="AM75" s="764"/>
      <c r="AN75" s="764"/>
      <c r="AO75" s="762"/>
      <c r="AP75" s="764"/>
      <c r="AQ75" s="764"/>
      <c r="AR75" s="764"/>
      <c r="AS75" s="764"/>
      <c r="AT75" s="762"/>
      <c r="AU75" s="764"/>
      <c r="AV75" s="764">
        <f>-(1-AV66)*AV64</f>
        <v>-16.911999999999988</v>
      </c>
      <c r="AW75" s="764">
        <f>-(1-AW66)*AW64</f>
        <v>-18.670679999999987</v>
      </c>
      <c r="AX75" s="764">
        <f>-(1-AX66)*AX64</f>
        <v>-16.200000000000014</v>
      </c>
      <c r="AY75" s="762"/>
      <c r="AZ75" s="764">
        <f>-(1-AZ66)*AZ64</f>
        <v>-14.762880000000017</v>
      </c>
      <c r="BA75" s="764">
        <f>-(1-BA66)*BA64</f>
        <v>-15.187700000000012</v>
      </c>
      <c r="BB75" s="764">
        <f>-(1-BB66)*BB64</f>
        <v>-23.22628000000002</v>
      </c>
      <c r="BC75" s="764">
        <f>-(1-BC66)*BC64</f>
        <v>-24.245760000000015</v>
      </c>
      <c r="BD75" s="762"/>
      <c r="BE75" s="764">
        <f>-(1-BE66)*BE64</f>
        <v>-25.747920000000022</v>
      </c>
      <c r="BF75" s="764">
        <f>-(1-BF66)*BF64</f>
        <v>-26.648160000000022</v>
      </c>
      <c r="BG75" s="764">
        <f>-(1-BG66)*BG64</f>
        <v>-27.469860000000025</v>
      </c>
      <c r="BH75" s="764">
        <f>-(1-BH66)*BH64</f>
        <v>-31.192560000000025</v>
      </c>
      <c r="BI75" s="762"/>
      <c r="BJ75" s="764">
        <f>-(1-BJ66)*BJ64</f>
        <v>-33.682219999999973</v>
      </c>
      <c r="BK75" s="764">
        <f>-(1-BK66)*BK64</f>
        <v>-39.486299999999979</v>
      </c>
      <c r="BL75" s="764">
        <f>-(1-BL66)*BL64</f>
        <v>-53.95359999999998</v>
      </c>
      <c r="BM75" s="764">
        <f>-(1-BM66)*BM64</f>
        <v>-54.207647999999992</v>
      </c>
      <c r="BN75" s="762"/>
      <c r="BO75" s="764">
        <f>-(1-BO66)*BO64</f>
        <v>-58.763746799999993</v>
      </c>
      <c r="BP75" s="764">
        <f>-(1-BP66)*BP64</f>
        <v>-56.022397199999993</v>
      </c>
      <c r="BQ75" s="764">
        <f>-(1-BQ66)*BQ64</f>
        <v>-52.588799999999992</v>
      </c>
      <c r="BR75" s="764">
        <f>-(1-BR66)*BR64</f>
        <v>-48.367799999999981</v>
      </c>
      <c r="BS75" s="762"/>
      <c r="BT75" s="764">
        <f>-(1-BT66)*BT64</f>
        <v>-41.628787199999977</v>
      </c>
      <c r="BU75" s="764">
        <f>-(1-BU66)*BU64</f>
        <v>-41.676623999999983</v>
      </c>
      <c r="BV75" s="764">
        <f>-(1-BV66)*BV64</f>
        <v>-41.817599999999985</v>
      </c>
      <c r="BW75" s="764">
        <f>-(1-BW66)*BW64</f>
        <v>-42.559679999999979</v>
      </c>
      <c r="BX75" s="762"/>
      <c r="BY75" s="764">
        <f>-(1-BY66)*BY64</f>
        <v>-39.462390000000035</v>
      </c>
      <c r="BZ75" s="764">
        <f>-(1-BZ66)*BZ64</f>
        <v>-36.771376644799979</v>
      </c>
      <c r="CA75" s="764">
        <f>-(1-CA66)*CA64</f>
        <v>-34.431814560000035</v>
      </c>
      <c r="CB75" s="764">
        <f>-(1-CB66)*CB64</f>
        <v>-32.35175999999997</v>
      </c>
      <c r="CC75" s="762"/>
      <c r="CD75" s="764">
        <f>-(1-CD66)*CD64</f>
        <v>-29.989430737200028</v>
      </c>
      <c r="CE75" s="764">
        <f>-(1-CE66)*CE64</f>
        <v>-29.467654216792038</v>
      </c>
      <c r="CF75" s="764">
        <f>-(1-CF66)*CF64</f>
        <v>-29.975894440800026</v>
      </c>
      <c r="CG75" s="764">
        <f>-(1-CG66)*CG64</f>
        <v>-30.664695600000023</v>
      </c>
      <c r="CH75" s="762"/>
      <c r="CI75" s="764">
        <f>-(1-CI66)*CI64</f>
        <v>-31.930610362596031</v>
      </c>
      <c r="CJ75" s="764">
        <f>-(1-CJ66)*CJ64</f>
        <v>-30.681665213871803</v>
      </c>
      <c r="CK75" s="764">
        <f>-(1-CK66)*CK64</f>
        <v>-31.319860503624025</v>
      </c>
      <c r="CL75" s="764">
        <f>-(1-CL66)*CL64</f>
        <v>-32.042016468000028</v>
      </c>
      <c r="CM75" s="762"/>
      <c r="CN75" s="764">
        <f>-(1-CN66)*CN64</f>
        <v>-34.086249882245916</v>
      </c>
      <c r="CO75" s="764">
        <f>-(1-CO66)*CO64</f>
        <v>-31.981593746450368</v>
      </c>
      <c r="CP75" s="764">
        <f>-(1-CP66)*CP64</f>
        <v>-32.770848932772743</v>
      </c>
      <c r="CQ75" s="764">
        <f>-(1-CQ66)*CQ64</f>
        <v>-33.529263962040027</v>
      </c>
      <c r="CR75" s="762"/>
      <c r="CT75" s="755"/>
      <c r="CU75" s="755"/>
      <c r="CW75" s="725"/>
      <c r="CX75" s="725"/>
      <c r="CY75" s="725"/>
      <c r="CZ75" s="725"/>
      <c r="DA75" s="725"/>
      <c r="DB75" s="725"/>
      <c r="DC75" s="725"/>
      <c r="DD75" s="725"/>
      <c r="DE75" s="725"/>
      <c r="DF75" s="725"/>
      <c r="DG75" s="725"/>
      <c r="DH75" s="725"/>
      <c r="DI75" s="725"/>
    </row>
    <row r="76" spans="1:113" ht="12" customHeight="1">
      <c r="A76" s="733" t="s">
        <v>910</v>
      </c>
      <c r="B76" s="687"/>
      <c r="C76" s="731"/>
      <c r="D76" s="731"/>
      <c r="E76" s="731"/>
      <c r="F76" s="736"/>
      <c r="G76" s="687"/>
      <c r="H76" s="731"/>
      <c r="I76" s="731"/>
      <c r="J76" s="731"/>
      <c r="K76" s="736"/>
      <c r="L76" s="731"/>
      <c r="M76" s="731"/>
      <c r="N76" s="731"/>
      <c r="O76" s="731"/>
      <c r="P76" s="736"/>
      <c r="Q76" s="687"/>
      <c r="R76" s="734"/>
      <c r="S76" s="734"/>
      <c r="T76" s="734"/>
      <c r="U76" s="736"/>
      <c r="V76" s="734"/>
      <c r="W76" s="734"/>
      <c r="X76" s="734"/>
      <c r="Y76" s="734"/>
      <c r="Z76" s="736"/>
      <c r="AA76" s="734"/>
      <c r="AB76" s="734"/>
      <c r="AC76" s="734"/>
      <c r="AD76" s="734"/>
      <c r="AE76" s="736"/>
      <c r="AF76" s="734"/>
      <c r="AG76" s="734"/>
      <c r="AH76" s="734"/>
      <c r="AI76" s="734"/>
      <c r="AJ76" s="735"/>
      <c r="AK76" s="734"/>
      <c r="AL76" s="734"/>
      <c r="AM76" s="734"/>
      <c r="AN76" s="734"/>
      <c r="AO76" s="735"/>
      <c r="AP76" s="734"/>
      <c r="AQ76" s="734"/>
      <c r="AR76" s="734"/>
      <c r="AS76" s="734"/>
      <c r="AT76" s="735"/>
      <c r="AU76" s="734"/>
      <c r="AV76" s="734">
        <f>+AV75/AV64</f>
        <v>-6.9999999999999951E-2</v>
      </c>
      <c r="AW76" s="734">
        <f>+AW75/AW64</f>
        <v>-6.9999999999999951E-2</v>
      </c>
      <c r="AX76" s="734">
        <f>+AX75/AX64</f>
        <v>-6.0000000000000053E-2</v>
      </c>
      <c r="AY76" s="735"/>
      <c r="AZ76" s="734">
        <f>+AZ75/AZ64</f>
        <v>-5.5000000000000049E-2</v>
      </c>
      <c r="BA76" s="734">
        <f>+BA75/BA64</f>
        <v>-5.5000000000000049E-2</v>
      </c>
      <c r="BB76" s="734">
        <f>+BB75/BB64</f>
        <v>-5.5000000000000049E-2</v>
      </c>
      <c r="BC76" s="734">
        <f>+BC75/BC64</f>
        <v>-5.5000000000000049E-2</v>
      </c>
      <c r="BD76" s="735"/>
      <c r="BE76" s="734">
        <f>+BE75/BE64</f>
        <v>-5.5000000000000049E-2</v>
      </c>
      <c r="BF76" s="734">
        <f>+BF66-1</f>
        <v>-5.5000000000000049E-2</v>
      </c>
      <c r="BG76" s="734">
        <f>+BG66-1</f>
        <v>-5.5000000000000049E-2</v>
      </c>
      <c r="BH76" s="734">
        <f>+BH75/BH64</f>
        <v>-6.0000000000000053E-2</v>
      </c>
      <c r="BI76" s="735"/>
      <c r="BJ76" s="734">
        <f>+BJ66-1</f>
        <v>-6.4999999999999947E-2</v>
      </c>
      <c r="BK76" s="734">
        <f>+BK66-1</f>
        <v>-7.4999999999999956E-2</v>
      </c>
      <c r="BL76" s="734">
        <f>+BL66-1</f>
        <v>-9.9999999999999978E-2</v>
      </c>
      <c r="BM76" s="734">
        <f>+BM66-1</f>
        <v>-9.9999999999999978E-2</v>
      </c>
      <c r="BN76" s="735"/>
      <c r="BO76" s="734">
        <f>+BO66-1</f>
        <v>-0.10999999999999999</v>
      </c>
      <c r="BP76" s="734">
        <f>+BP66-1</f>
        <v>-0.10499999999999998</v>
      </c>
      <c r="BQ76" s="734">
        <f>+BQ66-1</f>
        <v>-9.9999999999999978E-2</v>
      </c>
      <c r="BR76" s="734">
        <f>+BR66-1</f>
        <v>-8.9999999999999969E-2</v>
      </c>
      <c r="BS76" s="735"/>
      <c r="BT76" s="734">
        <f>+BT66-1</f>
        <v>-7.999999999999996E-2</v>
      </c>
      <c r="BU76" s="734">
        <f>+BU66-1</f>
        <v>-7.999999999999996E-2</v>
      </c>
      <c r="BV76" s="734">
        <f>+BV66-1</f>
        <v>-7.999999999999996E-2</v>
      </c>
      <c r="BW76" s="734">
        <f>+BW66-1</f>
        <v>-7.999999999999996E-2</v>
      </c>
      <c r="BX76" s="735"/>
      <c r="BY76" s="734">
        <f>+BY66-1</f>
        <v>-7.5000000000000067E-2</v>
      </c>
      <c r="BZ76" s="734">
        <f>+BZ66-1</f>
        <v>-6.9999999999999951E-2</v>
      </c>
      <c r="CA76" s="734">
        <f>+CA66-1</f>
        <v>-6.5000000000000058E-2</v>
      </c>
      <c r="CB76" s="734">
        <f>+CB66-1</f>
        <v>-5.9999999999999942E-2</v>
      </c>
      <c r="CC76" s="735"/>
      <c r="CD76" s="734">
        <f>+CD66-1</f>
        <v>-5.5000000000000049E-2</v>
      </c>
      <c r="CE76" s="734">
        <f>+CE66-1</f>
        <v>-5.5000000000000049E-2</v>
      </c>
      <c r="CF76" s="734">
        <f>+CF66-1</f>
        <v>-5.5000000000000049E-2</v>
      </c>
      <c r="CG76" s="734">
        <f>+CG66-1</f>
        <v>-5.5000000000000049E-2</v>
      </c>
      <c r="CH76" s="735"/>
      <c r="CI76" s="734">
        <f>+CI66-1</f>
        <v>-5.5000000000000049E-2</v>
      </c>
      <c r="CJ76" s="734">
        <f>+CJ66-1</f>
        <v>-5.5000000000000049E-2</v>
      </c>
      <c r="CK76" s="734">
        <f>+CK66-1</f>
        <v>-5.5000000000000049E-2</v>
      </c>
      <c r="CL76" s="734">
        <f>+CL66-1</f>
        <v>-5.5000000000000049E-2</v>
      </c>
      <c r="CM76" s="735"/>
      <c r="CN76" s="734">
        <f>+CN66-1</f>
        <v>-5.5000000000000049E-2</v>
      </c>
      <c r="CO76" s="734">
        <f>+CO66-1</f>
        <v>-5.5000000000000049E-2</v>
      </c>
      <c r="CP76" s="734">
        <f>+CP66-1</f>
        <v>-5.5000000000000049E-2</v>
      </c>
      <c r="CQ76" s="734">
        <f>+CQ66-1</f>
        <v>-5.5000000000000049E-2</v>
      </c>
      <c r="CR76" s="735"/>
      <c r="CT76" s="759"/>
      <c r="CU76" s="759"/>
      <c r="CW76" s="725"/>
      <c r="CX76" s="725"/>
      <c r="CY76" s="725"/>
      <c r="CZ76" s="725"/>
      <c r="DA76" s="725"/>
      <c r="DB76" s="725"/>
      <c r="DC76" s="725"/>
      <c r="DD76" s="725"/>
      <c r="DE76" s="725"/>
      <c r="DF76" s="725"/>
      <c r="DG76" s="725"/>
      <c r="DH76" s="725"/>
      <c r="DI76" s="725"/>
    </row>
    <row r="77" spans="1:113" ht="12" customHeight="1">
      <c r="A77" s="726"/>
      <c r="B77" s="687"/>
      <c r="C77" s="731"/>
      <c r="D77" s="731"/>
      <c r="E77" s="731"/>
      <c r="F77" s="736"/>
      <c r="G77" s="687"/>
      <c r="H77" s="731"/>
      <c r="I77" s="731"/>
      <c r="J77" s="731"/>
      <c r="K77" s="736"/>
      <c r="L77" s="731"/>
      <c r="M77" s="731"/>
      <c r="N77" s="731"/>
      <c r="O77" s="731"/>
      <c r="P77" s="736"/>
      <c r="Q77" s="687"/>
      <c r="R77" s="731"/>
      <c r="S77" s="731"/>
      <c r="T77" s="731"/>
      <c r="U77" s="736"/>
      <c r="V77" s="687"/>
      <c r="W77" s="731"/>
      <c r="X77" s="731"/>
      <c r="Y77" s="731"/>
      <c r="Z77" s="736"/>
      <c r="AA77" s="731"/>
      <c r="AB77" s="731"/>
      <c r="AC77" s="731"/>
      <c r="AD77" s="731"/>
      <c r="AE77" s="736"/>
      <c r="AF77" s="731"/>
      <c r="AG77" s="731"/>
      <c r="AH77" s="731"/>
      <c r="AI77" s="731"/>
      <c r="AJ77" s="736"/>
      <c r="AK77" s="731"/>
      <c r="AL77" s="731"/>
      <c r="AM77" s="731"/>
      <c r="AN77" s="731"/>
      <c r="AO77" s="729"/>
      <c r="AP77" s="731"/>
      <c r="AQ77" s="731"/>
      <c r="AR77" s="731"/>
      <c r="AS77" s="731"/>
      <c r="AT77" s="729"/>
      <c r="AU77" s="731"/>
      <c r="AV77" s="731"/>
      <c r="AW77" s="731"/>
      <c r="AX77" s="731"/>
      <c r="AY77" s="729"/>
      <c r="AZ77" s="731"/>
      <c r="BA77" s="731"/>
      <c r="BB77" s="731"/>
      <c r="BC77" s="731"/>
      <c r="BD77" s="729"/>
      <c r="BE77" s="731"/>
      <c r="BF77" s="731"/>
      <c r="BG77" s="731"/>
      <c r="BH77" s="731"/>
      <c r="BI77" s="729"/>
      <c r="BJ77" s="731"/>
      <c r="BK77" s="731"/>
      <c r="BL77" s="731"/>
      <c r="BM77" s="731"/>
      <c r="BN77" s="729"/>
      <c r="BO77" s="731"/>
      <c r="BP77" s="731"/>
      <c r="BQ77" s="731"/>
      <c r="BR77" s="731"/>
      <c r="BS77" s="729"/>
      <c r="BT77" s="731"/>
      <c r="BU77" s="731"/>
      <c r="BV77" s="731"/>
      <c r="BW77" s="731"/>
      <c r="BX77" s="729"/>
      <c r="BY77" s="731"/>
      <c r="BZ77" s="731"/>
      <c r="CA77" s="731"/>
      <c r="CB77" s="731"/>
      <c r="CC77" s="729"/>
      <c r="CD77" s="731"/>
      <c r="CE77" s="731"/>
      <c r="CF77" s="731"/>
      <c r="CG77" s="731"/>
      <c r="CH77" s="729"/>
      <c r="CI77" s="731"/>
      <c r="CJ77" s="731"/>
      <c r="CK77" s="731"/>
      <c r="CL77" s="731"/>
      <c r="CM77" s="729"/>
      <c r="CN77" s="731"/>
      <c r="CO77" s="731"/>
      <c r="CP77" s="731"/>
      <c r="CQ77" s="731"/>
      <c r="CR77" s="729"/>
      <c r="CT77" s="759"/>
      <c r="CU77" s="759"/>
      <c r="CW77" s="725"/>
      <c r="CX77" s="725"/>
      <c r="CY77" s="725"/>
      <c r="CZ77" s="725"/>
      <c r="DA77" s="725"/>
      <c r="DB77" s="725"/>
      <c r="DC77" s="725"/>
      <c r="DD77" s="725"/>
      <c r="DE77" s="725"/>
      <c r="DF77" s="725"/>
      <c r="DG77" s="725"/>
      <c r="DH77" s="725"/>
      <c r="DI77" s="725"/>
    </row>
    <row r="78" spans="1:113" ht="12" customHeight="1">
      <c r="A78" s="760" t="s">
        <v>911</v>
      </c>
      <c r="B78" s="687"/>
      <c r="C78" s="731"/>
      <c r="D78" s="731"/>
      <c r="E78" s="731"/>
      <c r="F78" s="736"/>
      <c r="G78" s="687"/>
      <c r="H78" s="731"/>
      <c r="I78" s="731"/>
      <c r="J78" s="731"/>
      <c r="K78" s="736"/>
      <c r="L78" s="731"/>
      <c r="M78" s="731"/>
      <c r="N78" s="731"/>
      <c r="O78" s="731"/>
      <c r="P78" s="736"/>
      <c r="Q78" s="764"/>
      <c r="R78" s="764"/>
      <c r="S78" s="764"/>
      <c r="T78" s="764"/>
      <c r="U78" s="762"/>
      <c r="V78" s="764"/>
      <c r="W78" s="764"/>
      <c r="X78" s="764"/>
      <c r="Y78" s="764"/>
      <c r="Z78" s="762"/>
      <c r="AA78" s="764"/>
      <c r="AB78" s="764"/>
      <c r="AC78" s="764"/>
      <c r="AD78" s="764"/>
      <c r="AE78" s="762"/>
      <c r="AF78" s="764"/>
      <c r="AG78" s="764"/>
      <c r="AH78" s="764"/>
      <c r="AI78" s="764"/>
      <c r="AJ78" s="762"/>
      <c r="AK78" s="764"/>
      <c r="AL78" s="764"/>
      <c r="AM78" s="764"/>
      <c r="AN78" s="764"/>
      <c r="AO78" s="762"/>
      <c r="AP78" s="764"/>
      <c r="AQ78" s="764"/>
      <c r="AR78" s="764"/>
      <c r="AS78" s="764"/>
      <c r="AT78" s="762"/>
      <c r="AU78" s="764"/>
      <c r="AV78" s="764">
        <f>+AV43-AV68</f>
        <v>5.0109999999999957</v>
      </c>
      <c r="AW78" s="764">
        <f>+AW34-AW68</f>
        <v>1.0257599999999911</v>
      </c>
      <c r="AX78" s="764">
        <f>+AX34-AX68</f>
        <v>0.38299999999996714</v>
      </c>
      <c r="AY78" s="762"/>
      <c r="AZ78" s="764">
        <f>+AZ34-AZ68</f>
        <v>1.0636799999999766</v>
      </c>
      <c r="BA78" s="764">
        <f>+BA34-BA68</f>
        <v>1.370199999999997</v>
      </c>
      <c r="BB78" s="764">
        <f>+BB39-BB68</f>
        <v>3.3430800000000005</v>
      </c>
      <c r="BC78" s="764">
        <f>+BC39-BC68</f>
        <v>3.2443600000000288</v>
      </c>
      <c r="BD78" s="762">
        <f>+BD34-BD68</f>
        <v>9.0213200000000029</v>
      </c>
      <c r="BE78" s="764">
        <f>+BE41-BE68</f>
        <v>3.1481199999999916</v>
      </c>
      <c r="BF78" s="764">
        <f>+BF34-BF68</f>
        <v>2.0140399999999943</v>
      </c>
      <c r="BG78" s="764">
        <f>+BG34-BG68</f>
        <v>2.5292199999999809</v>
      </c>
      <c r="BH78" s="764">
        <f>+BH39-BH68</f>
        <v>1.7202400000000182</v>
      </c>
      <c r="BI78" s="762">
        <f>+SUM(BE78:BH78)</f>
        <v>9.411619999999985</v>
      </c>
      <c r="BJ78" s="764">
        <f>+BJ41-BJ68</f>
        <v>1.4695899999999824</v>
      </c>
      <c r="BK78" s="764">
        <f>+BK34-BK68</f>
        <v>1.1386850000000095</v>
      </c>
      <c r="BL78" s="764">
        <f>+BL34-BL68</f>
        <v>0.61368000000001643</v>
      </c>
      <c r="BM78" s="764">
        <f>+BM39-BM68</f>
        <v>0.86866679999997132</v>
      </c>
      <c r="BN78" s="762">
        <f>+SUM(BJ78:BM78)</f>
        <v>4.0906217999999797</v>
      </c>
      <c r="BO78" s="764">
        <f>+BO41-BO68</f>
        <v>0.52110940000000028</v>
      </c>
      <c r="BP78" s="764">
        <f>+BP34-BP68</f>
        <v>0.8360732000000155</v>
      </c>
      <c r="BQ78" s="764">
        <f>+BQ34-BQ68</f>
        <v>2.500079999999997</v>
      </c>
      <c r="BR78" s="764">
        <f>+BR39-BR68</f>
        <v>-1.2450000000001182E-2</v>
      </c>
      <c r="BS78" s="762">
        <f>+SUM(BO78:BR78)</f>
        <v>3.8448126000000116</v>
      </c>
      <c r="BT78" s="764">
        <f>+BT41-BT68</f>
        <v>3.4304898000000037</v>
      </c>
      <c r="BU78" s="764">
        <f>+BP78*(1+BU79)</f>
        <v>1.0868951600000203</v>
      </c>
      <c r="BV78" s="764">
        <f>+BQ78*(1+BV79)</f>
        <v>1.7500559999999978</v>
      </c>
      <c r="BW78" s="761">
        <v>1.8</v>
      </c>
      <c r="BX78" s="762">
        <f>+SUM(BT78:BW78)</f>
        <v>8.0674409600000221</v>
      </c>
      <c r="BY78" s="764">
        <f>+BT78*(1+BY79)</f>
        <v>4.1165877600000043</v>
      </c>
      <c r="BZ78" s="764">
        <f>+BU78*(1+BZ79)</f>
        <v>1.3042741920000243</v>
      </c>
      <c r="CA78" s="764">
        <f>+BV78*(1+CA79)</f>
        <v>1.8375587999999978</v>
      </c>
      <c r="CB78" s="764">
        <f>+BW78*(1+CB79)</f>
        <v>1.8900000000000001</v>
      </c>
      <c r="CC78" s="762">
        <f>+SUM(BY78:CB78)</f>
        <v>9.1484207520000265</v>
      </c>
      <c r="CD78" s="764">
        <f>+BY78*(1+CD79)</f>
        <v>4.7340759240000043</v>
      </c>
      <c r="CE78" s="764">
        <f>+BZ78*(1+CE79)</f>
        <v>1.4999153208000278</v>
      </c>
      <c r="CF78" s="764">
        <f>+CA78*(1+CF79)</f>
        <v>2.0213146799999979</v>
      </c>
      <c r="CG78" s="764">
        <f>+CB78*(1+CG79)</f>
        <v>2.0790000000000002</v>
      </c>
      <c r="CH78" s="762">
        <f>+SUM(CD78:CG78)</f>
        <v>10.334305924800031</v>
      </c>
      <c r="CI78" s="764">
        <f>+CD78*(1+CI79)</f>
        <v>5.4441873126000049</v>
      </c>
      <c r="CJ78" s="764">
        <f>+CE78*(1+CJ79)</f>
        <v>1.7249026189200318</v>
      </c>
      <c r="CK78" s="764">
        <f>+CF78*(1+CK79)</f>
        <v>2.3245118819999973</v>
      </c>
      <c r="CL78" s="764">
        <f>+CG78*(1+CL79)</f>
        <v>2.3908499999999999</v>
      </c>
      <c r="CM78" s="762">
        <f>+SUM(CI78:CL78)</f>
        <v>11.884451813520034</v>
      </c>
      <c r="CN78" s="764">
        <f>+CI78*(1+CN79)</f>
        <v>6.2608154094900055</v>
      </c>
      <c r="CO78" s="764">
        <f>+CJ78*(1+CO79)</f>
        <v>1.9836380117580366</v>
      </c>
      <c r="CP78" s="764">
        <f>+CK78*(1+CP79)</f>
        <v>2.6731886642999965</v>
      </c>
      <c r="CQ78" s="764">
        <f>+CL78*(1+CQ79)</f>
        <v>2.7494774999999998</v>
      </c>
      <c r="CR78" s="762">
        <f>+SUM(CN78:CQ78)</f>
        <v>13.667119585548038</v>
      </c>
      <c r="CT78" s="767">
        <f>+(CC78/BN78)^(0.333333333333333)-1</f>
        <v>0.30773255095474816</v>
      </c>
      <c r="CU78" s="767">
        <f>+(CM78/BN78)^(0.2)-1</f>
        <v>0.23776433604554081</v>
      </c>
      <c r="CW78" s="725">
        <f>+AJ78-SUM(AF78:AI78)</f>
        <v>0</v>
      </c>
      <c r="CX78" s="725">
        <f>+AO78-SUM(AK78:AN78)</f>
        <v>0</v>
      </c>
      <c r="CY78" s="725">
        <f>+AT78-SUM(AP78:AS78)</f>
        <v>0</v>
      </c>
      <c r="CZ78" s="725">
        <f>+AY78-SUM(AU78:AX78)</f>
        <v>-6.4197599999999539</v>
      </c>
      <c r="DA78" s="725">
        <f>+BD78-SUM(AZ78:BC78)</f>
        <v>0</v>
      </c>
      <c r="DB78" s="725">
        <f>+BI78-SUM(BE78:BH78)</f>
        <v>0</v>
      </c>
      <c r="DC78" s="725">
        <f>+BN78-SUM(BJ78:BM78)</f>
        <v>0</v>
      </c>
      <c r="DD78" s="725">
        <f>+BS78-SUM(BO78:BR78)</f>
        <v>0</v>
      </c>
      <c r="DE78" s="725">
        <f>+BX78-SUM(BT78:BW78)</f>
        <v>0</v>
      </c>
      <c r="DF78" s="725">
        <f>+CC78-SUM(BY78:CB78)</f>
        <v>0</v>
      </c>
      <c r="DG78" s="725">
        <f>+CH78-SUM(CD78:CG78)</f>
        <v>0</v>
      </c>
      <c r="DH78" s="725">
        <f>+CM78-SUM(CI78:CL78)</f>
        <v>0</v>
      </c>
      <c r="DI78" s="725">
        <f>+CR78-SUM(CN78:CQ78)</f>
        <v>0</v>
      </c>
    </row>
    <row r="79" spans="1:113" ht="12" customHeight="1">
      <c r="A79" s="733" t="s">
        <v>881</v>
      </c>
      <c r="B79" s="687"/>
      <c r="C79" s="731"/>
      <c r="D79" s="731"/>
      <c r="E79" s="731"/>
      <c r="F79" s="736"/>
      <c r="G79" s="687"/>
      <c r="H79" s="731"/>
      <c r="I79" s="731"/>
      <c r="J79" s="731"/>
      <c r="K79" s="736"/>
      <c r="L79" s="731"/>
      <c r="M79" s="731"/>
      <c r="N79" s="731"/>
      <c r="O79" s="731"/>
      <c r="P79" s="736"/>
      <c r="Q79" s="687"/>
      <c r="R79" s="731"/>
      <c r="S79" s="731"/>
      <c r="T79" s="731"/>
      <c r="U79" s="736"/>
      <c r="V79" s="785"/>
      <c r="W79" s="785"/>
      <c r="X79" s="785"/>
      <c r="Y79" s="785"/>
      <c r="Z79" s="735"/>
      <c r="AA79" s="785"/>
      <c r="AB79" s="785"/>
      <c r="AC79" s="785"/>
      <c r="AD79" s="785"/>
      <c r="AE79" s="735"/>
      <c r="AF79" s="785"/>
      <c r="AG79" s="785"/>
      <c r="AH79" s="785"/>
      <c r="AI79" s="785"/>
      <c r="AJ79" s="735"/>
      <c r="AK79" s="785"/>
      <c r="AL79" s="785"/>
      <c r="AM79" s="785"/>
      <c r="AN79" s="785"/>
      <c r="AO79" s="735"/>
      <c r="AP79" s="785"/>
      <c r="AQ79" s="785"/>
      <c r="AR79" s="785"/>
      <c r="AS79" s="785"/>
      <c r="AT79" s="735"/>
      <c r="AU79" s="785"/>
      <c r="AV79" s="785"/>
      <c r="AW79" s="785"/>
      <c r="AX79" s="785"/>
      <c r="AY79" s="735"/>
      <c r="AZ79" s="785"/>
      <c r="BA79" s="785">
        <f>+BA78/AV78-1</f>
        <v>-0.72656156455797283</v>
      </c>
      <c r="BB79" s="785">
        <f>+BB78/AW78-1</f>
        <v>2.2591249415068138</v>
      </c>
      <c r="BC79" s="785">
        <f>+BC78/AX78-1</f>
        <v>7.4709138381209055</v>
      </c>
      <c r="BD79" s="735"/>
      <c r="BE79" s="785">
        <f t="shared" ref="BE79:BT79" si="37">+BE78/AZ78-1</f>
        <v>1.9596495186522831</v>
      </c>
      <c r="BF79" s="785">
        <f t="shared" si="37"/>
        <v>0.46988760764851745</v>
      </c>
      <c r="BG79" s="785">
        <f t="shared" si="37"/>
        <v>-0.24344616341817105</v>
      </c>
      <c r="BH79" s="785">
        <f t="shared" si="37"/>
        <v>-0.46977524072544263</v>
      </c>
      <c r="BI79" s="735">
        <f t="shared" si="37"/>
        <v>4.3264178634610184E-2</v>
      </c>
      <c r="BJ79" s="785">
        <f t="shared" si="37"/>
        <v>-0.53318488494721095</v>
      </c>
      <c r="BK79" s="785">
        <f t="shared" si="37"/>
        <v>-0.43462642251394579</v>
      </c>
      <c r="BL79" s="785">
        <f t="shared" si="37"/>
        <v>-0.75736393038169036</v>
      </c>
      <c r="BM79" s="785">
        <f t="shared" si="37"/>
        <v>-0.49503162349441809</v>
      </c>
      <c r="BN79" s="735">
        <f t="shared" si="37"/>
        <v>-0.56536475123305174</v>
      </c>
      <c r="BO79" s="785">
        <f t="shared" si="37"/>
        <v>-0.64540490885212431</v>
      </c>
      <c r="BP79" s="785">
        <f t="shared" si="37"/>
        <v>-0.26575549866731485</v>
      </c>
      <c r="BQ79" s="785">
        <f t="shared" si="37"/>
        <v>3.0739147438403238</v>
      </c>
      <c r="BR79" s="785">
        <f t="shared" si="37"/>
        <v>-1.0143323078538302</v>
      </c>
      <c r="BS79" s="735">
        <f>+BS78/BN78-1</f>
        <v>-6.0090913317865091E-2</v>
      </c>
      <c r="BT79" s="785">
        <f t="shared" si="37"/>
        <v>5.5830510829395932</v>
      </c>
      <c r="BU79" s="772">
        <v>0.3</v>
      </c>
      <c r="BV79" s="772">
        <v>-0.3</v>
      </c>
      <c r="BW79" s="788" t="s">
        <v>912</v>
      </c>
      <c r="BX79" s="735">
        <f>+BX78/BS78-1</f>
        <v>1.0982663654400211</v>
      </c>
      <c r="BY79" s="772">
        <v>0.2</v>
      </c>
      <c r="BZ79" s="772">
        <v>0.2</v>
      </c>
      <c r="CA79" s="772">
        <v>0.05</v>
      </c>
      <c r="CB79" s="772">
        <v>0.05</v>
      </c>
      <c r="CC79" s="735">
        <f>+CC78/BX78-1</f>
        <v>0.13399289779246204</v>
      </c>
      <c r="CD79" s="772">
        <v>0.15</v>
      </c>
      <c r="CE79" s="772">
        <v>0.15</v>
      </c>
      <c r="CF79" s="772">
        <v>0.1</v>
      </c>
      <c r="CG79" s="772">
        <v>0.1</v>
      </c>
      <c r="CH79" s="735">
        <f>+CH78/CC78-1</f>
        <v>0.12962730999672778</v>
      </c>
      <c r="CI79" s="772">
        <v>0.15</v>
      </c>
      <c r="CJ79" s="772">
        <v>0.15</v>
      </c>
      <c r="CK79" s="772">
        <v>0.15</v>
      </c>
      <c r="CL79" s="772">
        <v>0.15</v>
      </c>
      <c r="CM79" s="735">
        <f>+CM78/CH78-1</f>
        <v>0.14999999999999991</v>
      </c>
      <c r="CN79" s="772">
        <v>0.15</v>
      </c>
      <c r="CO79" s="772">
        <v>0.15</v>
      </c>
      <c r="CP79" s="772">
        <v>0.15</v>
      </c>
      <c r="CQ79" s="772">
        <v>0.15</v>
      </c>
      <c r="CR79" s="735">
        <f>+CR78/CM78-1</f>
        <v>0.14999999999999991</v>
      </c>
      <c r="CT79" s="759"/>
      <c r="CU79" s="759"/>
      <c r="CW79" s="725"/>
      <c r="CX79" s="725"/>
      <c r="CY79" s="725"/>
      <c r="CZ79" s="725"/>
      <c r="DA79" s="725"/>
      <c r="DB79" s="725"/>
      <c r="DC79" s="725"/>
      <c r="DD79" s="725"/>
      <c r="DE79" s="725"/>
      <c r="DF79" s="725"/>
      <c r="DG79" s="725"/>
      <c r="DH79" s="725"/>
      <c r="DI79" s="725"/>
    </row>
    <row r="80" spans="1:113" ht="12" customHeight="1">
      <c r="A80" s="733" t="s">
        <v>883</v>
      </c>
      <c r="B80" s="687"/>
      <c r="C80" s="731"/>
      <c r="D80" s="731"/>
      <c r="E80" s="731"/>
      <c r="F80" s="736"/>
      <c r="G80" s="687"/>
      <c r="H80" s="731"/>
      <c r="I80" s="731"/>
      <c r="J80" s="731"/>
      <c r="K80" s="736"/>
      <c r="L80" s="731"/>
      <c r="M80" s="731"/>
      <c r="N80" s="731"/>
      <c r="O80" s="731"/>
      <c r="P80" s="736"/>
      <c r="Q80" s="687"/>
      <c r="R80" s="734"/>
      <c r="S80" s="734"/>
      <c r="T80" s="734"/>
      <c r="U80" s="736"/>
      <c r="V80" s="734"/>
      <c r="W80" s="734"/>
      <c r="X80" s="734"/>
      <c r="Y80" s="734"/>
      <c r="Z80" s="736"/>
      <c r="AA80" s="734"/>
      <c r="AB80" s="734"/>
      <c r="AC80" s="734"/>
      <c r="AD80" s="734"/>
      <c r="AE80" s="736"/>
      <c r="AF80" s="734"/>
      <c r="AG80" s="734"/>
      <c r="AH80" s="734"/>
      <c r="AI80" s="734"/>
      <c r="AJ80" s="736"/>
      <c r="AK80" s="734"/>
      <c r="AL80" s="734"/>
      <c r="AM80" s="734"/>
      <c r="AN80" s="734"/>
      <c r="AO80" s="736"/>
      <c r="AP80" s="734"/>
      <c r="AQ80" s="734"/>
      <c r="AR80" s="734"/>
      <c r="AS80" s="734"/>
      <c r="AT80" s="736"/>
      <c r="AU80" s="734"/>
      <c r="AV80" s="734"/>
      <c r="AW80" s="734">
        <f>+AW78/AV78-1</f>
        <v>-0.79529834364398488</v>
      </c>
      <c r="AX80" s="734">
        <f>+AX78/AW78-1</f>
        <v>-0.62661831227580489</v>
      </c>
      <c r="AY80" s="736"/>
      <c r="AZ80" s="734">
        <f>+AZ78/AX78-1</f>
        <v>1.7772323759792896</v>
      </c>
      <c r="BA80" s="734">
        <f>+BA78/AZ78-1</f>
        <v>0.28816937424791944</v>
      </c>
      <c r="BB80" s="734">
        <f>+BB78/BA78-1</f>
        <v>1.4398481973434594</v>
      </c>
      <c r="BC80" s="734">
        <f>+BC78/BB78-1</f>
        <v>-2.9529655287929613E-2</v>
      </c>
      <c r="BD80" s="736"/>
      <c r="BE80" s="734">
        <f>+BE78/BC78-1</f>
        <v>-2.9663785769777795E-2</v>
      </c>
      <c r="BF80" s="734">
        <f>+BF78/BE78-1</f>
        <v>-0.36024039744355374</v>
      </c>
      <c r="BG80" s="734">
        <f>+BG78/BF78-1</f>
        <v>0.25579432384659095</v>
      </c>
      <c r="BH80" s="734">
        <f>+BH78/BG78-1</f>
        <v>-0.31985355168785978</v>
      </c>
      <c r="BI80" s="736"/>
      <c r="BJ80" s="734">
        <f>+BJ78/BH78-1</f>
        <v>-0.14570641305866228</v>
      </c>
      <c r="BK80" s="734">
        <f>+BK78/BJ78-1</f>
        <v>-0.22516824420415005</v>
      </c>
      <c r="BL80" s="734">
        <f>+BL78/BK78-1</f>
        <v>-0.46106254144033576</v>
      </c>
      <c r="BM80" s="734">
        <f>+BM78/BL78-1</f>
        <v>0.41550449745787388</v>
      </c>
      <c r="BN80" s="736"/>
      <c r="BO80" s="734">
        <f>+BO78/BM78-1</f>
        <v>-0.40010438985348873</v>
      </c>
      <c r="BP80" s="734">
        <f>+BP78/BO78-1</f>
        <v>0.60441012961964424</v>
      </c>
      <c r="BQ80" s="734">
        <f>+BQ78/BP78-1</f>
        <v>1.9902644888030743</v>
      </c>
      <c r="BR80" s="734">
        <f>+BR78/BQ78-1</f>
        <v>-1.0049798406450998</v>
      </c>
      <c r="BS80" s="736"/>
      <c r="BT80" s="734">
        <f>+BT78/BR78-1</f>
        <v>-276.54134939756449</v>
      </c>
      <c r="BU80" s="734">
        <f>+BU78/BT78-1</f>
        <v>-0.68316618810526153</v>
      </c>
      <c r="BV80" s="734">
        <f>+BV78/BU78-1</f>
        <v>0.61014241704780914</v>
      </c>
      <c r="BW80" s="789">
        <f>+BW78/BV78-1</f>
        <v>2.853851533893903E-2</v>
      </c>
      <c r="BX80" s="736"/>
      <c r="BY80" s="734">
        <f>+BY78/BW78-1</f>
        <v>1.2869932000000022</v>
      </c>
      <c r="BZ80" s="734">
        <f>+BZ78/BY78-1</f>
        <v>-0.68316618810526153</v>
      </c>
      <c r="CA80" s="734">
        <f>+CA78/BZ78-1</f>
        <v>0.40887461491683319</v>
      </c>
      <c r="CB80" s="734">
        <f>+CB78/CA78-1</f>
        <v>2.853851533893903E-2</v>
      </c>
      <c r="CC80" s="736"/>
      <c r="CD80" s="734">
        <f>+CD78/CB78-1</f>
        <v>1.5048020761904781</v>
      </c>
      <c r="CE80" s="734">
        <f>+CE78/CD78-1</f>
        <v>-0.68316618810526153</v>
      </c>
      <c r="CF80" s="734">
        <f>+CF78/CE78-1</f>
        <v>0.34761919687697107</v>
      </c>
      <c r="CG80" s="734">
        <f>+CG78/CF78-1</f>
        <v>2.8538515338938808E-2</v>
      </c>
      <c r="CH80" s="736"/>
      <c r="CI80" s="734">
        <f>+CI78/CG78-1</f>
        <v>1.618656716017318</v>
      </c>
      <c r="CJ80" s="734">
        <f>+CJ78/CI78-1</f>
        <v>-0.68316618810526153</v>
      </c>
      <c r="CK80" s="734">
        <f>+CK78/CJ78-1</f>
        <v>0.34761919687697107</v>
      </c>
      <c r="CL80" s="734">
        <f>+CL78/CK78-1</f>
        <v>2.8538515338938808E-2</v>
      </c>
      <c r="CM80" s="736"/>
      <c r="CN80" s="734">
        <f>+CN78/CL78-1</f>
        <v>1.6186567160173184</v>
      </c>
      <c r="CO80" s="734">
        <f>+CO78/CN78-1</f>
        <v>-0.68316618810526153</v>
      </c>
      <c r="CP80" s="734">
        <f>+CP78/CO78-1</f>
        <v>0.34761919687697085</v>
      </c>
      <c r="CQ80" s="734">
        <f>+CQ78/CP78-1</f>
        <v>2.853851533893903E-2</v>
      </c>
      <c r="CR80" s="736"/>
      <c r="CT80" s="759"/>
      <c r="CU80" s="759"/>
      <c r="CW80" s="725"/>
      <c r="CX80" s="725"/>
      <c r="CY80" s="725"/>
      <c r="CZ80" s="725"/>
      <c r="DA80" s="725"/>
      <c r="DB80" s="725"/>
      <c r="DC80" s="725"/>
      <c r="DD80" s="725"/>
      <c r="DE80" s="725"/>
      <c r="DF80" s="725"/>
      <c r="DG80" s="725"/>
      <c r="DH80" s="725"/>
      <c r="DI80" s="725"/>
    </row>
    <row r="81" spans="1:113" ht="12" customHeight="1">
      <c r="A81" s="726"/>
      <c r="B81" s="687"/>
      <c r="C81" s="731"/>
      <c r="D81" s="731"/>
      <c r="E81" s="731"/>
      <c r="F81" s="736"/>
      <c r="G81" s="687"/>
      <c r="H81" s="731"/>
      <c r="I81" s="731"/>
      <c r="J81" s="731"/>
      <c r="K81" s="736"/>
      <c r="L81" s="731"/>
      <c r="M81" s="731"/>
      <c r="N81" s="731"/>
      <c r="O81" s="731"/>
      <c r="P81" s="736"/>
      <c r="Q81" s="687"/>
      <c r="R81" s="731"/>
      <c r="S81" s="731"/>
      <c r="T81" s="731"/>
      <c r="U81" s="736"/>
      <c r="V81" s="687"/>
      <c r="W81" s="731"/>
      <c r="X81" s="731"/>
      <c r="Y81" s="731"/>
      <c r="Z81" s="736"/>
      <c r="AA81" s="731"/>
      <c r="AB81" s="731"/>
      <c r="AC81" s="731"/>
      <c r="AD81" s="731"/>
      <c r="AE81" s="736"/>
      <c r="AF81" s="731"/>
      <c r="AG81" s="731"/>
      <c r="AH81" s="731"/>
      <c r="AI81" s="731"/>
      <c r="AJ81" s="736"/>
      <c r="AK81" s="731"/>
      <c r="AL81" s="731"/>
      <c r="AM81" s="731"/>
      <c r="AN81" s="731"/>
      <c r="AO81" s="729"/>
      <c r="AP81" s="731"/>
      <c r="AQ81" s="731"/>
      <c r="AR81" s="731"/>
      <c r="AS81" s="731"/>
      <c r="AT81" s="729"/>
      <c r="AU81" s="731"/>
      <c r="AV81" s="731"/>
      <c r="AW81" s="731"/>
      <c r="AX81" s="731"/>
      <c r="AY81" s="729"/>
      <c r="AZ81" s="731"/>
      <c r="BA81" s="731"/>
      <c r="BB81" s="731"/>
      <c r="BC81" s="731"/>
      <c r="BD81" s="729"/>
      <c r="BE81" s="731"/>
      <c r="BF81" s="731"/>
      <c r="BG81" s="731"/>
      <c r="BH81" s="731"/>
      <c r="BI81" s="729"/>
      <c r="BJ81" s="731"/>
      <c r="BK81" s="731"/>
      <c r="BL81" s="731"/>
      <c r="BM81" s="731"/>
      <c r="BN81" s="729"/>
      <c r="BO81" s="731"/>
      <c r="BP81" s="731"/>
      <c r="BQ81" s="731"/>
      <c r="BR81" s="731"/>
      <c r="BS81" s="729"/>
      <c r="BT81" s="731"/>
      <c r="BU81" s="731"/>
      <c r="BV81" s="731"/>
      <c r="BW81" s="731"/>
      <c r="BX81" s="729"/>
      <c r="BY81" s="731"/>
      <c r="BZ81" s="731"/>
      <c r="CA81" s="731"/>
      <c r="CB81" s="731"/>
      <c r="CC81" s="729"/>
      <c r="CD81" s="731"/>
      <c r="CE81" s="731"/>
      <c r="CF81" s="731"/>
      <c r="CG81" s="731"/>
      <c r="CH81" s="729"/>
      <c r="CI81" s="731"/>
      <c r="CJ81" s="731"/>
      <c r="CK81" s="731"/>
      <c r="CL81" s="731"/>
      <c r="CM81" s="729"/>
      <c r="CN81" s="731"/>
      <c r="CO81" s="731"/>
      <c r="CP81" s="731"/>
      <c r="CQ81" s="731"/>
      <c r="CR81" s="729"/>
      <c r="CT81" s="759"/>
      <c r="CU81" s="759"/>
      <c r="CW81" s="725"/>
      <c r="CX81" s="725"/>
      <c r="CY81" s="725"/>
      <c r="CZ81" s="725"/>
      <c r="DA81" s="725"/>
      <c r="DB81" s="725"/>
      <c r="DC81" s="725"/>
      <c r="DD81" s="725"/>
      <c r="DE81" s="725"/>
      <c r="DF81" s="725"/>
      <c r="DG81" s="725"/>
      <c r="DH81" s="725"/>
      <c r="DI81" s="725"/>
    </row>
    <row r="82" spans="1:113" ht="12" customHeight="1">
      <c r="A82" s="760" t="s">
        <v>892</v>
      </c>
      <c r="B82" s="687"/>
      <c r="C82" s="731"/>
      <c r="D82" s="731"/>
      <c r="E82" s="731"/>
      <c r="F82" s="736"/>
      <c r="G82" s="687"/>
      <c r="H82" s="731"/>
      <c r="I82" s="731"/>
      <c r="J82" s="731"/>
      <c r="K82" s="736"/>
      <c r="L82" s="731"/>
      <c r="M82" s="731"/>
      <c r="N82" s="731"/>
      <c r="O82" s="731"/>
      <c r="P82" s="736"/>
      <c r="Q82" s="764"/>
      <c r="R82" s="764"/>
      <c r="S82" s="764"/>
      <c r="T82" s="764"/>
      <c r="U82" s="762"/>
      <c r="V82" s="764"/>
      <c r="W82" s="764"/>
      <c r="X82" s="764"/>
      <c r="Y82" s="764"/>
      <c r="Z82" s="762"/>
      <c r="AA82" s="764"/>
      <c r="AB82" s="764"/>
      <c r="AC82" s="764"/>
      <c r="AD82" s="764"/>
      <c r="AE82" s="762"/>
      <c r="AF82" s="764"/>
      <c r="AG82" s="764"/>
      <c r="AH82" s="764"/>
      <c r="AI82" s="764"/>
      <c r="AJ82" s="762"/>
      <c r="AK82" s="764"/>
      <c r="AL82" s="764"/>
      <c r="AM82" s="764"/>
      <c r="AN82" s="764"/>
      <c r="AO82" s="762"/>
      <c r="AP82" s="764"/>
      <c r="AQ82" s="764"/>
      <c r="AR82" s="764"/>
      <c r="AS82" s="764"/>
      <c r="AT82" s="762"/>
      <c r="AU82" s="764">
        <f>+AU34</f>
        <v>69.604000000000013</v>
      </c>
      <c r="AV82" s="764">
        <f>+SUM(AV68,AV78)</f>
        <v>69.034999999999997</v>
      </c>
      <c r="AW82" s="764">
        <f>+SUM(AW68,AW78)</f>
        <v>70.373999999999995</v>
      </c>
      <c r="AX82" s="764">
        <f>+SUM(AX68,AX78)</f>
        <v>72.607999999999976</v>
      </c>
      <c r="AY82" s="762"/>
      <c r="AZ82" s="764">
        <f t="shared" ref="AZ82:CR82" si="38">+SUM(AZ68,AZ78)</f>
        <v>73.536000000000001</v>
      </c>
      <c r="BA82" s="764">
        <f t="shared" si="38"/>
        <v>75.927999999999997</v>
      </c>
      <c r="BB82" s="764">
        <f t="shared" si="38"/>
        <v>117.363</v>
      </c>
      <c r="BC82" s="764">
        <f t="shared" si="38"/>
        <v>122.26900000000001</v>
      </c>
      <c r="BD82" s="762">
        <f t="shared" si="38"/>
        <v>389.096</v>
      </c>
      <c r="BE82" s="764">
        <f t="shared" si="38"/>
        <v>129.547</v>
      </c>
      <c r="BF82" s="764">
        <f>+SUM(BF68,BF78)</f>
        <v>131.62100000000001</v>
      </c>
      <c r="BG82" s="764">
        <f>+SUM(BG68,BG78)</f>
        <v>134.88399999999999</v>
      </c>
      <c r="BH82" s="764">
        <f>+SUM(BH68,BH78)</f>
        <v>136.88800000000001</v>
      </c>
      <c r="BI82" s="762">
        <f t="shared" si="38"/>
        <v>532.93999999999994</v>
      </c>
      <c r="BJ82" s="764">
        <f>+SUM(BJ68,BJ78)</f>
        <v>134.90299999999999</v>
      </c>
      <c r="BK82" s="764">
        <f>+SUM(BK68,BK78)</f>
        <v>134.73400000000001</v>
      </c>
      <c r="BL82" s="764">
        <f>+SUM(BL68,BL78)</f>
        <v>132.80000000000001</v>
      </c>
      <c r="BM82" s="764">
        <f t="shared" si="38"/>
        <v>134.35499999999999</v>
      </c>
      <c r="BN82" s="762">
        <f t="shared" si="38"/>
        <v>536.79200000000003</v>
      </c>
      <c r="BO82" s="764">
        <f t="shared" si="38"/>
        <v>131.404</v>
      </c>
      <c r="BP82" s="764">
        <f>+SUM(BP68,BP78)</f>
        <v>131.55500000000001</v>
      </c>
      <c r="BQ82" s="764">
        <f>+SUM(BQ68,BQ78)</f>
        <v>132</v>
      </c>
      <c r="BR82" s="764">
        <f t="shared" ref="BR82" si="39">+SUM(BR68,BR78)</f>
        <v>132.999</v>
      </c>
      <c r="BS82" s="762">
        <f t="shared" si="38"/>
        <v>527.95799999999986</v>
      </c>
      <c r="BT82" s="764">
        <f t="shared" si="38"/>
        <v>132.87</v>
      </c>
      <c r="BU82" s="764">
        <f t="shared" si="38"/>
        <v>131.32634516000002</v>
      </c>
      <c r="BV82" s="764">
        <f t="shared" si="38"/>
        <v>132.43005600000001</v>
      </c>
      <c r="BW82" s="764">
        <f t="shared" si="38"/>
        <v>134.79900000000001</v>
      </c>
      <c r="BX82" s="762">
        <f t="shared" si="38"/>
        <v>531.42540115999998</v>
      </c>
      <c r="BY82" s="764">
        <f t="shared" si="38"/>
        <v>136.31559426000001</v>
      </c>
      <c r="BZ82" s="764">
        <f t="shared" si="38"/>
        <v>133.94388280360005</v>
      </c>
      <c r="CA82" s="764">
        <f t="shared" si="38"/>
        <v>136.25406563999999</v>
      </c>
      <c r="CB82" s="764">
        <f t="shared" si="38"/>
        <v>139.38497999999998</v>
      </c>
      <c r="CC82" s="762">
        <f t="shared" si="38"/>
        <v>545.89852270360007</v>
      </c>
      <c r="CD82" s="764">
        <f t="shared" si="38"/>
        <v>145.13913801180001</v>
      </c>
      <c r="CE82" s="764">
        <f t="shared" si="38"/>
        <v>139.46211460850807</v>
      </c>
      <c r="CF82" s="764">
        <f t="shared" si="38"/>
        <v>142.36300228919998</v>
      </c>
      <c r="CG82" s="764">
        <f t="shared" si="38"/>
        <v>145.64552939999999</v>
      </c>
      <c r="CH82" s="762">
        <f t="shared" si="38"/>
        <v>572.60978430950809</v>
      </c>
      <c r="CI82" s="764">
        <f t="shared" si="38"/>
        <v>154.93749946475401</v>
      </c>
      <c r="CJ82" s="764">
        <f t="shared" si="38"/>
        <v>145.37088066568336</v>
      </c>
      <c r="CK82" s="764">
        <f t="shared" si="38"/>
        <v>148.95840423987599</v>
      </c>
      <c r="CL82" s="764">
        <f t="shared" si="38"/>
        <v>152.405745282</v>
      </c>
      <c r="CM82" s="762">
        <f t="shared" si="38"/>
        <v>601.67252965231341</v>
      </c>
      <c r="CN82" s="764">
        <f t="shared" si="38"/>
        <v>165.45909610952475</v>
      </c>
      <c r="CO82" s="764">
        <f t="shared" si="38"/>
        <v>151.35221789574771</v>
      </c>
      <c r="CP82" s="764">
        <f t="shared" si="38"/>
        <v>156.10034503137229</v>
      </c>
      <c r="CQ82" s="764">
        <f t="shared" si="38"/>
        <v>159.72739514046</v>
      </c>
      <c r="CR82" s="762">
        <f t="shared" si="38"/>
        <v>632.63905417710464</v>
      </c>
      <c r="CT82" s="767">
        <f>+(CC82/BN82)^(0.333333333333333)-1</f>
        <v>5.6232247070790997E-3</v>
      </c>
      <c r="CU82" s="767">
        <f>+(CM82/BN82)^(0.2)-1</f>
        <v>2.3082909194909851E-2</v>
      </c>
      <c r="CW82" s="725">
        <f>+AJ82-SUM(AF82:AI82)</f>
        <v>0</v>
      </c>
      <c r="CX82" s="725">
        <f>+AO82-SUM(AK82:AN82)</f>
        <v>0</v>
      </c>
      <c r="CY82" s="725">
        <f>+AT82-SUM(AP82:AS82)</f>
        <v>0</v>
      </c>
      <c r="CZ82" s="725">
        <f>+AY82-SUM(AU82:AX82)</f>
        <v>-281.62099999999998</v>
      </c>
      <c r="DA82" s="725">
        <f>+BD82-SUM(AZ82:BC82)</f>
        <v>0</v>
      </c>
      <c r="DB82" s="725">
        <f>+BI82-SUM(BE82:BH82)</f>
        <v>0</v>
      </c>
      <c r="DC82" s="725">
        <f>+BN82-SUM(BJ82:BM82)</f>
        <v>0</v>
      </c>
      <c r="DD82" s="725">
        <f>+BS82-SUM(BO82:BR82)</f>
        <v>0</v>
      </c>
      <c r="DE82" s="725">
        <f>+BX82-SUM(BT82:BW82)</f>
        <v>0</v>
      </c>
      <c r="DF82" s="725">
        <f>+CC82-SUM(BY82:CB82)</f>
        <v>0</v>
      </c>
      <c r="DG82" s="725">
        <f>+CH82-SUM(CD82:CG82)</f>
        <v>0</v>
      </c>
      <c r="DH82" s="725">
        <f>+CM82-SUM(CI82:CL82)</f>
        <v>0</v>
      </c>
      <c r="DI82" s="725">
        <f>+CR82-SUM(CN82:CQ82)</f>
        <v>0</v>
      </c>
    </row>
    <row r="83" spans="1:113" ht="12" customHeight="1">
      <c r="A83" s="733" t="s">
        <v>881</v>
      </c>
      <c r="B83" s="687"/>
      <c r="C83" s="731"/>
      <c r="D83" s="731"/>
      <c r="E83" s="731"/>
      <c r="F83" s="736"/>
      <c r="G83" s="687"/>
      <c r="H83" s="731"/>
      <c r="I83" s="731"/>
      <c r="J83" s="731"/>
      <c r="K83" s="736"/>
      <c r="L83" s="731"/>
      <c r="M83" s="731"/>
      <c r="N83" s="731"/>
      <c r="O83" s="731"/>
      <c r="P83" s="736"/>
      <c r="Q83" s="687"/>
      <c r="R83" s="731"/>
      <c r="S83" s="731"/>
      <c r="T83" s="731"/>
      <c r="U83" s="736"/>
      <c r="V83" s="785"/>
      <c r="W83" s="785"/>
      <c r="X83" s="785"/>
      <c r="Y83" s="785"/>
      <c r="Z83" s="735"/>
      <c r="AA83" s="785"/>
      <c r="AB83" s="785"/>
      <c r="AC83" s="785"/>
      <c r="AD83" s="785"/>
      <c r="AE83" s="735"/>
      <c r="AF83" s="785"/>
      <c r="AG83" s="785"/>
      <c r="AH83" s="785"/>
      <c r="AI83" s="785"/>
      <c r="AJ83" s="735"/>
      <c r="AK83" s="785"/>
      <c r="AL83" s="785"/>
      <c r="AM83" s="785"/>
      <c r="AN83" s="785"/>
      <c r="AO83" s="735"/>
      <c r="AP83" s="785"/>
      <c r="AQ83" s="785"/>
      <c r="AR83" s="785"/>
      <c r="AS83" s="785"/>
      <c r="AT83" s="735"/>
      <c r="AU83" s="785" t="e">
        <f>+AU82/AP82-1</f>
        <v>#DIV/0!</v>
      </c>
      <c r="AV83" s="785" t="e">
        <f>+AV82/AQ82-1</f>
        <v>#DIV/0!</v>
      </c>
      <c r="AW83" s="785" t="e">
        <f>+AW82/AR82-1</f>
        <v>#DIV/0!</v>
      </c>
      <c r="AX83" s="785" t="e">
        <f>+AX82/AS82-1</f>
        <v>#DIV/0!</v>
      </c>
      <c r="AY83" s="735"/>
      <c r="AZ83" s="785">
        <f>+AZ82/AU82-1</f>
        <v>5.6491006264007604E-2</v>
      </c>
      <c r="BA83" s="785">
        <f>+BA82/AV82-1</f>
        <v>9.9847903237488156E-2</v>
      </c>
      <c r="BB83" s="785">
        <f>+BB82/AW82-1</f>
        <v>0.66770398158410793</v>
      </c>
      <c r="BC83" s="785">
        <f>+BC82/AX82-1</f>
        <v>0.68396044513001386</v>
      </c>
      <c r="BD83" s="735"/>
      <c r="BE83" s="785">
        <f t="shared" ref="BE83:CR83" si="40">+BE82/AZ82-1</f>
        <v>0.76168135335073961</v>
      </c>
      <c r="BF83" s="785">
        <f t="shared" si="40"/>
        <v>0.73349752397007717</v>
      </c>
      <c r="BG83" s="785">
        <f t="shared" si="40"/>
        <v>0.14928895818954846</v>
      </c>
      <c r="BH83" s="785">
        <f t="shared" si="40"/>
        <v>0.11956423950469874</v>
      </c>
      <c r="BI83" s="735">
        <f t="shared" si="40"/>
        <v>0.36968768632933768</v>
      </c>
      <c r="BJ83" s="785">
        <f t="shared" si="40"/>
        <v>4.1344068176028648E-2</v>
      </c>
      <c r="BK83" s="785">
        <f t="shared" si="40"/>
        <v>2.3651241063356254E-2</v>
      </c>
      <c r="BL83" s="785">
        <f t="shared" si="40"/>
        <v>-1.5450312861421511E-2</v>
      </c>
      <c r="BM83" s="785">
        <f t="shared" si="40"/>
        <v>-1.850417859856246E-2</v>
      </c>
      <c r="BN83" s="735">
        <f t="shared" si="40"/>
        <v>7.2278305250124131E-3</v>
      </c>
      <c r="BO83" s="785">
        <f t="shared" si="40"/>
        <v>-2.5937154844592025E-2</v>
      </c>
      <c r="BP83" s="785">
        <f t="shared" si="40"/>
        <v>-2.3594638324402117E-2</v>
      </c>
      <c r="BQ83" s="785">
        <f t="shared" si="40"/>
        <v>-6.0240963855422436E-3</v>
      </c>
      <c r="BR83" s="785">
        <f t="shared" si="40"/>
        <v>-1.0092664954783892E-2</v>
      </c>
      <c r="BS83" s="735">
        <f t="shared" si="40"/>
        <v>-1.6457026185189405E-2</v>
      </c>
      <c r="BT83" s="785">
        <f t="shared" si="40"/>
        <v>1.1156433594106785E-2</v>
      </c>
      <c r="BU83" s="785">
        <f t="shared" si="40"/>
        <v>-1.7380931169471703E-3</v>
      </c>
      <c r="BV83" s="785">
        <f t="shared" si="40"/>
        <v>3.2579999999999831E-3</v>
      </c>
      <c r="BW83" s="785">
        <f t="shared" si="40"/>
        <v>1.3533936345386133E-2</v>
      </c>
      <c r="BX83" s="735">
        <f t="shared" si="40"/>
        <v>6.5675700718619279E-3</v>
      </c>
      <c r="BY83" s="785">
        <f t="shared" si="40"/>
        <v>2.5932070896364845E-2</v>
      </c>
      <c r="BZ83" s="785">
        <f t="shared" si="40"/>
        <v>1.993155021873938E-2</v>
      </c>
      <c r="CA83" s="785">
        <f t="shared" si="40"/>
        <v>2.8875692992231139E-2</v>
      </c>
      <c r="CB83" s="785">
        <f t="shared" si="40"/>
        <v>3.4020875525782701E-2</v>
      </c>
      <c r="CC83" s="735">
        <f t="shared" si="40"/>
        <v>2.7234530965226877E-2</v>
      </c>
      <c r="CD83" s="785">
        <f t="shared" si="40"/>
        <v>6.4728792033657667E-2</v>
      </c>
      <c r="CE83" s="785">
        <f t="shared" si="40"/>
        <v>4.1198087508030001E-2</v>
      </c>
      <c r="CF83" s="785">
        <f t="shared" si="40"/>
        <v>4.4834894434200301E-2</v>
      </c>
      <c r="CG83" s="785">
        <f t="shared" si="40"/>
        <v>4.491552389647735E-2</v>
      </c>
      <c r="CH83" s="735">
        <f t="shared" si="40"/>
        <v>4.8930818632039186E-2</v>
      </c>
      <c r="CI83" s="785">
        <f t="shared" si="40"/>
        <v>6.7510125712317404E-2</v>
      </c>
      <c r="CJ83" s="785">
        <f t="shared" si="40"/>
        <v>4.2368252293908837E-2</v>
      </c>
      <c r="CK83" s="785">
        <f t="shared" si="40"/>
        <v>4.6328061677695764E-2</v>
      </c>
      <c r="CL83" s="785">
        <f t="shared" si="40"/>
        <v>4.6415539906026204E-2</v>
      </c>
      <c r="CM83" s="735">
        <f t="shared" si="40"/>
        <v>5.0754887777286539E-2</v>
      </c>
      <c r="CN83" s="785">
        <f t="shared" si="40"/>
        <v>6.7908651431180855E-2</v>
      </c>
      <c r="CO83" s="785">
        <f t="shared" si="40"/>
        <v>4.1145360079505533E-2</v>
      </c>
      <c r="CP83" s="785">
        <f t="shared" si="40"/>
        <v>4.7945873399632077E-2</v>
      </c>
      <c r="CQ83" s="785">
        <f t="shared" si="40"/>
        <v>4.8040510841061757E-2</v>
      </c>
      <c r="CR83" s="735">
        <f t="shared" si="40"/>
        <v>5.1467406269463112E-2</v>
      </c>
      <c r="CT83" s="759"/>
      <c r="CU83" s="759"/>
      <c r="CW83" s="725"/>
      <c r="CX83" s="725"/>
      <c r="CY83" s="725"/>
      <c r="CZ83" s="725"/>
      <c r="DA83" s="725"/>
      <c r="DB83" s="725"/>
      <c r="DC83" s="725"/>
      <c r="DD83" s="725"/>
      <c r="DE83" s="725"/>
      <c r="DF83" s="725"/>
      <c r="DG83" s="725"/>
      <c r="DH83" s="725"/>
      <c r="DI83" s="725"/>
    </row>
    <row r="84" spans="1:113" ht="12" customHeight="1">
      <c r="A84" s="733" t="s">
        <v>883</v>
      </c>
      <c r="B84" s="687"/>
      <c r="C84" s="731"/>
      <c r="D84" s="731"/>
      <c r="E84" s="731"/>
      <c r="F84" s="736"/>
      <c r="G84" s="687"/>
      <c r="H84" s="731"/>
      <c r="I84" s="731"/>
      <c r="J84" s="731"/>
      <c r="K84" s="736"/>
      <c r="L84" s="731"/>
      <c r="M84" s="731"/>
      <c r="N84" s="731"/>
      <c r="O84" s="731"/>
      <c r="P84" s="736"/>
      <c r="Q84" s="687"/>
      <c r="R84" s="734"/>
      <c r="S84" s="734"/>
      <c r="T84" s="734"/>
      <c r="U84" s="736"/>
      <c r="V84" s="734"/>
      <c r="W84" s="734"/>
      <c r="X84" s="734"/>
      <c r="Y84" s="734"/>
      <c r="Z84" s="736"/>
      <c r="AA84" s="734"/>
      <c r="AB84" s="734"/>
      <c r="AC84" s="734"/>
      <c r="AD84" s="734"/>
      <c r="AE84" s="736"/>
      <c r="AF84" s="734"/>
      <c r="AG84" s="734"/>
      <c r="AH84" s="734"/>
      <c r="AI84" s="734"/>
      <c r="AJ84" s="736"/>
      <c r="AK84" s="734"/>
      <c r="AL84" s="734"/>
      <c r="AM84" s="734"/>
      <c r="AN84" s="734"/>
      <c r="AO84" s="736"/>
      <c r="AP84" s="734"/>
      <c r="AQ84" s="734"/>
      <c r="AR84" s="734"/>
      <c r="AS84" s="734"/>
      <c r="AT84" s="736"/>
      <c r="AU84" s="734" t="e">
        <f>+AU82/AS82-1</f>
        <v>#DIV/0!</v>
      </c>
      <c r="AV84" s="734">
        <f>+AV82/AU82-1</f>
        <v>-8.1748175392221123E-3</v>
      </c>
      <c r="AW84" s="734">
        <f>+AW82/AV82-1</f>
        <v>1.9395958571738925E-2</v>
      </c>
      <c r="AX84" s="734">
        <f>+AX82/AW82-1</f>
        <v>3.1744678432375384E-2</v>
      </c>
      <c r="AY84" s="736"/>
      <c r="AZ84" s="734">
        <f>+AZ82/AX82-1</f>
        <v>1.2780960775672368E-2</v>
      </c>
      <c r="BA84" s="734">
        <f>+BA82/AZ82-1</f>
        <v>3.2528285465622142E-2</v>
      </c>
      <c r="BB84" s="734">
        <f>+BB82/BA82-1</f>
        <v>0.54571436097355397</v>
      </c>
      <c r="BC84" s="734">
        <f>+BC82/BB82-1</f>
        <v>4.180193076182448E-2</v>
      </c>
      <c r="BD84" s="736"/>
      <c r="BE84" s="734">
        <f>+BE82/BC82-1</f>
        <v>5.9524491081140773E-2</v>
      </c>
      <c r="BF84" s="734">
        <f>+BF82/BE82-1</f>
        <v>1.6009633569283865E-2</v>
      </c>
      <c r="BG84" s="734">
        <f>+BG82/BF82-1</f>
        <v>2.4790876835763198E-2</v>
      </c>
      <c r="BH84" s="734">
        <f>+BH82/BG82-1</f>
        <v>1.4857210640254026E-2</v>
      </c>
      <c r="BI84" s="736"/>
      <c r="BJ84" s="734">
        <f>+BJ82/BH82-1</f>
        <v>-1.4500905850038048E-2</v>
      </c>
      <c r="BK84" s="734">
        <f>+BK82/BJ82-1</f>
        <v>-1.2527519773465334E-3</v>
      </c>
      <c r="BL84" s="734">
        <f>+BL82/BK82-1</f>
        <v>-1.4354209034096788E-2</v>
      </c>
      <c r="BM84" s="734">
        <f>+BM82/BL82-1</f>
        <v>1.1709337349397497E-2</v>
      </c>
      <c r="BN84" s="736"/>
      <c r="BO84" s="734">
        <f>+BO82/BM82-1</f>
        <v>-2.1964199322689892E-2</v>
      </c>
      <c r="BP84" s="734">
        <f>+BP82/BO82-1</f>
        <v>1.1491278804298677E-3</v>
      </c>
      <c r="BQ84" s="734">
        <f>+BQ82/BP82-1</f>
        <v>3.3826156360456938E-3</v>
      </c>
      <c r="BR84" s="734">
        <f>+BR82/BQ82-1</f>
        <v>7.5681818181818628E-3</v>
      </c>
      <c r="BS84" s="736"/>
      <c r="BT84" s="734">
        <f>+BT82/BR82-1</f>
        <v>-9.6993210475260216E-4</v>
      </c>
      <c r="BU84" s="734">
        <f>+BU82/BT82-1</f>
        <v>-1.1617783096259382E-2</v>
      </c>
      <c r="BV84" s="734">
        <f>+BV82/BU82-1</f>
        <v>8.4043368347401781E-3</v>
      </c>
      <c r="BW84" s="734">
        <f>+BW82/BV82-1</f>
        <v>1.7888265485593413E-2</v>
      </c>
      <c r="BX84" s="736"/>
      <c r="BY84" s="734">
        <f>+BY82/BW82-1</f>
        <v>1.1250782720940045E-2</v>
      </c>
      <c r="BZ84" s="734">
        <f>+BZ82/BY82-1</f>
        <v>-1.7398680387779475E-2</v>
      </c>
      <c r="CA84" s="734">
        <f>+CA82/BZ82-1</f>
        <v>1.7247393371351949E-2</v>
      </c>
      <c r="CB84" s="734">
        <f>+CB82/CA82-1</f>
        <v>2.2978502294913161E-2</v>
      </c>
      <c r="CC84" s="736"/>
      <c r="CD84" s="734">
        <f>+CD82/CB82-1</f>
        <v>4.1282482601784132E-2</v>
      </c>
      <c r="CE84" s="734">
        <f>+CE82/CD82-1</f>
        <v>-3.9114352483135106E-2</v>
      </c>
      <c r="CF84" s="734">
        <f>+CF82/CE82-1</f>
        <v>2.080054277704857E-2</v>
      </c>
      <c r="CG84" s="734">
        <f>+CG82/CF82-1</f>
        <v>2.3057445108749519E-2</v>
      </c>
      <c r="CH84" s="736"/>
      <c r="CI84" s="734">
        <f>+CI82/CG82-1</f>
        <v>6.3798525797758021E-2</v>
      </c>
      <c r="CJ84" s="734">
        <f>+CJ82/CI82-1</f>
        <v>-6.1745018682497266E-2</v>
      </c>
      <c r="CK84" s="734">
        <f>+CK82/CJ82-1</f>
        <v>2.4678419486520387E-2</v>
      </c>
      <c r="CL84" s="734">
        <f>+CL82/CK82-1</f>
        <v>2.3142977797832476E-2</v>
      </c>
      <c r="CM84" s="736"/>
      <c r="CN84" s="734">
        <f>+CN82/CL82-1</f>
        <v>8.5648679473151246E-2</v>
      </c>
      <c r="CO84" s="734">
        <f>+CO82/CN82-1</f>
        <v>-8.5259006881308386E-2</v>
      </c>
      <c r="CP84" s="734">
        <f>+CP82/CO82-1</f>
        <v>3.1371374675824848E-2</v>
      </c>
      <c r="CQ84" s="734">
        <f>+CQ82/CP82-1</f>
        <v>2.3235375350123544E-2</v>
      </c>
      <c r="CR84" s="736"/>
      <c r="CT84" s="759"/>
      <c r="CU84" s="759"/>
      <c r="CW84" s="725"/>
      <c r="CX84" s="725"/>
      <c r="CY84" s="725"/>
      <c r="CZ84" s="725"/>
      <c r="DA84" s="725"/>
      <c r="DB84" s="725"/>
      <c r="DC84" s="725"/>
      <c r="DD84" s="725"/>
      <c r="DE84" s="725"/>
      <c r="DF84" s="725"/>
      <c r="DG84" s="725"/>
      <c r="DH84" s="725"/>
      <c r="DI84" s="725"/>
    </row>
    <row r="85" spans="1:113" ht="12" customHeight="1">
      <c r="A85" s="790"/>
      <c r="B85" s="791"/>
      <c r="C85" s="791"/>
      <c r="D85" s="791"/>
      <c r="E85" s="791"/>
      <c r="F85" s="792"/>
      <c r="G85" s="791"/>
      <c r="H85" s="791"/>
      <c r="I85" s="791"/>
      <c r="J85" s="791"/>
      <c r="K85" s="792"/>
      <c r="L85" s="791"/>
      <c r="M85" s="791"/>
      <c r="N85" s="791"/>
      <c r="O85" s="791"/>
      <c r="P85" s="735"/>
      <c r="Q85" s="791"/>
      <c r="R85" s="791"/>
      <c r="S85" s="791"/>
      <c r="T85" s="791"/>
      <c r="U85" s="792"/>
      <c r="V85" s="791"/>
      <c r="W85" s="791"/>
      <c r="X85" s="791"/>
      <c r="Y85" s="791"/>
      <c r="Z85" s="792"/>
      <c r="AA85" s="791"/>
      <c r="AB85" s="791"/>
      <c r="AC85" s="791"/>
      <c r="AD85" s="791"/>
      <c r="AE85" s="735"/>
      <c r="AF85" s="785"/>
      <c r="AG85" s="785"/>
      <c r="AH85" s="785"/>
      <c r="AI85" s="785"/>
      <c r="AJ85" s="735"/>
      <c r="AK85" s="785"/>
      <c r="AL85" s="785"/>
      <c r="AM85" s="785"/>
      <c r="AN85" s="785"/>
      <c r="AO85" s="735"/>
      <c r="AP85" s="788"/>
      <c r="AQ85" s="788"/>
      <c r="AR85" s="788"/>
      <c r="AS85" s="785"/>
      <c r="AT85" s="735"/>
      <c r="AU85" s="788"/>
      <c r="AV85" s="788"/>
      <c r="AW85" s="788"/>
      <c r="AX85" s="785"/>
      <c r="AY85" s="793"/>
      <c r="AZ85" s="788"/>
      <c r="BA85" s="788"/>
      <c r="BB85" s="788"/>
      <c r="BC85" s="785"/>
      <c r="BD85" s="793"/>
      <c r="BE85" s="788"/>
      <c r="BF85" s="788"/>
      <c r="BG85" s="788"/>
      <c r="BH85" s="788"/>
      <c r="BI85" s="793"/>
      <c r="BJ85" s="788"/>
      <c r="BK85" s="788"/>
      <c r="BL85" s="788"/>
      <c r="BM85" s="788"/>
      <c r="BN85" s="793"/>
      <c r="BO85" s="788"/>
      <c r="BP85" s="788"/>
      <c r="BQ85" s="788"/>
      <c r="BR85" s="788"/>
      <c r="BS85" s="793"/>
      <c r="BT85" s="788"/>
      <c r="BU85" s="788"/>
      <c r="BV85" s="788"/>
      <c r="BW85" s="788"/>
      <c r="BX85" s="793"/>
      <c r="BY85" s="788"/>
      <c r="BZ85" s="788"/>
      <c r="CA85" s="788"/>
      <c r="CB85" s="788"/>
      <c r="CC85" s="793"/>
      <c r="CD85" s="788"/>
      <c r="CE85" s="788"/>
      <c r="CF85" s="788"/>
      <c r="CG85" s="788"/>
      <c r="CH85" s="793"/>
      <c r="CI85" s="788"/>
      <c r="CJ85" s="788"/>
      <c r="CK85" s="788"/>
      <c r="CL85" s="788"/>
      <c r="CM85" s="793"/>
      <c r="CN85" s="788"/>
      <c r="CO85" s="788"/>
      <c r="CP85" s="788"/>
      <c r="CQ85" s="788"/>
      <c r="CR85" s="793"/>
      <c r="CT85" s="755"/>
      <c r="CU85" s="755"/>
      <c r="CW85" s="725"/>
      <c r="CX85" s="725"/>
      <c r="CY85" s="725"/>
      <c r="CZ85" s="725"/>
      <c r="DA85" s="725"/>
      <c r="DB85" s="725"/>
      <c r="DC85" s="725"/>
      <c r="DD85" s="725"/>
      <c r="DE85" s="725"/>
      <c r="DF85" s="725"/>
      <c r="DG85" s="725"/>
      <c r="DH85" s="725"/>
      <c r="DI85" s="725"/>
    </row>
    <row r="86" spans="1:113" ht="12" customHeight="1">
      <c r="A86" s="774" t="s">
        <v>913</v>
      </c>
      <c r="B86" s="775"/>
      <c r="C86" s="776"/>
      <c r="D86" s="776"/>
      <c r="E86" s="776"/>
      <c r="F86" s="777"/>
      <c r="G86" s="775"/>
      <c r="H86" s="776"/>
      <c r="I86" s="776"/>
      <c r="J86" s="776"/>
      <c r="K86" s="777"/>
      <c r="L86" s="776"/>
      <c r="M86" s="776"/>
      <c r="N86" s="776"/>
      <c r="O86" s="776"/>
      <c r="P86" s="777"/>
      <c r="Q86" s="778"/>
      <c r="R86" s="776"/>
      <c r="S86" s="776"/>
      <c r="T86" s="776"/>
      <c r="U86" s="777"/>
      <c r="V86" s="778"/>
      <c r="W86" s="776"/>
      <c r="X86" s="776"/>
      <c r="Y86" s="776"/>
      <c r="Z86" s="777"/>
      <c r="AA86" s="776"/>
      <c r="AB86" s="776"/>
      <c r="AC86" s="776"/>
      <c r="AD86" s="776"/>
      <c r="AE86" s="777"/>
      <c r="AF86" s="776"/>
      <c r="AG86" s="776"/>
      <c r="AH86" s="776"/>
      <c r="AI86" s="776"/>
      <c r="AJ86" s="777"/>
      <c r="AK86" s="776"/>
      <c r="AL86" s="776"/>
      <c r="AM86" s="776"/>
      <c r="AN86" s="776"/>
      <c r="AO86" s="779"/>
      <c r="AP86" s="776"/>
      <c r="AQ86" s="776"/>
      <c r="AR86" s="776"/>
      <c r="AS86" s="776"/>
      <c r="AT86" s="779"/>
      <c r="AU86" s="776"/>
      <c r="AV86" s="776"/>
      <c r="AW86" s="776"/>
      <c r="AX86" s="776"/>
      <c r="AY86" s="779"/>
      <c r="AZ86" s="776"/>
      <c r="BA86" s="776"/>
      <c r="BB86" s="776"/>
      <c r="BC86" s="776"/>
      <c r="BD86" s="779"/>
      <c r="BE86" s="776"/>
      <c r="BF86" s="776"/>
      <c r="BG86" s="776"/>
      <c r="BH86" s="776"/>
      <c r="BI86" s="779"/>
      <c r="BJ86" s="776"/>
      <c r="BK86" s="776"/>
      <c r="BL86" s="776"/>
      <c r="BM86" s="776"/>
      <c r="BN86" s="779"/>
      <c r="BO86" s="776"/>
      <c r="BP86" s="776"/>
      <c r="BQ86" s="776"/>
      <c r="BR86" s="776"/>
      <c r="BS86" s="779"/>
      <c r="BT86" s="776"/>
      <c r="BU86" s="776"/>
      <c r="BV86" s="776"/>
      <c r="BW86" s="776"/>
      <c r="BX86" s="779"/>
      <c r="BY86" s="776"/>
      <c r="BZ86" s="776"/>
      <c r="CA86" s="776"/>
      <c r="CB86" s="776"/>
      <c r="CC86" s="779"/>
      <c r="CD86" s="776"/>
      <c r="CE86" s="776"/>
      <c r="CF86" s="776"/>
      <c r="CG86" s="776"/>
      <c r="CH86" s="779"/>
      <c r="CI86" s="776"/>
      <c r="CJ86" s="776"/>
      <c r="CK86" s="776"/>
      <c r="CL86" s="776"/>
      <c r="CM86" s="779"/>
      <c r="CN86" s="776"/>
      <c r="CO86" s="776"/>
      <c r="CP86" s="776"/>
      <c r="CQ86" s="776"/>
      <c r="CR86" s="779"/>
      <c r="CT86" s="779"/>
      <c r="CU86" s="779"/>
      <c r="CW86" s="725"/>
      <c r="CX86" s="725"/>
      <c r="CY86" s="725"/>
      <c r="CZ86" s="725"/>
      <c r="DA86" s="725"/>
      <c r="DB86" s="725"/>
      <c r="DC86" s="725"/>
      <c r="DD86" s="725"/>
      <c r="DE86" s="725"/>
      <c r="DF86" s="725"/>
      <c r="DG86" s="725"/>
      <c r="DH86" s="725"/>
      <c r="DI86" s="725"/>
    </row>
    <row r="87" spans="1:113" ht="12" customHeight="1">
      <c r="A87" s="733"/>
      <c r="B87" s="785"/>
      <c r="C87" s="785"/>
      <c r="D87" s="785"/>
      <c r="E87" s="785"/>
      <c r="F87" s="735"/>
      <c r="G87" s="785"/>
      <c r="H87" s="785"/>
      <c r="I87" s="785"/>
      <c r="J87" s="785"/>
      <c r="K87" s="735"/>
      <c r="L87" s="785"/>
      <c r="M87" s="785"/>
      <c r="N87" s="785"/>
      <c r="O87" s="785"/>
      <c r="P87" s="735"/>
      <c r="Q87" s="785"/>
      <c r="R87" s="785"/>
      <c r="S87" s="785"/>
      <c r="T87" s="785"/>
      <c r="U87" s="735"/>
      <c r="V87" s="785"/>
      <c r="W87" s="785"/>
      <c r="X87" s="785"/>
      <c r="Y87" s="785"/>
      <c r="Z87" s="735"/>
      <c r="AA87" s="785"/>
      <c r="AB87" s="785"/>
      <c r="AC87" s="785"/>
      <c r="AD87" s="785"/>
      <c r="AE87" s="735"/>
      <c r="AF87" s="785"/>
      <c r="AG87" s="785"/>
      <c r="AH87" s="785"/>
      <c r="AI87" s="785"/>
      <c r="AJ87" s="735"/>
      <c r="AK87" s="785"/>
      <c r="AL87" s="785"/>
      <c r="AM87" s="785"/>
      <c r="AN87" s="785"/>
      <c r="AO87" s="735"/>
      <c r="AP87" s="785"/>
      <c r="AQ87" s="785"/>
      <c r="AR87" s="785"/>
      <c r="AS87" s="785"/>
      <c r="AT87" s="735"/>
      <c r="AU87" s="785"/>
      <c r="AV87" s="785"/>
      <c r="AW87" s="785"/>
      <c r="AX87" s="785"/>
      <c r="AY87" s="735"/>
      <c r="AZ87" s="785"/>
      <c r="BA87" s="785"/>
      <c r="BB87" s="785"/>
      <c r="BC87" s="785"/>
      <c r="BD87" s="735"/>
      <c r="BE87" s="785"/>
      <c r="BF87" s="785"/>
      <c r="BG87" s="785"/>
      <c r="BH87" s="785"/>
      <c r="BI87" s="735"/>
      <c r="BJ87" s="785"/>
      <c r="BK87" s="785"/>
      <c r="BL87" s="785"/>
      <c r="BM87" s="785"/>
      <c r="BN87" s="735"/>
      <c r="BO87" s="785"/>
      <c r="BP87" s="785"/>
      <c r="BQ87" s="785"/>
      <c r="BR87" s="785"/>
      <c r="BS87" s="735"/>
      <c r="BT87" s="785"/>
      <c r="BU87" s="785"/>
      <c r="BV87" s="785"/>
      <c r="BW87" s="785"/>
      <c r="BX87" s="735"/>
      <c r="BY87" s="785"/>
      <c r="BZ87" s="785"/>
      <c r="CA87" s="785"/>
      <c r="CB87" s="785"/>
      <c r="CC87" s="735"/>
      <c r="CD87" s="785"/>
      <c r="CE87" s="785"/>
      <c r="CF87" s="785"/>
      <c r="CG87" s="785"/>
      <c r="CH87" s="735"/>
      <c r="CI87" s="785"/>
      <c r="CJ87" s="785"/>
      <c r="CK87" s="785"/>
      <c r="CL87" s="785"/>
      <c r="CM87" s="735"/>
      <c r="CN87" s="785"/>
      <c r="CO87" s="785"/>
      <c r="CP87" s="785"/>
      <c r="CQ87" s="785"/>
      <c r="CR87" s="735"/>
      <c r="CT87" s="755"/>
      <c r="CU87" s="755"/>
      <c r="CW87" s="725"/>
      <c r="CX87" s="725"/>
      <c r="CY87" s="725"/>
      <c r="CZ87" s="725"/>
      <c r="DA87" s="725"/>
      <c r="DB87" s="725"/>
      <c r="DC87" s="725"/>
      <c r="DD87" s="725"/>
      <c r="DE87" s="725"/>
      <c r="DF87" s="725"/>
      <c r="DG87" s="725"/>
      <c r="DH87" s="725"/>
      <c r="DI87" s="725"/>
    </row>
    <row r="88" spans="1:113" s="796" customFormat="1" ht="12" customHeight="1">
      <c r="A88" s="726" t="s">
        <v>914</v>
      </c>
      <c r="B88" s="794"/>
      <c r="C88" s="794"/>
      <c r="D88" s="794"/>
      <c r="E88" s="794"/>
      <c r="F88" s="795"/>
      <c r="G88" s="794"/>
      <c r="H88" s="794"/>
      <c r="I88" s="794"/>
      <c r="J88" s="687"/>
      <c r="K88" s="736"/>
      <c r="L88" s="730"/>
      <c r="M88" s="730"/>
      <c r="N88" s="730"/>
      <c r="O88" s="687"/>
      <c r="P88" s="736"/>
      <c r="Q88" s="687"/>
      <c r="R88" s="687"/>
      <c r="S88" s="687"/>
      <c r="T88" s="687"/>
      <c r="U88" s="736"/>
      <c r="V88" s="687"/>
      <c r="W88" s="687"/>
      <c r="X88" s="687"/>
      <c r="Y88" s="687"/>
      <c r="Z88" s="736"/>
      <c r="AA88" s="687"/>
      <c r="AB88" s="687"/>
      <c r="AC88" s="687"/>
      <c r="AD88" s="687"/>
      <c r="AE88" s="736"/>
      <c r="AF88" s="687"/>
      <c r="AG88" s="687"/>
      <c r="AH88" s="687"/>
      <c r="AI88" s="687"/>
      <c r="AJ88" s="736"/>
      <c r="AK88" s="687"/>
      <c r="AL88" s="687"/>
      <c r="AM88" s="687"/>
      <c r="AN88" s="687"/>
      <c r="AO88" s="736"/>
      <c r="AP88" s="687"/>
      <c r="AQ88" s="687"/>
      <c r="AR88" s="687"/>
      <c r="AS88" s="687"/>
      <c r="AT88" s="736">
        <f t="shared" ref="AT88:CR88" si="41">+AT109+AT29</f>
        <v>373.005</v>
      </c>
      <c r="AU88" s="687">
        <f t="shared" si="41"/>
        <v>66.886500000000026</v>
      </c>
      <c r="AV88" s="687">
        <f t="shared" si="41"/>
        <v>65.579499999999982</v>
      </c>
      <c r="AW88" s="687">
        <f t="shared" si="41"/>
        <v>48.708999999999989</v>
      </c>
      <c r="AX88" s="687">
        <f t="shared" si="41"/>
        <v>94.327000000000012</v>
      </c>
      <c r="AY88" s="736">
        <f t="shared" si="41"/>
        <v>275.50200000000001</v>
      </c>
      <c r="AZ88" s="687">
        <f t="shared" si="41"/>
        <v>75.936999999999998</v>
      </c>
      <c r="BA88" s="687">
        <f t="shared" si="41"/>
        <v>88.550999999999988</v>
      </c>
      <c r="BB88" s="687">
        <f t="shared" si="41"/>
        <v>176.13000000000002</v>
      </c>
      <c r="BC88" s="687">
        <f t="shared" si="41"/>
        <v>186.90299999999993</v>
      </c>
      <c r="BD88" s="736">
        <f t="shared" si="41"/>
        <v>527.52099999999996</v>
      </c>
      <c r="BE88" s="687">
        <f t="shared" si="41"/>
        <v>147.93200000000004</v>
      </c>
      <c r="BF88" s="687">
        <f t="shared" si="41"/>
        <v>160.71</v>
      </c>
      <c r="BG88" s="687">
        <f t="shared" si="41"/>
        <v>161.15499999999997</v>
      </c>
      <c r="BH88" s="687">
        <f t="shared" si="41"/>
        <v>196.61600000000001</v>
      </c>
      <c r="BI88" s="736">
        <f t="shared" si="41"/>
        <v>666.41300000000001</v>
      </c>
      <c r="BJ88" s="687">
        <f>+BJ109+BJ29</f>
        <v>136.71799999999999</v>
      </c>
      <c r="BK88" s="687">
        <f>+BK109+BK29</f>
        <v>148.59299999999999</v>
      </c>
      <c r="BL88" s="687">
        <f>+BL109+BL29</f>
        <v>163.54900000000001</v>
      </c>
      <c r="BM88" s="687">
        <f t="shared" si="41"/>
        <v>194.578</v>
      </c>
      <c r="BN88" s="736">
        <f t="shared" si="41"/>
        <v>643.4380000000001</v>
      </c>
      <c r="BO88" s="687">
        <f t="shared" si="41"/>
        <v>124.76000000000002</v>
      </c>
      <c r="BP88" s="687">
        <f>+BP109+BP29</f>
        <v>135.88300000000001</v>
      </c>
      <c r="BQ88" s="687">
        <f>+BQ109+BQ29</f>
        <v>169.25899999999999</v>
      </c>
      <c r="BR88" s="687">
        <f t="shared" si="41"/>
        <v>180.84700000000001</v>
      </c>
      <c r="BS88" s="736">
        <f t="shared" si="41"/>
        <v>610.74900000000002</v>
      </c>
      <c r="BT88" s="687">
        <f t="shared" si="41"/>
        <v>140.477</v>
      </c>
      <c r="BU88" s="687">
        <f t="shared" si="41"/>
        <v>130.51875516000001</v>
      </c>
      <c r="BV88" s="687">
        <f t="shared" si="41"/>
        <v>167.495406</v>
      </c>
      <c r="BW88" s="687">
        <f t="shared" si="41"/>
        <v>176.08441999999999</v>
      </c>
      <c r="BX88" s="736">
        <f t="shared" si="41"/>
        <v>614.57558115999996</v>
      </c>
      <c r="BY88" s="687">
        <f t="shared" si="41"/>
        <v>130.05559426000002</v>
      </c>
      <c r="BZ88" s="687">
        <f t="shared" si="41"/>
        <v>137.13629280360004</v>
      </c>
      <c r="CA88" s="687">
        <f t="shared" si="41"/>
        <v>174.31941563999999</v>
      </c>
      <c r="CB88" s="687">
        <f t="shared" si="41"/>
        <v>188.67039999999997</v>
      </c>
      <c r="CC88" s="736">
        <f t="shared" si="41"/>
        <v>630.18170270360008</v>
      </c>
      <c r="CD88" s="687">
        <f t="shared" si="41"/>
        <v>138.32653801180001</v>
      </c>
      <c r="CE88" s="687">
        <f t="shared" si="41"/>
        <v>142.34644870850806</v>
      </c>
      <c r="CF88" s="687">
        <f t="shared" si="41"/>
        <v>181.61900578919997</v>
      </c>
      <c r="CG88" s="687">
        <f t="shared" si="41"/>
        <v>196.12380359999997</v>
      </c>
      <c r="CH88" s="736">
        <f t="shared" si="41"/>
        <v>658.41579610950805</v>
      </c>
      <c r="CI88" s="687">
        <f t="shared" si="41"/>
        <v>147.57427346475401</v>
      </c>
      <c r="CJ88" s="687">
        <f t="shared" si="41"/>
        <v>147.94905810668337</v>
      </c>
      <c r="CK88" s="687">
        <f t="shared" si="41"/>
        <v>189.40696777487599</v>
      </c>
      <c r="CL88" s="687">
        <f t="shared" si="41"/>
        <v>204.57880222399999</v>
      </c>
      <c r="CM88" s="736">
        <f t="shared" si="41"/>
        <v>689.50910157031342</v>
      </c>
      <c r="CN88" s="687">
        <f t="shared" si="41"/>
        <v>157.29723784952475</v>
      </c>
      <c r="CO88" s="687">
        <f t="shared" si="41"/>
        <v>153.62617711115772</v>
      </c>
      <c r="CP88" s="687">
        <f t="shared" si="41"/>
        <v>197.74339420172228</v>
      </c>
      <c r="CQ88" s="687">
        <f t="shared" si="41"/>
        <v>213.09718265188005</v>
      </c>
      <c r="CR88" s="736">
        <f t="shared" si="41"/>
        <v>721.76399181428474</v>
      </c>
      <c r="CT88" s="732">
        <f>+(CC88/BN88)^(0.333333333333333)-1</f>
        <v>-6.915139458520958E-3</v>
      </c>
      <c r="CU88" s="732">
        <f>+(CM88/BN88)^(0.2)-1</f>
        <v>1.3926933234993832E-2</v>
      </c>
      <c r="CW88" s="725">
        <f>+AJ88-SUM(AF88:AI88)</f>
        <v>0</v>
      </c>
      <c r="CX88" s="725">
        <f>+AO88-SUM(AK88:AN88)</f>
        <v>0</v>
      </c>
      <c r="CY88" s="725">
        <f>+AT88-SUM(AP88:AS88)</f>
        <v>373.005</v>
      </c>
      <c r="CZ88" s="725">
        <f>+AY88-SUM(AU88:AX88)</f>
        <v>0</v>
      </c>
      <c r="DA88" s="725">
        <f>+BD88-SUM(AZ88:BC88)</f>
        <v>0</v>
      </c>
      <c r="DB88" s="725">
        <f>+BI88-SUM(BE88:BH88)</f>
        <v>0</v>
      </c>
      <c r="DC88" s="725">
        <f>+BN88-SUM(BJ88:BM88)</f>
        <v>0</v>
      </c>
      <c r="DD88" s="725">
        <f>+BS88-SUM(BO88:BR88)</f>
        <v>0</v>
      </c>
      <c r="DE88" s="725">
        <f>+BX88-SUM(BT88:BW88)</f>
        <v>0</v>
      </c>
      <c r="DF88" s="725">
        <f>+CC88-SUM(BY88:CB88)</f>
        <v>0</v>
      </c>
      <c r="DG88" s="725">
        <f>+CH88-SUM(CD88:CG88)</f>
        <v>0</v>
      </c>
      <c r="DH88" s="725">
        <f>+CM88-SUM(CI88:CL88)</f>
        <v>0</v>
      </c>
      <c r="DI88" s="725">
        <f>+CR88-SUM(CN88:CQ88)</f>
        <v>0</v>
      </c>
    </row>
    <row r="89" spans="1:113" ht="12" customHeight="1">
      <c r="A89" s="733" t="s">
        <v>881</v>
      </c>
      <c r="B89" s="791"/>
      <c r="C89" s="791"/>
      <c r="D89" s="791"/>
      <c r="E89" s="791"/>
      <c r="F89" s="792"/>
      <c r="G89" s="791"/>
      <c r="H89" s="791"/>
      <c r="I89" s="791"/>
      <c r="J89" s="791"/>
      <c r="K89" s="792"/>
      <c r="L89" s="791"/>
      <c r="M89" s="791"/>
      <c r="N89" s="791"/>
      <c r="O89" s="788"/>
      <c r="P89" s="735"/>
      <c r="Q89" s="788"/>
      <c r="R89" s="788"/>
      <c r="S89" s="788"/>
      <c r="T89" s="788"/>
      <c r="U89" s="735"/>
      <c r="V89" s="788"/>
      <c r="W89" s="788"/>
      <c r="X89" s="788"/>
      <c r="Y89" s="788"/>
      <c r="Z89" s="735"/>
      <c r="AA89" s="788"/>
      <c r="AB89" s="788"/>
      <c r="AC89" s="788"/>
      <c r="AD89" s="788"/>
      <c r="AE89" s="735"/>
      <c r="AF89" s="788"/>
      <c r="AG89" s="788"/>
      <c r="AH89" s="788"/>
      <c r="AI89" s="788"/>
      <c r="AJ89" s="735"/>
      <c r="AK89" s="788"/>
      <c r="AL89" s="788"/>
      <c r="AM89" s="788"/>
      <c r="AN89" s="788"/>
      <c r="AO89" s="735"/>
      <c r="AP89" s="788"/>
      <c r="AQ89" s="788"/>
      <c r="AR89" s="788"/>
      <c r="AS89" s="788"/>
      <c r="AT89" s="735"/>
      <c r="AU89" s="788"/>
      <c r="AV89" s="788"/>
      <c r="AW89" s="788"/>
      <c r="AX89" s="788"/>
      <c r="AY89" s="735">
        <f t="shared" ref="AY89:CR89" si="42">+AY88/AT88-1</f>
        <v>-0.26139864076889041</v>
      </c>
      <c r="AZ89" s="788">
        <f t="shared" si="42"/>
        <v>0.13531131095213489</v>
      </c>
      <c r="BA89" s="788">
        <f t="shared" si="42"/>
        <v>0.35028476886832038</v>
      </c>
      <c r="BB89" s="788">
        <f t="shared" si="42"/>
        <v>2.6159641955285484</v>
      </c>
      <c r="BC89" s="788">
        <f t="shared" si="42"/>
        <v>0.98143691625939455</v>
      </c>
      <c r="BD89" s="735">
        <f t="shared" si="42"/>
        <v>0.91476286923506889</v>
      </c>
      <c r="BE89" s="788">
        <f t="shared" si="42"/>
        <v>0.94808854708508439</v>
      </c>
      <c r="BF89" s="788">
        <f t="shared" si="42"/>
        <v>0.81488633668733312</v>
      </c>
      <c r="BG89" s="788">
        <f t="shared" si="42"/>
        <v>-8.5022426616703894E-2</v>
      </c>
      <c r="BH89" s="788">
        <f t="shared" si="42"/>
        <v>5.1968133202784816E-2</v>
      </c>
      <c r="BI89" s="735">
        <f t="shared" si="42"/>
        <v>0.26329188790588454</v>
      </c>
      <c r="BJ89" s="788">
        <f t="shared" si="42"/>
        <v>-7.5805099640375628E-2</v>
      </c>
      <c r="BK89" s="788">
        <f t="shared" si="42"/>
        <v>-7.5396677244726651E-2</v>
      </c>
      <c r="BL89" s="788">
        <f t="shared" si="42"/>
        <v>1.4855263566132093E-2</v>
      </c>
      <c r="BM89" s="788">
        <f t="shared" si="42"/>
        <v>-1.0365382267974121E-2</v>
      </c>
      <c r="BN89" s="735">
        <f t="shared" si="42"/>
        <v>-3.4475617972638428E-2</v>
      </c>
      <c r="BO89" s="788">
        <f t="shared" si="42"/>
        <v>-8.7464708377828604E-2</v>
      </c>
      <c r="BP89" s="788">
        <f>+BP88/BK88-1</f>
        <v>-8.5535657803530341E-2</v>
      </c>
      <c r="BQ89" s="788">
        <f t="shared" si="42"/>
        <v>3.4913084152149887E-2</v>
      </c>
      <c r="BR89" s="788">
        <f t="shared" si="42"/>
        <v>-7.0568101224187663E-2</v>
      </c>
      <c r="BS89" s="735">
        <f t="shared" si="42"/>
        <v>-5.0803651633879343E-2</v>
      </c>
      <c r="BT89" s="788">
        <f t="shared" si="42"/>
        <v>0.12597787752484746</v>
      </c>
      <c r="BU89" s="788">
        <f t="shared" si="42"/>
        <v>-3.9476938542716833E-2</v>
      </c>
      <c r="BV89" s="788">
        <f t="shared" si="42"/>
        <v>-1.0419499110830066E-2</v>
      </c>
      <c r="BW89" s="788">
        <f t="shared" si="42"/>
        <v>-2.6334857642095311E-2</v>
      </c>
      <c r="BX89" s="735">
        <f t="shared" si="42"/>
        <v>6.2653907906520256E-3</v>
      </c>
      <c r="BY89" s="788">
        <f t="shared" si="42"/>
        <v>-7.418585063747074E-2</v>
      </c>
      <c r="BZ89" s="788">
        <f t="shared" si="42"/>
        <v>5.070181396909379E-2</v>
      </c>
      <c r="CA89" s="788">
        <f t="shared" si="42"/>
        <v>4.0741473470621514E-2</v>
      </c>
      <c r="CB89" s="788">
        <f t="shared" si="42"/>
        <v>7.147696542374371E-2</v>
      </c>
      <c r="CC89" s="735">
        <f t="shared" si="42"/>
        <v>2.5393331629193439E-2</v>
      </c>
      <c r="CD89" s="788">
        <f t="shared" si="42"/>
        <v>6.3595447768783897E-2</v>
      </c>
      <c r="CE89" s="788">
        <f t="shared" si="42"/>
        <v>3.7992538651819618E-2</v>
      </c>
      <c r="CF89" s="788">
        <f t="shared" si="42"/>
        <v>4.1874797035087008E-2</v>
      </c>
      <c r="CG89" s="788">
        <f t="shared" si="42"/>
        <v>3.9504891069293446E-2</v>
      </c>
      <c r="CH89" s="735">
        <f t="shared" si="42"/>
        <v>4.4803099304182137E-2</v>
      </c>
      <c r="CI89" s="788">
        <f t="shared" si="42"/>
        <v>6.6854383734848533E-2</v>
      </c>
      <c r="CJ89" s="788">
        <f t="shared" si="42"/>
        <v>3.9358968551777007E-2</v>
      </c>
      <c r="CK89" s="788">
        <f t="shared" si="42"/>
        <v>4.2880765434402113E-2</v>
      </c>
      <c r="CL89" s="788">
        <f t="shared" si="42"/>
        <v>4.3110517279402849E-2</v>
      </c>
      <c r="CM89" s="735">
        <f t="shared" si="42"/>
        <v>4.7224422081808548E-2</v>
      </c>
      <c r="CN89" s="788">
        <f t="shared" si="42"/>
        <v>6.5885226174553502E-2</v>
      </c>
      <c r="CO89" s="788">
        <f t="shared" si="42"/>
        <v>3.8372119952130301E-2</v>
      </c>
      <c r="CP89" s="788">
        <f t="shared" si="42"/>
        <v>4.4013303865118258E-2</v>
      </c>
      <c r="CQ89" s="788">
        <f t="shared" si="42"/>
        <v>4.1638626950963431E-2</v>
      </c>
      <c r="CR89" s="735">
        <f t="shared" si="42"/>
        <v>4.6779498879003789E-2</v>
      </c>
      <c r="CT89" s="797"/>
      <c r="CU89" s="797"/>
      <c r="CW89" s="725"/>
      <c r="CX89" s="725"/>
      <c r="CY89" s="725"/>
      <c r="CZ89" s="725"/>
      <c r="DA89" s="725"/>
      <c r="DB89" s="725"/>
      <c r="DC89" s="725"/>
      <c r="DD89" s="725"/>
      <c r="DE89" s="725"/>
      <c r="DF89" s="725"/>
      <c r="DG89" s="725"/>
      <c r="DH89" s="725"/>
      <c r="DI89" s="725"/>
    </row>
    <row r="90" spans="1:113" ht="12" customHeight="1">
      <c r="A90" s="733" t="s">
        <v>883</v>
      </c>
      <c r="B90" s="791"/>
      <c r="C90" s="791"/>
      <c r="D90" s="791"/>
      <c r="E90" s="791"/>
      <c r="F90" s="792"/>
      <c r="G90" s="791"/>
      <c r="H90" s="791"/>
      <c r="I90" s="791"/>
      <c r="J90" s="791"/>
      <c r="K90" s="792"/>
      <c r="L90" s="791"/>
      <c r="M90" s="788"/>
      <c r="N90" s="788"/>
      <c r="O90" s="788"/>
      <c r="P90" s="762"/>
      <c r="Q90" s="788"/>
      <c r="R90" s="788"/>
      <c r="S90" s="788"/>
      <c r="T90" s="788"/>
      <c r="U90" s="762"/>
      <c r="V90" s="788"/>
      <c r="W90" s="788"/>
      <c r="X90" s="788"/>
      <c r="Y90" s="788"/>
      <c r="Z90" s="762"/>
      <c r="AA90" s="788"/>
      <c r="AB90" s="788"/>
      <c r="AC90" s="788"/>
      <c r="AD90" s="788"/>
      <c r="AE90" s="762"/>
      <c r="AF90" s="788"/>
      <c r="AG90" s="788"/>
      <c r="AH90" s="788"/>
      <c r="AI90" s="788"/>
      <c r="AJ90" s="762"/>
      <c r="AK90" s="788"/>
      <c r="AL90" s="788"/>
      <c r="AM90" s="788"/>
      <c r="AN90" s="788"/>
      <c r="AO90" s="762"/>
      <c r="AP90" s="788"/>
      <c r="AQ90" s="788"/>
      <c r="AR90" s="788"/>
      <c r="AS90" s="788"/>
      <c r="AT90" s="762"/>
      <c r="AU90" s="788"/>
      <c r="AV90" s="788">
        <f>+AV88/AU88-1</f>
        <v>-1.9540564986956221E-2</v>
      </c>
      <c r="AW90" s="788">
        <f>+AW88/AV88-1</f>
        <v>-0.25725264754992028</v>
      </c>
      <c r="AX90" s="788">
        <f>+AX88/AW88-1</f>
        <v>0.93654150157055227</v>
      </c>
      <c r="AY90" s="762"/>
      <c r="AZ90" s="788">
        <f>+AZ88/AX88-1</f>
        <v>-0.19496008565946132</v>
      </c>
      <c r="BA90" s="788">
        <f>+BA88/AZ88-1</f>
        <v>0.16611138180333684</v>
      </c>
      <c r="BB90" s="788">
        <f>+BB88/BA88-1</f>
        <v>0.98902327472304141</v>
      </c>
      <c r="BC90" s="788">
        <f>+BC88/BB88-1</f>
        <v>6.116504854368876E-2</v>
      </c>
      <c r="BD90" s="762"/>
      <c r="BE90" s="788">
        <f>+BE88/BC88-1</f>
        <v>-0.20850922671118122</v>
      </c>
      <c r="BF90" s="788">
        <f>+BF88/BE88-1</f>
        <v>8.6377524808695538E-2</v>
      </c>
      <c r="BG90" s="788">
        <f>+BG88/BF88-1</f>
        <v>2.7689627278948414E-3</v>
      </c>
      <c r="BH90" s="788">
        <f>+BH88/BG88-1</f>
        <v>0.22004281592255936</v>
      </c>
      <c r="BI90" s="762"/>
      <c r="BJ90" s="788">
        <f>+BJ88/BH88-1</f>
        <v>-0.3046445864019206</v>
      </c>
      <c r="BK90" s="788">
        <f>+BK88/BJ88-1</f>
        <v>8.6857619333225999E-2</v>
      </c>
      <c r="BL90" s="788">
        <f>+BL88/BK88-1</f>
        <v>0.10065077089768715</v>
      </c>
      <c r="BM90" s="788">
        <f>+BM88/BL88-1</f>
        <v>0.18972295764572089</v>
      </c>
      <c r="BN90" s="762"/>
      <c r="BO90" s="788">
        <f>+BO88/BM88-1</f>
        <v>-0.35881754360719087</v>
      </c>
      <c r="BP90" s="788">
        <f>+BP88/BO88-1</f>
        <v>8.9155177941647956E-2</v>
      </c>
      <c r="BQ90" s="788">
        <f>+BQ88/BP88-1</f>
        <v>0.24562307279056217</v>
      </c>
      <c r="BR90" s="788">
        <f>+BR88/BQ88-1</f>
        <v>6.8463124560584898E-2</v>
      </c>
      <c r="BS90" s="762"/>
      <c r="BT90" s="788">
        <f>+BT88/BR88-1</f>
        <v>-0.22322736899146789</v>
      </c>
      <c r="BU90" s="788">
        <f>+BU88/BT88-1</f>
        <v>-7.0888792044249138E-2</v>
      </c>
      <c r="BV90" s="788">
        <f>+BV88/BU88-1</f>
        <v>0.28330526746651197</v>
      </c>
      <c r="BW90" s="788">
        <f>+BW88/BV88-1</f>
        <v>5.1279101947428796E-2</v>
      </c>
      <c r="BX90" s="762"/>
      <c r="BY90" s="788">
        <f>+BY88/BW88-1</f>
        <v>-0.26140203511474769</v>
      </c>
      <c r="BZ90" s="788">
        <f>+BZ88/BY88-1</f>
        <v>5.4443629156348816E-2</v>
      </c>
      <c r="CA90" s="788">
        <f>+CA88/BZ88-1</f>
        <v>0.27113991545368532</v>
      </c>
      <c r="CB90" s="788">
        <f>+CB88/CA88-1</f>
        <v>8.2325794331695512E-2</v>
      </c>
      <c r="CC90" s="762"/>
      <c r="CD90" s="788">
        <f>+CD88/CB88-1</f>
        <v>-0.26683497776121723</v>
      </c>
      <c r="CE90" s="788">
        <f>+CE88/CD88-1</f>
        <v>2.906102295689017E-2</v>
      </c>
      <c r="CF90" s="788">
        <f>+CF88/CE88-1</f>
        <v>0.27589418237691921</v>
      </c>
      <c r="CG90" s="788">
        <f>+CG88/CF88-1</f>
        <v>7.9863876292965319E-2</v>
      </c>
      <c r="CH90" s="762"/>
      <c r="CI90" s="788">
        <f>+CI88/CG88-1</f>
        <v>-0.24754532210819291</v>
      </c>
      <c r="CJ90" s="788">
        <f>+CJ88/CI88-1</f>
        <v>2.5396339966996528E-3</v>
      </c>
      <c r="CK90" s="788">
        <f>+CK88/CJ88-1</f>
        <v>0.28021746267757974</v>
      </c>
      <c r="CL90" s="788">
        <f>+CL88/CK88-1</f>
        <v>8.0101775702131617E-2</v>
      </c>
      <c r="CM90" s="762"/>
      <c r="CN90" s="788">
        <f>+CN88/CL88-1</f>
        <v>-0.23111663505931135</v>
      </c>
      <c r="CO90" s="788">
        <f>+CO88/CN88-1</f>
        <v>-2.3338367466305243E-2</v>
      </c>
      <c r="CP90" s="788">
        <f>+CP88/CO88-1</f>
        <v>0.28717252437156682</v>
      </c>
      <c r="CQ90" s="788">
        <f>+CQ88/CP88-1</f>
        <v>7.7645013185598577E-2</v>
      </c>
      <c r="CR90" s="762"/>
      <c r="CT90" s="797"/>
      <c r="CU90" s="797"/>
      <c r="CW90" s="725"/>
      <c r="CX90" s="725"/>
      <c r="CY90" s="725"/>
      <c r="CZ90" s="725"/>
      <c r="DA90" s="725"/>
      <c r="DB90" s="725"/>
      <c r="DC90" s="725"/>
      <c r="DD90" s="725"/>
      <c r="DE90" s="725"/>
      <c r="DF90" s="725"/>
      <c r="DG90" s="725"/>
      <c r="DH90" s="725"/>
      <c r="DI90" s="725"/>
    </row>
    <row r="91" spans="1:113" ht="12" hidden="1" customHeight="1" outlineLevel="1">
      <c r="A91" s="733"/>
      <c r="B91" s="791"/>
      <c r="C91" s="791"/>
      <c r="D91" s="791"/>
      <c r="E91" s="791"/>
      <c r="F91" s="792"/>
      <c r="G91" s="791"/>
      <c r="H91" s="791"/>
      <c r="I91" s="791"/>
      <c r="J91" s="791"/>
      <c r="K91" s="792"/>
      <c r="L91" s="791"/>
      <c r="M91" s="791"/>
      <c r="N91" s="791"/>
      <c r="O91" s="791"/>
      <c r="P91" s="735"/>
      <c r="Q91" s="791"/>
      <c r="R91" s="791"/>
      <c r="S91" s="791"/>
      <c r="T91" s="791"/>
      <c r="U91" s="792"/>
      <c r="V91" s="791"/>
      <c r="W91" s="791"/>
      <c r="X91" s="791"/>
      <c r="Y91" s="791"/>
      <c r="Z91" s="792"/>
      <c r="AA91" s="791"/>
      <c r="AB91" s="791"/>
      <c r="AC91" s="791"/>
      <c r="AD91" s="791"/>
      <c r="AE91" s="735"/>
      <c r="AF91" s="785"/>
      <c r="AG91" s="785"/>
      <c r="AH91" s="785"/>
      <c r="AI91" s="785"/>
      <c r="AJ91" s="735"/>
      <c r="AK91" s="785"/>
      <c r="AL91" s="785"/>
      <c r="AM91" s="785"/>
      <c r="AN91" s="785"/>
      <c r="AO91" s="735"/>
      <c r="AP91" s="788"/>
      <c r="AQ91" s="788"/>
      <c r="AR91" s="788"/>
      <c r="AS91" s="785"/>
      <c r="AT91" s="735"/>
      <c r="AU91" s="788"/>
      <c r="AV91" s="788"/>
      <c r="AW91" s="788"/>
      <c r="AX91" s="785"/>
      <c r="AY91" s="792"/>
      <c r="AZ91" s="788"/>
      <c r="BA91" s="788"/>
      <c r="BB91" s="788"/>
      <c r="BC91" s="785"/>
      <c r="BD91" s="792"/>
      <c r="BE91" s="788"/>
      <c r="BF91" s="773"/>
      <c r="BG91" s="773"/>
      <c r="BH91" s="773"/>
      <c r="BI91" s="792"/>
      <c r="BJ91" s="788"/>
      <c r="BK91" s="773"/>
      <c r="BL91" s="773"/>
      <c r="BM91" s="773"/>
      <c r="BN91" s="792"/>
      <c r="BO91" s="788"/>
      <c r="BP91" s="773"/>
      <c r="BQ91" s="773"/>
      <c r="BR91" s="773"/>
      <c r="BS91" s="792"/>
      <c r="BT91" s="788"/>
      <c r="BU91" s="773"/>
      <c r="BV91" s="773"/>
      <c r="BW91" s="773"/>
      <c r="BX91" s="792"/>
      <c r="BY91" s="773"/>
      <c r="BZ91" s="773"/>
      <c r="CA91" s="773"/>
      <c r="CB91" s="773"/>
      <c r="CC91" s="792"/>
      <c r="CD91" s="773"/>
      <c r="CE91" s="773"/>
      <c r="CF91" s="773"/>
      <c r="CG91" s="773"/>
      <c r="CH91" s="792"/>
      <c r="CI91" s="773"/>
      <c r="CJ91" s="773"/>
      <c r="CK91" s="773"/>
      <c r="CL91" s="773"/>
      <c r="CM91" s="792"/>
      <c r="CN91" s="773"/>
      <c r="CO91" s="773"/>
      <c r="CP91" s="773"/>
      <c r="CQ91" s="773"/>
      <c r="CR91" s="792"/>
      <c r="CT91" s="797"/>
      <c r="CU91" s="797"/>
      <c r="CW91" s="725"/>
      <c r="CX91" s="725"/>
      <c r="CY91" s="725"/>
      <c r="CZ91" s="725"/>
      <c r="DA91" s="725"/>
      <c r="DB91" s="725"/>
      <c r="DC91" s="725"/>
      <c r="DD91" s="725"/>
      <c r="DE91" s="725"/>
      <c r="DF91" s="725"/>
      <c r="DG91" s="725"/>
      <c r="DH91" s="725"/>
      <c r="DI91" s="725"/>
    </row>
    <row r="92" spans="1:113" ht="12" hidden="1" customHeight="1" outlineLevel="1">
      <c r="A92" s="760" t="s">
        <v>915</v>
      </c>
      <c r="B92" s="798"/>
      <c r="C92" s="730"/>
      <c r="D92" s="730"/>
      <c r="E92" s="798"/>
      <c r="F92" s="756"/>
      <c r="G92" s="798"/>
      <c r="H92" s="730"/>
      <c r="I92" s="730"/>
      <c r="J92" s="798"/>
      <c r="K92" s="756"/>
      <c r="L92" s="730"/>
      <c r="M92" s="730"/>
      <c r="N92" s="730"/>
      <c r="O92" s="730"/>
      <c r="P92" s="756"/>
      <c r="Q92" s="798"/>
      <c r="R92" s="730"/>
      <c r="S92" s="730"/>
      <c r="T92" s="798"/>
      <c r="U92" s="756"/>
      <c r="V92" s="798"/>
      <c r="W92" s="730"/>
      <c r="X92" s="730"/>
      <c r="Y92" s="798"/>
      <c r="Z92" s="756"/>
      <c r="AA92" s="730"/>
      <c r="AB92" s="730"/>
      <c r="AC92" s="730"/>
      <c r="AD92" s="730"/>
      <c r="AE92" s="756"/>
      <c r="AF92" s="730"/>
      <c r="AG92" s="730"/>
      <c r="AH92" s="730"/>
      <c r="AI92" s="730"/>
      <c r="AJ92" s="736"/>
      <c r="AK92" s="730"/>
      <c r="AL92" s="730"/>
      <c r="AM92" s="730"/>
      <c r="AN92" s="730"/>
      <c r="AO92" s="736"/>
      <c r="AP92" s="730"/>
      <c r="AQ92" s="730"/>
      <c r="AR92" s="730"/>
      <c r="AS92" s="730"/>
      <c r="AT92" s="736"/>
      <c r="AU92" s="730"/>
      <c r="AV92" s="730"/>
      <c r="AW92" s="730"/>
      <c r="AX92" s="730"/>
      <c r="AY92" s="799"/>
      <c r="AZ92" s="730"/>
      <c r="BA92" s="730"/>
      <c r="BB92" s="730"/>
      <c r="BC92" s="730"/>
      <c r="BD92" s="799"/>
      <c r="BE92" s="730"/>
      <c r="BF92" s="800"/>
      <c r="BG92" s="800"/>
      <c r="BH92" s="800"/>
      <c r="BI92" s="799"/>
      <c r="BJ92" s="730"/>
      <c r="BK92" s="800"/>
      <c r="BL92" s="800"/>
      <c r="BM92" s="800"/>
      <c r="BN92" s="799"/>
      <c r="BO92" s="730"/>
      <c r="BP92" s="800"/>
      <c r="BQ92" s="800"/>
      <c r="BR92" s="800"/>
      <c r="BS92" s="799"/>
      <c r="BT92" s="730"/>
      <c r="BU92" s="800"/>
      <c r="BV92" s="800"/>
      <c r="BW92" s="800"/>
      <c r="BX92" s="799"/>
      <c r="BY92" s="800"/>
      <c r="BZ92" s="800"/>
      <c r="CA92" s="800"/>
      <c r="CB92" s="800"/>
      <c r="CC92" s="799"/>
      <c r="CD92" s="800"/>
      <c r="CE92" s="800"/>
      <c r="CF92" s="800"/>
      <c r="CG92" s="800"/>
      <c r="CH92" s="799"/>
      <c r="CI92" s="800"/>
      <c r="CJ92" s="800"/>
      <c r="CK92" s="800"/>
      <c r="CL92" s="800"/>
      <c r="CM92" s="799"/>
      <c r="CN92" s="800"/>
      <c r="CO92" s="800"/>
      <c r="CP92" s="800"/>
      <c r="CQ92" s="800"/>
      <c r="CR92" s="799"/>
      <c r="CT92" s="801"/>
      <c r="CU92" s="801"/>
      <c r="CW92" s="725"/>
      <c r="CX92" s="725"/>
      <c r="CY92" s="725"/>
      <c r="CZ92" s="725"/>
      <c r="DA92" s="725"/>
      <c r="DB92" s="725"/>
      <c r="DC92" s="725"/>
      <c r="DD92" s="725"/>
      <c r="DE92" s="725"/>
      <c r="DF92" s="725"/>
      <c r="DG92" s="725"/>
      <c r="DH92" s="725"/>
      <c r="DI92" s="725"/>
    </row>
    <row r="93" spans="1:113" ht="12" hidden="1" customHeight="1" outlineLevel="1">
      <c r="A93" s="733" t="s">
        <v>881</v>
      </c>
      <c r="B93" s="798"/>
      <c r="C93" s="730"/>
      <c r="D93" s="730"/>
      <c r="E93" s="798"/>
      <c r="F93" s="756"/>
      <c r="G93" s="798"/>
      <c r="H93" s="730"/>
      <c r="I93" s="730"/>
      <c r="J93" s="798"/>
      <c r="K93" s="756"/>
      <c r="L93" s="730"/>
      <c r="M93" s="730"/>
      <c r="N93" s="730"/>
      <c r="O93" s="730"/>
      <c r="P93" s="756"/>
      <c r="Q93" s="798"/>
      <c r="R93" s="730"/>
      <c r="S93" s="730"/>
      <c r="T93" s="798"/>
      <c r="U93" s="756"/>
      <c r="V93" s="798"/>
      <c r="W93" s="730"/>
      <c r="X93" s="730"/>
      <c r="Y93" s="798"/>
      <c r="Z93" s="756"/>
      <c r="AA93" s="730"/>
      <c r="AB93" s="730"/>
      <c r="AC93" s="730"/>
      <c r="AD93" s="730"/>
      <c r="AE93" s="756"/>
      <c r="AF93" s="730"/>
      <c r="AG93" s="730"/>
      <c r="AH93" s="730"/>
      <c r="AI93" s="730"/>
      <c r="AJ93" s="736"/>
      <c r="AK93" s="730"/>
      <c r="AL93" s="730"/>
      <c r="AM93" s="730"/>
      <c r="AN93" s="730"/>
      <c r="AO93" s="736"/>
      <c r="AP93" s="730"/>
      <c r="AQ93" s="730"/>
      <c r="AR93" s="730"/>
      <c r="AS93" s="730"/>
      <c r="AT93" s="736"/>
      <c r="AU93" s="730"/>
      <c r="AV93" s="730"/>
      <c r="AW93" s="730"/>
      <c r="AX93" s="730"/>
      <c r="AY93" s="799"/>
      <c r="AZ93" s="730"/>
      <c r="BA93" s="730"/>
      <c r="BB93" s="730"/>
      <c r="BC93" s="730"/>
      <c r="BD93" s="799"/>
      <c r="BE93" s="730"/>
      <c r="BF93" s="800"/>
      <c r="BG93" s="800"/>
      <c r="BH93" s="800"/>
      <c r="BI93" s="799"/>
      <c r="BJ93" s="730"/>
      <c r="BK93" s="800"/>
      <c r="BL93" s="800"/>
      <c r="BM93" s="800"/>
      <c r="BN93" s="799"/>
      <c r="BO93" s="730"/>
      <c r="BP93" s="800"/>
      <c r="BQ93" s="800"/>
      <c r="BR93" s="800"/>
      <c r="BS93" s="799"/>
      <c r="BT93" s="730"/>
      <c r="BU93" s="800"/>
      <c r="BV93" s="800"/>
      <c r="BW93" s="800"/>
      <c r="BX93" s="799"/>
      <c r="BY93" s="800"/>
      <c r="BZ93" s="800"/>
      <c r="CA93" s="800"/>
      <c r="CB93" s="800"/>
      <c r="CC93" s="799"/>
      <c r="CD93" s="800"/>
      <c r="CE93" s="800"/>
      <c r="CF93" s="800"/>
      <c r="CG93" s="800"/>
      <c r="CH93" s="799"/>
      <c r="CI93" s="800"/>
      <c r="CJ93" s="800"/>
      <c r="CK93" s="800"/>
      <c r="CL93" s="800"/>
      <c r="CM93" s="799"/>
      <c r="CN93" s="800"/>
      <c r="CO93" s="800"/>
      <c r="CP93" s="800"/>
      <c r="CQ93" s="800"/>
      <c r="CR93" s="799"/>
      <c r="CT93" s="801"/>
      <c r="CU93" s="801"/>
      <c r="CW93" s="725"/>
      <c r="CX93" s="725"/>
      <c r="CY93" s="725"/>
      <c r="CZ93" s="725"/>
      <c r="DA93" s="725"/>
      <c r="DB93" s="725"/>
      <c r="DC93" s="725"/>
      <c r="DD93" s="725"/>
      <c r="DE93" s="725"/>
      <c r="DF93" s="725"/>
      <c r="DG93" s="725"/>
      <c r="DH93" s="725"/>
      <c r="DI93" s="725"/>
    </row>
    <row r="94" spans="1:113" ht="12" hidden="1" customHeight="1" outlineLevel="1">
      <c r="A94" s="733" t="s">
        <v>883</v>
      </c>
      <c r="B94" s="798"/>
      <c r="C94" s="730"/>
      <c r="D94" s="730"/>
      <c r="E94" s="798"/>
      <c r="F94" s="756"/>
      <c r="G94" s="798"/>
      <c r="H94" s="730"/>
      <c r="I94" s="730"/>
      <c r="J94" s="798"/>
      <c r="K94" s="756"/>
      <c r="L94" s="730"/>
      <c r="M94" s="730"/>
      <c r="N94" s="730"/>
      <c r="O94" s="730"/>
      <c r="P94" s="756"/>
      <c r="Q94" s="798"/>
      <c r="R94" s="730"/>
      <c r="S94" s="730"/>
      <c r="T94" s="798"/>
      <c r="U94" s="756"/>
      <c r="V94" s="798"/>
      <c r="W94" s="730"/>
      <c r="X94" s="730"/>
      <c r="Y94" s="798"/>
      <c r="Z94" s="756"/>
      <c r="AA94" s="730"/>
      <c r="AB94" s="730"/>
      <c r="AC94" s="730"/>
      <c r="AD94" s="730"/>
      <c r="AE94" s="756"/>
      <c r="AF94" s="730"/>
      <c r="AG94" s="730"/>
      <c r="AH94" s="730"/>
      <c r="AI94" s="730"/>
      <c r="AJ94" s="736"/>
      <c r="AK94" s="730"/>
      <c r="AL94" s="730"/>
      <c r="AM94" s="730"/>
      <c r="AN94" s="730"/>
      <c r="AO94" s="736"/>
      <c r="AP94" s="730"/>
      <c r="AQ94" s="730"/>
      <c r="AR94" s="730"/>
      <c r="AS94" s="730"/>
      <c r="AT94" s="736"/>
      <c r="AU94" s="730"/>
      <c r="AV94" s="730"/>
      <c r="AW94" s="730"/>
      <c r="AX94" s="730"/>
      <c r="AY94" s="799"/>
      <c r="AZ94" s="730"/>
      <c r="BA94" s="730"/>
      <c r="BB94" s="730"/>
      <c r="BC94" s="730"/>
      <c r="BD94" s="799"/>
      <c r="BE94" s="730"/>
      <c r="BF94" s="800"/>
      <c r="BG94" s="800"/>
      <c r="BH94" s="800"/>
      <c r="BI94" s="799"/>
      <c r="BJ94" s="730"/>
      <c r="BK94" s="800"/>
      <c r="BL94" s="800"/>
      <c r="BM94" s="800"/>
      <c r="BN94" s="799"/>
      <c r="BO94" s="730"/>
      <c r="BP94" s="800"/>
      <c r="BQ94" s="800"/>
      <c r="BR94" s="800"/>
      <c r="BS94" s="799"/>
      <c r="BT94" s="730"/>
      <c r="BU94" s="800"/>
      <c r="BV94" s="800"/>
      <c r="BW94" s="800"/>
      <c r="BX94" s="799"/>
      <c r="BY94" s="800"/>
      <c r="BZ94" s="800"/>
      <c r="CA94" s="800"/>
      <c r="CB94" s="800"/>
      <c r="CC94" s="799"/>
      <c r="CD94" s="800"/>
      <c r="CE94" s="800"/>
      <c r="CF94" s="800"/>
      <c r="CG94" s="800"/>
      <c r="CH94" s="799"/>
      <c r="CI94" s="800"/>
      <c r="CJ94" s="800"/>
      <c r="CK94" s="800"/>
      <c r="CL94" s="800"/>
      <c r="CM94" s="799"/>
      <c r="CN94" s="800"/>
      <c r="CO94" s="800"/>
      <c r="CP94" s="800"/>
      <c r="CQ94" s="800"/>
      <c r="CR94" s="799"/>
      <c r="CT94" s="801"/>
      <c r="CU94" s="801"/>
      <c r="CW94" s="725"/>
      <c r="CX94" s="725"/>
      <c r="CY94" s="725"/>
      <c r="CZ94" s="725"/>
      <c r="DA94" s="725"/>
      <c r="DB94" s="725"/>
      <c r="DC94" s="725"/>
      <c r="DD94" s="725"/>
      <c r="DE94" s="725"/>
      <c r="DF94" s="725"/>
      <c r="DG94" s="725"/>
      <c r="DH94" s="725"/>
      <c r="DI94" s="725"/>
    </row>
    <row r="95" spans="1:113" ht="12" customHeight="1" collapsed="1">
      <c r="A95" s="733"/>
      <c r="B95" s="785"/>
      <c r="C95" s="785"/>
      <c r="D95" s="785"/>
      <c r="E95" s="785"/>
      <c r="F95" s="735"/>
      <c r="G95" s="785"/>
      <c r="H95" s="785"/>
      <c r="I95" s="785"/>
      <c r="J95" s="785"/>
      <c r="K95" s="735"/>
      <c r="L95" s="785"/>
      <c r="M95" s="785"/>
      <c r="N95" s="785"/>
      <c r="O95" s="785"/>
      <c r="P95" s="735"/>
      <c r="Q95" s="785"/>
      <c r="R95" s="785"/>
      <c r="S95" s="785"/>
      <c r="T95" s="785"/>
      <c r="U95" s="735"/>
      <c r="V95" s="785"/>
      <c r="W95" s="785"/>
      <c r="X95" s="785"/>
      <c r="Y95" s="785"/>
      <c r="Z95" s="735"/>
      <c r="AA95" s="785"/>
      <c r="AB95" s="785"/>
      <c r="AC95" s="785"/>
      <c r="AD95" s="785"/>
      <c r="AE95" s="735"/>
      <c r="AF95" s="785"/>
      <c r="AG95" s="785"/>
      <c r="AH95" s="785"/>
      <c r="AI95" s="785"/>
      <c r="AJ95" s="735"/>
      <c r="AK95" s="785"/>
      <c r="AL95" s="785"/>
      <c r="AM95" s="785"/>
      <c r="AN95" s="785"/>
      <c r="AO95" s="735"/>
      <c r="AP95" s="785"/>
      <c r="AQ95" s="785"/>
      <c r="AR95" s="785"/>
      <c r="AS95" s="785"/>
      <c r="AT95" s="735"/>
      <c r="AU95" s="785"/>
      <c r="AV95" s="785"/>
      <c r="AW95" s="785"/>
      <c r="AX95" s="785"/>
      <c r="AY95" s="735"/>
      <c r="AZ95" s="785"/>
      <c r="BA95" s="785"/>
      <c r="BB95" s="785"/>
      <c r="BC95" s="785"/>
      <c r="BD95" s="735"/>
      <c r="BE95" s="785"/>
      <c r="BF95" s="785"/>
      <c r="BG95" s="785"/>
      <c r="BH95" s="785"/>
      <c r="BI95" s="735"/>
      <c r="BJ95" s="785"/>
      <c r="BK95" s="785"/>
      <c r="BL95" s="785"/>
      <c r="BM95" s="785"/>
      <c r="BN95" s="735"/>
      <c r="BO95" s="785"/>
      <c r="BP95" s="785"/>
      <c r="BQ95" s="785"/>
      <c r="BR95" s="785"/>
      <c r="BS95" s="735"/>
      <c r="BT95" s="785"/>
      <c r="BU95" s="785"/>
      <c r="BV95" s="785"/>
      <c r="BW95" s="785"/>
      <c r="BX95" s="735"/>
      <c r="BY95" s="785"/>
      <c r="BZ95" s="785"/>
      <c r="CA95" s="785"/>
      <c r="CB95" s="785"/>
      <c r="CC95" s="735"/>
      <c r="CD95" s="785"/>
      <c r="CE95" s="785"/>
      <c r="CF95" s="785"/>
      <c r="CG95" s="785"/>
      <c r="CH95" s="735"/>
      <c r="CI95" s="785"/>
      <c r="CJ95" s="785"/>
      <c r="CK95" s="785"/>
      <c r="CL95" s="785"/>
      <c r="CM95" s="735"/>
      <c r="CN95" s="785"/>
      <c r="CO95" s="785"/>
      <c r="CP95" s="785"/>
      <c r="CQ95" s="785"/>
      <c r="CR95" s="735"/>
      <c r="CT95" s="755"/>
      <c r="CU95" s="755"/>
      <c r="CW95" s="725"/>
      <c r="CX95" s="725"/>
      <c r="CY95" s="725"/>
      <c r="CZ95" s="725"/>
      <c r="DA95" s="725"/>
      <c r="DB95" s="725"/>
      <c r="DC95" s="725"/>
      <c r="DD95" s="725"/>
      <c r="DE95" s="725"/>
      <c r="DF95" s="725"/>
      <c r="DG95" s="725"/>
      <c r="DH95" s="725"/>
      <c r="DI95" s="725"/>
    </row>
    <row r="96" spans="1:113" ht="12" customHeight="1">
      <c r="A96" s="760" t="s">
        <v>916</v>
      </c>
      <c r="B96" s="731"/>
      <c r="C96" s="731"/>
      <c r="D96" s="731"/>
      <c r="E96" s="731"/>
      <c r="F96" s="729"/>
      <c r="G96" s="731"/>
      <c r="H96" s="731"/>
      <c r="I96" s="731"/>
      <c r="J96" s="681"/>
      <c r="K96" s="781"/>
      <c r="L96" s="681"/>
      <c r="M96" s="681"/>
      <c r="N96" s="681"/>
      <c r="O96" s="681"/>
      <c r="P96" s="781"/>
      <c r="Q96" s="681"/>
      <c r="R96" s="681"/>
      <c r="S96" s="681"/>
      <c r="T96" s="681"/>
      <c r="U96" s="781"/>
      <c r="V96" s="681"/>
      <c r="W96" s="681"/>
      <c r="X96" s="681"/>
      <c r="Y96" s="681"/>
      <c r="Z96" s="781"/>
      <c r="AA96" s="681"/>
      <c r="AB96" s="681"/>
      <c r="AC96" s="681"/>
      <c r="AD96" s="681"/>
      <c r="AE96" s="781"/>
      <c r="AF96" s="681"/>
      <c r="AG96" s="681"/>
      <c r="AH96" s="681"/>
      <c r="AI96" s="681"/>
      <c r="AJ96" s="762"/>
      <c r="AK96" s="681"/>
      <c r="AL96" s="681"/>
      <c r="AM96" s="681"/>
      <c r="AN96" s="681"/>
      <c r="AO96" s="781">
        <f>+AO100+AO105</f>
        <v>76.78</v>
      </c>
      <c r="AP96" s="681"/>
      <c r="AQ96" s="681"/>
      <c r="AR96" s="681"/>
      <c r="AS96" s="681"/>
      <c r="AT96" s="781">
        <f>+AT100+AT105</f>
        <v>144.68299999999999</v>
      </c>
      <c r="AU96" s="681">
        <f t="shared" ref="AU96:AZ96" si="43">+AU100+AU105</f>
        <v>128.44550000000001</v>
      </c>
      <c r="AV96" s="681">
        <f t="shared" si="43"/>
        <v>112.208</v>
      </c>
      <c r="AW96" s="681">
        <f t="shared" si="43"/>
        <v>76.835999999999999</v>
      </c>
      <c r="AX96" s="681">
        <f t="shared" si="43"/>
        <v>90.173000000000002</v>
      </c>
      <c r="AY96" s="781">
        <f t="shared" si="43"/>
        <v>90.173000000000002</v>
      </c>
      <c r="AZ96" s="681">
        <f t="shared" si="43"/>
        <v>99.783000000000001</v>
      </c>
      <c r="BA96" s="681">
        <f>+BA100+BA105</f>
        <v>110.255</v>
      </c>
      <c r="BB96" s="681">
        <f>+BB100+BB105</f>
        <v>149.38300000000001</v>
      </c>
      <c r="BC96" s="681">
        <f>+BC100+BC105</f>
        <v>192.13299999999998</v>
      </c>
      <c r="BD96" s="781">
        <f>+BD100+BD105</f>
        <v>192.13299999999998</v>
      </c>
      <c r="BE96" s="681">
        <f>+BE100+BE105</f>
        <v>179.68400000000003</v>
      </c>
      <c r="BF96" s="681">
        <f t="shared" ref="BF96:CR96" si="44">+BF100+BF105</f>
        <v>179.71800000000002</v>
      </c>
      <c r="BG96" s="681">
        <f t="shared" si="44"/>
        <v>175.98000000000002</v>
      </c>
      <c r="BH96" s="681">
        <f t="shared" si="44"/>
        <v>206.33100000000002</v>
      </c>
      <c r="BI96" s="781">
        <f t="shared" si="44"/>
        <v>206.33100000000002</v>
      </c>
      <c r="BJ96" s="681">
        <f t="shared" si="44"/>
        <v>182.929</v>
      </c>
      <c r="BK96" s="681">
        <f t="shared" si="44"/>
        <v>173.03399999999999</v>
      </c>
      <c r="BL96" s="681">
        <f>+BL100+BL105</f>
        <v>179.08599999999998</v>
      </c>
      <c r="BM96" s="681">
        <f t="shared" si="44"/>
        <v>215.215</v>
      </c>
      <c r="BN96" s="781">
        <f t="shared" si="44"/>
        <v>215.215</v>
      </c>
      <c r="BO96" s="681">
        <f>+BO100+BO105</f>
        <v>188.81200000000001</v>
      </c>
      <c r="BP96" s="681">
        <f t="shared" ref="BP96" si="45">+BP100+BP105</f>
        <v>172.50300000000001</v>
      </c>
      <c r="BQ96" s="681">
        <f>+BQ100+BQ105</f>
        <v>190.107</v>
      </c>
      <c r="BR96" s="681">
        <f t="shared" si="44"/>
        <v>218.27600000000001</v>
      </c>
      <c r="BS96" s="781">
        <f t="shared" si="44"/>
        <v>218.27600000000001</v>
      </c>
      <c r="BT96" s="681">
        <f>+BT100+BT105</f>
        <v>206.143</v>
      </c>
      <c r="BU96" s="681">
        <f t="shared" si="44"/>
        <v>186.143</v>
      </c>
      <c r="BV96" s="681">
        <f t="shared" si="44"/>
        <v>202.143</v>
      </c>
      <c r="BW96" s="681">
        <f t="shared" si="44"/>
        <v>224.143</v>
      </c>
      <c r="BX96" s="781">
        <f t="shared" si="44"/>
        <v>224.143</v>
      </c>
      <c r="BY96" s="681">
        <f t="shared" si="44"/>
        <v>198.143</v>
      </c>
      <c r="BZ96" s="681">
        <f t="shared" si="44"/>
        <v>182.143</v>
      </c>
      <c r="CA96" s="681">
        <f t="shared" si="44"/>
        <v>201.143</v>
      </c>
      <c r="CB96" s="681">
        <f t="shared" si="44"/>
        <v>231.143</v>
      </c>
      <c r="CC96" s="781">
        <f t="shared" si="44"/>
        <v>231.143</v>
      </c>
      <c r="CD96" s="681">
        <f t="shared" si="44"/>
        <v>204.393</v>
      </c>
      <c r="CE96" s="681">
        <f t="shared" si="44"/>
        <v>187.893</v>
      </c>
      <c r="CF96" s="681">
        <f t="shared" si="44"/>
        <v>207.893</v>
      </c>
      <c r="CG96" s="681">
        <f t="shared" si="44"/>
        <v>238.893</v>
      </c>
      <c r="CH96" s="781">
        <f t="shared" si="44"/>
        <v>238.893</v>
      </c>
      <c r="CI96" s="681">
        <f t="shared" si="44"/>
        <v>211.393</v>
      </c>
      <c r="CJ96" s="681">
        <f t="shared" si="44"/>
        <v>194.393</v>
      </c>
      <c r="CK96" s="681">
        <f t="shared" si="44"/>
        <v>215.393</v>
      </c>
      <c r="CL96" s="681">
        <f t="shared" si="44"/>
        <v>247.893</v>
      </c>
      <c r="CM96" s="781">
        <f t="shared" si="44"/>
        <v>247.893</v>
      </c>
      <c r="CN96" s="681">
        <f t="shared" si="44"/>
        <v>219.393</v>
      </c>
      <c r="CO96" s="681">
        <f t="shared" si="44"/>
        <v>201.893</v>
      </c>
      <c r="CP96" s="681">
        <f t="shared" si="44"/>
        <v>223.893</v>
      </c>
      <c r="CQ96" s="681">
        <f t="shared" si="44"/>
        <v>257.39300000000003</v>
      </c>
      <c r="CR96" s="781">
        <f t="shared" si="44"/>
        <v>257.39300000000003</v>
      </c>
      <c r="CT96" s="755"/>
      <c r="CU96" s="755"/>
      <c r="CW96" s="725"/>
      <c r="CX96" s="725"/>
      <c r="CY96" s="725"/>
      <c r="CZ96" s="725"/>
      <c r="DA96" s="725"/>
      <c r="DB96" s="725"/>
      <c r="DC96" s="725"/>
      <c r="DD96" s="725"/>
      <c r="DE96" s="725"/>
      <c r="DF96" s="725"/>
      <c r="DG96" s="725"/>
      <c r="DH96" s="725"/>
      <c r="DI96" s="725"/>
    </row>
    <row r="97" spans="1:113" ht="12" customHeight="1">
      <c r="A97" s="733" t="s">
        <v>881</v>
      </c>
      <c r="B97" s="687"/>
      <c r="C97" s="731"/>
      <c r="D97" s="731"/>
      <c r="E97" s="731"/>
      <c r="F97" s="736"/>
      <c r="G97" s="687"/>
      <c r="H97" s="731"/>
      <c r="I97" s="731"/>
      <c r="J97" s="731"/>
      <c r="K97" s="736"/>
      <c r="L97" s="731"/>
      <c r="M97" s="731"/>
      <c r="N97" s="731"/>
      <c r="O97" s="731"/>
      <c r="P97" s="736"/>
      <c r="Q97" s="687"/>
      <c r="R97" s="731"/>
      <c r="S97" s="731"/>
      <c r="T97" s="731"/>
      <c r="U97" s="736"/>
      <c r="V97" s="785"/>
      <c r="W97" s="785"/>
      <c r="X97" s="785"/>
      <c r="Y97" s="785"/>
      <c r="Z97" s="735"/>
      <c r="AA97" s="785"/>
      <c r="AB97" s="785"/>
      <c r="AC97" s="785"/>
      <c r="AD97" s="785"/>
      <c r="AE97" s="735"/>
      <c r="AF97" s="785"/>
      <c r="AG97" s="785"/>
      <c r="AH97" s="785"/>
      <c r="AI97" s="785"/>
      <c r="AJ97" s="735"/>
      <c r="AK97" s="785"/>
      <c r="AL97" s="785"/>
      <c r="AM97" s="785"/>
      <c r="AN97" s="785"/>
      <c r="AO97" s="735"/>
      <c r="AP97" s="785"/>
      <c r="AQ97" s="785"/>
      <c r="AR97" s="785"/>
      <c r="AS97" s="785"/>
      <c r="AT97" s="735">
        <f>+AT96/AO96-1</f>
        <v>0.88438395415472759</v>
      </c>
      <c r="AU97" s="785"/>
      <c r="AV97" s="785"/>
      <c r="AW97" s="785"/>
      <c r="AX97" s="785"/>
      <c r="AY97" s="735">
        <f t="shared" ref="AY97:CR97" si="46">+AY96/AT96-1</f>
        <v>-0.37675469820227669</v>
      </c>
      <c r="AZ97" s="785">
        <f t="shared" si="46"/>
        <v>-0.22314911771918833</v>
      </c>
      <c r="BA97" s="785">
        <f t="shared" si="46"/>
        <v>-1.740517610152581E-2</v>
      </c>
      <c r="BB97" s="785">
        <f t="shared" si="46"/>
        <v>0.94417981154667108</v>
      </c>
      <c r="BC97" s="785">
        <f t="shared" si="46"/>
        <v>1.1307154026149733</v>
      </c>
      <c r="BD97" s="735">
        <f t="shared" si="46"/>
        <v>1.1307154026149733</v>
      </c>
      <c r="BE97" s="785">
        <f t="shared" si="46"/>
        <v>0.80074762234047903</v>
      </c>
      <c r="BF97" s="785">
        <f t="shared" si="46"/>
        <v>0.63002131422611241</v>
      </c>
      <c r="BG97" s="785">
        <f t="shared" si="46"/>
        <v>0.1780456946238862</v>
      </c>
      <c r="BH97" s="785">
        <f t="shared" si="46"/>
        <v>7.3896727787522432E-2</v>
      </c>
      <c r="BI97" s="735">
        <f t="shared" si="46"/>
        <v>7.3896727787522432E-2</v>
      </c>
      <c r="BJ97" s="785">
        <f t="shared" si="46"/>
        <v>1.8059482202088084E-2</v>
      </c>
      <c r="BK97" s="785">
        <f t="shared" si="46"/>
        <v>-3.7191600173605455E-2</v>
      </c>
      <c r="BL97" s="785">
        <f t="shared" si="46"/>
        <v>1.7649732924195805E-2</v>
      </c>
      <c r="BM97" s="785">
        <f t="shared" si="46"/>
        <v>4.3057029724083984E-2</v>
      </c>
      <c r="BN97" s="735">
        <f t="shared" si="46"/>
        <v>4.3057029724083984E-2</v>
      </c>
      <c r="BO97" s="785">
        <f t="shared" si="46"/>
        <v>3.2160018367782151E-2</v>
      </c>
      <c r="BP97" s="785">
        <f t="shared" si="46"/>
        <v>-3.0687610527408982E-3</v>
      </c>
      <c r="BQ97" s="785">
        <f t="shared" si="46"/>
        <v>6.1540265570731556E-2</v>
      </c>
      <c r="BR97" s="785">
        <f t="shared" si="46"/>
        <v>1.4222986316009711E-2</v>
      </c>
      <c r="BS97" s="735">
        <f t="shared" si="46"/>
        <v>1.4222986316009711E-2</v>
      </c>
      <c r="BT97" s="785">
        <f t="shared" si="46"/>
        <v>9.1789716755291018E-2</v>
      </c>
      <c r="BU97" s="785">
        <f t="shared" si="46"/>
        <v>7.9071088618748675E-2</v>
      </c>
      <c r="BV97" s="785">
        <f t="shared" si="46"/>
        <v>6.3311713929523838E-2</v>
      </c>
      <c r="BW97" s="785">
        <f t="shared" si="46"/>
        <v>2.6878813978632454E-2</v>
      </c>
      <c r="BX97" s="735">
        <f t="shared" si="46"/>
        <v>2.6878813978632454E-2</v>
      </c>
      <c r="BY97" s="785">
        <f t="shared" si="46"/>
        <v>-3.8808011914059692E-2</v>
      </c>
      <c r="BZ97" s="785">
        <f t="shared" si="46"/>
        <v>-2.1488855342398083E-2</v>
      </c>
      <c r="CA97" s="785">
        <f t="shared" si="46"/>
        <v>-4.946992970322972E-3</v>
      </c>
      <c r="CB97" s="785">
        <f t="shared" si="46"/>
        <v>3.123006295088393E-2</v>
      </c>
      <c r="CC97" s="735">
        <f t="shared" si="46"/>
        <v>3.123006295088393E-2</v>
      </c>
      <c r="CD97" s="785">
        <f t="shared" si="46"/>
        <v>3.1542875599945397E-2</v>
      </c>
      <c r="CE97" s="785">
        <f t="shared" si="46"/>
        <v>3.1568602691292025E-2</v>
      </c>
      <c r="CF97" s="785">
        <f t="shared" si="46"/>
        <v>3.3558214802404285E-2</v>
      </c>
      <c r="CG97" s="785">
        <f t="shared" si="46"/>
        <v>3.3529027485149854E-2</v>
      </c>
      <c r="CH97" s="735">
        <f t="shared" si="46"/>
        <v>3.3529027485149854E-2</v>
      </c>
      <c r="CI97" s="785">
        <f t="shared" si="46"/>
        <v>3.4247748210555207E-2</v>
      </c>
      <c r="CJ97" s="785">
        <f t="shared" si="46"/>
        <v>3.4594157312938689E-2</v>
      </c>
      <c r="CK97" s="785">
        <f t="shared" si="46"/>
        <v>3.6076250763613871E-2</v>
      </c>
      <c r="CL97" s="785">
        <f t="shared" si="46"/>
        <v>3.7673770265348905E-2</v>
      </c>
      <c r="CM97" s="735">
        <f t="shared" si="46"/>
        <v>3.7673770265348905E-2</v>
      </c>
      <c r="CN97" s="785">
        <f t="shared" si="46"/>
        <v>3.7844204869603049E-2</v>
      </c>
      <c r="CO97" s="785">
        <f t="shared" si="46"/>
        <v>3.8581636170026634E-2</v>
      </c>
      <c r="CP97" s="785">
        <f t="shared" si="46"/>
        <v>3.9462749485823512E-2</v>
      </c>
      <c r="CQ97" s="785">
        <f t="shared" si="46"/>
        <v>3.8322986127079073E-2</v>
      </c>
      <c r="CR97" s="735">
        <f t="shared" si="46"/>
        <v>3.8322986127079073E-2</v>
      </c>
      <c r="CT97" s="755"/>
      <c r="CU97" s="755"/>
      <c r="CW97" s="725"/>
      <c r="CX97" s="725"/>
      <c r="CY97" s="725"/>
      <c r="CZ97" s="725"/>
      <c r="DA97" s="725"/>
      <c r="DB97" s="725"/>
      <c r="DC97" s="725"/>
      <c r="DD97" s="725"/>
      <c r="DE97" s="725"/>
      <c r="DF97" s="725"/>
      <c r="DG97" s="725"/>
      <c r="DH97" s="725"/>
      <c r="DI97" s="725"/>
    </row>
    <row r="98" spans="1:113" ht="12" customHeight="1">
      <c r="A98" s="733" t="s">
        <v>883</v>
      </c>
      <c r="B98" s="687"/>
      <c r="C98" s="731"/>
      <c r="D98" s="731"/>
      <c r="E98" s="731"/>
      <c r="F98" s="736"/>
      <c r="G98" s="687"/>
      <c r="H98" s="731"/>
      <c r="I98" s="731"/>
      <c r="J98" s="731"/>
      <c r="K98" s="736"/>
      <c r="L98" s="731"/>
      <c r="M98" s="731"/>
      <c r="N98" s="731"/>
      <c r="O98" s="731"/>
      <c r="P98" s="736"/>
      <c r="Q98" s="687"/>
      <c r="R98" s="734"/>
      <c r="S98" s="734"/>
      <c r="T98" s="734"/>
      <c r="U98" s="736"/>
      <c r="V98" s="734"/>
      <c r="W98" s="734"/>
      <c r="X98" s="734"/>
      <c r="Y98" s="734"/>
      <c r="Z98" s="736"/>
      <c r="AA98" s="734"/>
      <c r="AB98" s="734"/>
      <c r="AC98" s="734"/>
      <c r="AD98" s="734"/>
      <c r="AE98" s="736"/>
      <c r="AF98" s="734"/>
      <c r="AG98" s="734"/>
      <c r="AH98" s="734"/>
      <c r="AI98" s="734"/>
      <c r="AJ98" s="736"/>
      <c r="AK98" s="734"/>
      <c r="AL98" s="734"/>
      <c r="AM98" s="734"/>
      <c r="AN98" s="734"/>
      <c r="AO98" s="736"/>
      <c r="AP98" s="734"/>
      <c r="AQ98" s="734"/>
      <c r="AR98" s="734"/>
      <c r="AS98" s="734"/>
      <c r="AT98" s="736"/>
      <c r="AU98" s="734"/>
      <c r="AV98" s="734">
        <f>+AV96/AU96-1</f>
        <v>-0.12641548360978005</v>
      </c>
      <c r="AW98" s="734">
        <f>+AW96/AV96-1</f>
        <v>-0.31523599030372162</v>
      </c>
      <c r="AX98" s="734">
        <f>+AX96/AW96-1</f>
        <v>0.17357748971836129</v>
      </c>
      <c r="AY98" s="736"/>
      <c r="AZ98" s="734">
        <f>+AZ96/AX96-1</f>
        <v>0.10657292094085813</v>
      </c>
      <c r="BA98" s="734">
        <f>+BA96/AZ96-1</f>
        <v>0.10494773658839684</v>
      </c>
      <c r="BB98" s="734">
        <f>+BB96/BA96-1</f>
        <v>0.35488639970976377</v>
      </c>
      <c r="BC98" s="734">
        <f>+BC96/BB96-1</f>
        <v>0.28617714197733313</v>
      </c>
      <c r="BD98" s="736"/>
      <c r="BE98" s="734">
        <f>+BE96/BC96-1</f>
        <v>-6.4793658559435197E-2</v>
      </c>
      <c r="BF98" s="734">
        <f>+BF96/BE96-1</f>
        <v>1.8922107700181101E-4</v>
      </c>
      <c r="BG98" s="734">
        <f>+BG96/BF96-1</f>
        <v>-2.0799252161720072E-2</v>
      </c>
      <c r="BH98" s="734">
        <f>+BH96/BG96-1</f>
        <v>0.17246846232526414</v>
      </c>
      <c r="BI98" s="736"/>
      <c r="BJ98" s="734">
        <f>+BJ96/BH96-1</f>
        <v>-0.11341969941501773</v>
      </c>
      <c r="BK98" s="734">
        <f>+BK96/BJ96-1</f>
        <v>-5.4092024774639369E-2</v>
      </c>
      <c r="BL98" s="734">
        <f>+BL96/BK96-1</f>
        <v>3.4975785105817225E-2</v>
      </c>
      <c r="BM98" s="734">
        <f>+BM96/BL96-1</f>
        <v>0.20174106295299477</v>
      </c>
      <c r="BN98" s="736"/>
      <c r="BO98" s="734">
        <f>+BO96/BM96-1</f>
        <v>-0.12268196919359708</v>
      </c>
      <c r="BP98" s="734">
        <f>+BP96/BO96-1</f>
        <v>-8.6376925195432497E-2</v>
      </c>
      <c r="BQ98" s="734">
        <f>+BQ96/BP96-1</f>
        <v>0.10205039912349334</v>
      </c>
      <c r="BR98" s="734">
        <f>+BR96/BQ96-1</f>
        <v>0.14817444912601863</v>
      </c>
      <c r="BS98" s="736"/>
      <c r="BT98" s="734">
        <f>+BT96/BR96-1</f>
        <v>-5.5585588887463566E-2</v>
      </c>
      <c r="BU98" s="734">
        <f>+BU96/BT96-1</f>
        <v>-9.702002978514912E-2</v>
      </c>
      <c r="BV98" s="734">
        <f>+BV96/BU96-1</f>
        <v>8.5955421369592111E-2</v>
      </c>
      <c r="BW98" s="734">
        <f>+BW96/BV96-1</f>
        <v>0.10883384534710583</v>
      </c>
      <c r="BX98" s="736"/>
      <c r="BY98" s="734">
        <f>+BY96/BW96-1</f>
        <v>-0.1159973766747121</v>
      </c>
      <c r="BZ98" s="734">
        <f>+BZ96/BY96-1</f>
        <v>-8.0749761535860443E-2</v>
      </c>
      <c r="CA98" s="734">
        <f>+CA96/BZ96-1</f>
        <v>0.10431364367557361</v>
      </c>
      <c r="CB98" s="734">
        <f>+CB96/CA96-1</f>
        <v>0.14914762134401882</v>
      </c>
      <c r="CC98" s="736"/>
      <c r="CD98" s="734">
        <f>+CD96/CB96-1</f>
        <v>-0.115729223900356</v>
      </c>
      <c r="CE98" s="734">
        <f>+CE96/CD96-1</f>
        <v>-8.0726835067737146E-2</v>
      </c>
      <c r="CF98" s="734">
        <f>+CF96/CE96-1</f>
        <v>0.10644356096288843</v>
      </c>
      <c r="CG98" s="734">
        <f>+CG96/CF96-1</f>
        <v>0.14911516982293782</v>
      </c>
      <c r="CH98" s="736"/>
      <c r="CI98" s="734">
        <f>+CI96/CG96-1</f>
        <v>-0.11511429803301054</v>
      </c>
      <c r="CJ98" s="734">
        <f>+CJ96/CI96-1</f>
        <v>-8.0418935347906451E-2</v>
      </c>
      <c r="CK98" s="734">
        <f>+CK96/CJ96-1</f>
        <v>0.10802858127607484</v>
      </c>
      <c r="CL98" s="734">
        <f>+CL96/CK96-1</f>
        <v>0.15088698332814898</v>
      </c>
      <c r="CM98" s="736"/>
      <c r="CN98" s="734">
        <f>+CN96/CL96-1</f>
        <v>-0.11496895838123711</v>
      </c>
      <c r="CO98" s="734">
        <f>+CO96/CN96-1</f>
        <v>-7.9765534907677127E-2</v>
      </c>
      <c r="CP98" s="734">
        <f>+CP96/CO96-1</f>
        <v>0.10896861208660025</v>
      </c>
      <c r="CQ98" s="734">
        <f>+CQ96/CP96-1</f>
        <v>0.14962504410588995</v>
      </c>
      <c r="CR98" s="736"/>
      <c r="CT98" s="755"/>
      <c r="CU98" s="755"/>
      <c r="CW98" s="725"/>
      <c r="CX98" s="725"/>
      <c r="CY98" s="725"/>
      <c r="CZ98" s="725"/>
      <c r="DA98" s="725"/>
      <c r="DB98" s="725"/>
      <c r="DC98" s="725"/>
      <c r="DD98" s="725"/>
      <c r="DE98" s="725"/>
      <c r="DF98" s="725"/>
      <c r="DG98" s="725"/>
      <c r="DH98" s="725"/>
      <c r="DI98" s="725"/>
    </row>
    <row r="99" spans="1:113" ht="12" customHeight="1">
      <c r="A99" s="802"/>
      <c r="B99" s="791"/>
      <c r="C99" s="791"/>
      <c r="D99" s="791"/>
      <c r="E99" s="791"/>
      <c r="F99" s="792"/>
      <c r="G99" s="791"/>
      <c r="H99" s="791"/>
      <c r="I99" s="791"/>
      <c r="J99" s="791"/>
      <c r="K99" s="792"/>
      <c r="L99" s="791"/>
      <c r="M99" s="791"/>
      <c r="N99" s="791"/>
      <c r="O99" s="791"/>
      <c r="P99" s="803"/>
      <c r="Q99" s="791"/>
      <c r="R99" s="791"/>
      <c r="S99" s="791"/>
      <c r="T99" s="791"/>
      <c r="U99" s="792"/>
      <c r="V99" s="791"/>
      <c r="W99" s="791"/>
      <c r="X99" s="791"/>
      <c r="Y99" s="791"/>
      <c r="Z99" s="792"/>
      <c r="AA99" s="791"/>
      <c r="AB99" s="791"/>
      <c r="AC99" s="791"/>
      <c r="AD99" s="791"/>
      <c r="AE99" s="803"/>
      <c r="AF99" s="804"/>
      <c r="AG99" s="804"/>
      <c r="AH99" s="804"/>
      <c r="AI99" s="804"/>
      <c r="AJ99" s="803"/>
      <c r="AK99" s="804"/>
      <c r="AL99" s="804"/>
      <c r="AM99" s="804"/>
      <c r="AN99" s="804"/>
      <c r="AO99" s="803"/>
      <c r="AP99" s="805"/>
      <c r="AQ99" s="805"/>
      <c r="AR99" s="805"/>
      <c r="AS99" s="804"/>
      <c r="AT99" s="803"/>
      <c r="AU99" s="805"/>
      <c r="AV99" s="805"/>
      <c r="AW99" s="805"/>
      <c r="AX99" s="804"/>
      <c r="AY99" s="803"/>
      <c r="AZ99" s="805"/>
      <c r="BA99" s="805"/>
      <c r="BB99" s="805"/>
      <c r="BC99" s="804"/>
      <c r="BD99" s="803"/>
      <c r="BE99" s="805"/>
      <c r="BF99" s="805"/>
      <c r="BG99" s="805"/>
      <c r="BH99" s="805"/>
      <c r="BI99" s="806"/>
      <c r="BJ99" s="805"/>
      <c r="BK99" s="805"/>
      <c r="BL99" s="805"/>
      <c r="BM99" s="805"/>
      <c r="BN99" s="806"/>
      <c r="BO99" s="805"/>
      <c r="BP99" s="805"/>
      <c r="BQ99" s="805"/>
      <c r="BR99" s="805"/>
      <c r="BS99" s="806"/>
      <c r="BT99" s="805"/>
      <c r="BU99" s="805"/>
      <c r="BV99" s="805"/>
      <c r="BW99" s="805"/>
      <c r="BX99" s="806"/>
      <c r="BY99" s="805"/>
      <c r="BZ99" s="805"/>
      <c r="CA99" s="805"/>
      <c r="CB99" s="805"/>
      <c r="CC99" s="806"/>
      <c r="CD99" s="805"/>
      <c r="CE99" s="805"/>
      <c r="CF99" s="805"/>
      <c r="CG99" s="805"/>
      <c r="CH99" s="806"/>
      <c r="CI99" s="805"/>
      <c r="CJ99" s="805"/>
      <c r="CK99" s="805"/>
      <c r="CL99" s="805"/>
      <c r="CM99" s="806"/>
      <c r="CN99" s="805"/>
      <c r="CO99" s="805"/>
      <c r="CP99" s="805"/>
      <c r="CQ99" s="805"/>
      <c r="CR99" s="806"/>
      <c r="CT99" s="797"/>
      <c r="CU99" s="797"/>
      <c r="CW99" s="725"/>
      <c r="CX99" s="725"/>
      <c r="CY99" s="725"/>
      <c r="CZ99" s="725"/>
      <c r="DA99" s="725"/>
      <c r="DB99" s="725"/>
      <c r="DC99" s="725"/>
      <c r="DD99" s="725"/>
      <c r="DE99" s="725"/>
      <c r="DF99" s="725"/>
      <c r="DG99" s="725"/>
      <c r="DH99" s="725"/>
      <c r="DI99" s="725"/>
    </row>
    <row r="100" spans="1:113" ht="12" customHeight="1">
      <c r="A100" s="786" t="s">
        <v>917</v>
      </c>
      <c r="B100" s="791"/>
      <c r="C100" s="791"/>
      <c r="D100" s="791"/>
      <c r="E100" s="791"/>
      <c r="F100" s="792"/>
      <c r="G100" s="681"/>
      <c r="H100" s="681"/>
      <c r="I100" s="681"/>
      <c r="J100" s="804"/>
      <c r="K100" s="803"/>
      <c r="L100" s="804"/>
      <c r="M100" s="804"/>
      <c r="N100" s="804"/>
      <c r="O100" s="804"/>
      <c r="P100" s="803"/>
      <c r="Q100" s="804"/>
      <c r="R100" s="804"/>
      <c r="S100" s="804"/>
      <c r="T100" s="804"/>
      <c r="U100" s="803"/>
      <c r="V100" s="804"/>
      <c r="W100" s="804"/>
      <c r="X100" s="804"/>
      <c r="Y100" s="804"/>
      <c r="Z100" s="803"/>
      <c r="AA100" s="804"/>
      <c r="AB100" s="804"/>
      <c r="AC100" s="804"/>
      <c r="AD100" s="804"/>
      <c r="AE100" s="803"/>
      <c r="AF100" s="804"/>
      <c r="AG100" s="804"/>
      <c r="AH100" s="804"/>
      <c r="AI100" s="804"/>
      <c r="AJ100" s="803"/>
      <c r="AK100" s="804"/>
      <c r="AL100" s="804"/>
      <c r="AM100" s="804"/>
      <c r="AN100" s="804"/>
      <c r="AO100" s="803">
        <v>73.016999999999996</v>
      </c>
      <c r="AP100" s="804"/>
      <c r="AQ100" s="804"/>
      <c r="AR100" s="804"/>
      <c r="AS100" s="804"/>
      <c r="AT100" s="803">
        <v>142.02699999999999</v>
      </c>
      <c r="AU100" s="804">
        <f>+AVERAGE(AV100,AT100)</f>
        <v>125.4195</v>
      </c>
      <c r="AV100" s="804">
        <v>108.812</v>
      </c>
      <c r="AW100" s="804">
        <v>73.986000000000004</v>
      </c>
      <c r="AX100" s="804">
        <v>89.691000000000003</v>
      </c>
      <c r="AY100" s="803">
        <v>89.691000000000003</v>
      </c>
      <c r="AZ100" s="804">
        <v>98.299000000000007</v>
      </c>
      <c r="BA100" s="804">
        <v>107.428</v>
      </c>
      <c r="BB100" s="804">
        <v>147.535</v>
      </c>
      <c r="BC100" s="804">
        <v>190.99199999999999</v>
      </c>
      <c r="BD100" s="803">
        <v>190.99199999999999</v>
      </c>
      <c r="BE100" s="804">
        <v>178.12200000000001</v>
      </c>
      <c r="BF100" s="804">
        <v>177.06800000000001</v>
      </c>
      <c r="BG100" s="804">
        <v>173.58</v>
      </c>
      <c r="BH100" s="804">
        <v>203.82400000000001</v>
      </c>
      <c r="BI100" s="803">
        <v>203.82400000000001</v>
      </c>
      <c r="BJ100" s="804">
        <v>180.239</v>
      </c>
      <c r="BK100" s="804">
        <v>170.822</v>
      </c>
      <c r="BL100" s="804">
        <v>176.25299999999999</v>
      </c>
      <c r="BM100" s="681">
        <v>213.13800000000001</v>
      </c>
      <c r="BN100" s="781">
        <v>213.13800000000001</v>
      </c>
      <c r="BO100" s="804">
        <v>187.197</v>
      </c>
      <c r="BP100" s="804">
        <v>170.99</v>
      </c>
      <c r="BQ100" s="804">
        <v>187.52600000000001</v>
      </c>
      <c r="BR100" s="681">
        <v>216.74</v>
      </c>
      <c r="BS100" s="781">
        <v>216.74</v>
      </c>
      <c r="BT100" s="804">
        <v>203.11699999999999</v>
      </c>
      <c r="BU100" s="681">
        <v>183.41058261012984</v>
      </c>
      <c r="BV100" s="681">
        <v>199.17571652202597</v>
      </c>
      <c r="BW100" s="681">
        <v>220.8527756508831</v>
      </c>
      <c r="BX100" s="781">
        <v>220.8527756508831</v>
      </c>
      <c r="BY100" s="681">
        <v>195.23443304405191</v>
      </c>
      <c r="BZ100" s="681">
        <v>179.46929913215581</v>
      </c>
      <c r="CA100" s="681">
        <v>198.19039565253246</v>
      </c>
      <c r="CB100" s="681">
        <v>227.75002173733765</v>
      </c>
      <c r="CC100" s="781">
        <v>227.75002173733765</v>
      </c>
      <c r="CD100" s="681">
        <v>201.39268847838633</v>
      </c>
      <c r="CE100" s="681">
        <v>185.13489413174349</v>
      </c>
      <c r="CF100" s="681">
        <v>204.84131152161362</v>
      </c>
      <c r="CG100" s="681">
        <v>235.38625847591234</v>
      </c>
      <c r="CH100" s="781">
        <v>235.38625847591234</v>
      </c>
      <c r="CI100" s="681">
        <v>208.28993456484088</v>
      </c>
      <c r="CJ100" s="681">
        <v>191.53947978345127</v>
      </c>
      <c r="CK100" s="681">
        <v>212.23121804281493</v>
      </c>
      <c r="CL100" s="681">
        <v>244.2541463013539</v>
      </c>
      <c r="CM100" s="781">
        <v>244.2541463013539</v>
      </c>
      <c r="CN100" s="681">
        <v>216.17250152078896</v>
      </c>
      <c r="CO100" s="681">
        <v>198.92938630465258</v>
      </c>
      <c r="CP100" s="681">
        <v>220.60644543350972</v>
      </c>
      <c r="CQ100" s="681">
        <v>253.61469456154222</v>
      </c>
      <c r="CR100" s="781">
        <v>253.61469456154222</v>
      </c>
      <c r="CT100" s="797"/>
      <c r="CU100" s="797"/>
      <c r="CW100" s="725"/>
      <c r="CX100" s="725"/>
      <c r="CY100" s="725"/>
      <c r="CZ100" s="725"/>
      <c r="DA100" s="725"/>
      <c r="DB100" s="725"/>
      <c r="DC100" s="725"/>
      <c r="DD100" s="725"/>
      <c r="DE100" s="725"/>
      <c r="DF100" s="725"/>
      <c r="DG100" s="725"/>
      <c r="DH100" s="725"/>
      <c r="DI100" s="725"/>
    </row>
    <row r="101" spans="1:113" ht="12" customHeight="1">
      <c r="A101" s="733" t="s">
        <v>881</v>
      </c>
      <c r="B101" s="807"/>
      <c r="C101" s="807"/>
      <c r="D101" s="807"/>
      <c r="E101" s="807"/>
      <c r="F101" s="808"/>
      <c r="G101" s="788"/>
      <c r="H101" s="788"/>
      <c r="I101" s="788"/>
      <c r="J101" s="788"/>
      <c r="K101" s="735"/>
      <c r="L101" s="788"/>
      <c r="M101" s="788"/>
      <c r="N101" s="788"/>
      <c r="O101" s="788"/>
      <c r="P101" s="735"/>
      <c r="Q101" s="788"/>
      <c r="R101" s="788"/>
      <c r="S101" s="788"/>
      <c r="T101" s="788"/>
      <c r="U101" s="735"/>
      <c r="V101" s="788"/>
      <c r="W101" s="788"/>
      <c r="X101" s="788"/>
      <c r="Y101" s="788"/>
      <c r="Z101" s="735"/>
      <c r="AA101" s="788"/>
      <c r="AB101" s="788"/>
      <c r="AC101" s="788"/>
      <c r="AD101" s="788"/>
      <c r="AE101" s="735"/>
      <c r="AF101" s="788"/>
      <c r="AG101" s="788"/>
      <c r="AH101" s="788"/>
      <c r="AI101" s="788"/>
      <c r="AJ101" s="735"/>
      <c r="AK101" s="788"/>
      <c r="AL101" s="788"/>
      <c r="AM101" s="788"/>
      <c r="AN101" s="788"/>
      <c r="AO101" s="735"/>
      <c r="AP101" s="788"/>
      <c r="AQ101" s="788"/>
      <c r="AR101" s="788"/>
      <c r="AS101" s="788"/>
      <c r="AT101" s="735">
        <f>+AT100/AO100-1</f>
        <v>0.94512236876343847</v>
      </c>
      <c r="AU101" s="788"/>
      <c r="AV101" s="788"/>
      <c r="AW101" s="788"/>
      <c r="AX101" s="788"/>
      <c r="AY101" s="735">
        <f t="shared" ref="AY101:CR101" si="47">+AY100/AT100-1</f>
        <v>-0.36849331465143942</v>
      </c>
      <c r="AZ101" s="788">
        <f t="shared" si="47"/>
        <v>-0.21623830425093382</v>
      </c>
      <c r="BA101" s="788">
        <f t="shared" si="47"/>
        <v>-1.2719185383964993E-2</v>
      </c>
      <c r="BB101" s="788">
        <f t="shared" si="47"/>
        <v>0.99409347714432439</v>
      </c>
      <c r="BC101" s="788">
        <f t="shared" si="47"/>
        <v>1.1294444258621263</v>
      </c>
      <c r="BD101" s="735">
        <f t="shared" si="47"/>
        <v>1.1294444258621263</v>
      </c>
      <c r="BE101" s="788">
        <f t="shared" si="47"/>
        <v>0.81204284885909317</v>
      </c>
      <c r="BF101" s="788">
        <f t="shared" si="47"/>
        <v>0.64824812897940953</v>
      </c>
      <c r="BG101" s="788">
        <f t="shared" si="47"/>
        <v>0.17653438167214563</v>
      </c>
      <c r="BH101" s="788">
        <f t="shared" si="47"/>
        <v>6.7186060149116322E-2</v>
      </c>
      <c r="BI101" s="735">
        <f t="shared" si="47"/>
        <v>6.7186060149116322E-2</v>
      </c>
      <c r="BJ101" s="788">
        <f t="shared" si="47"/>
        <v>1.1885112451016644E-2</v>
      </c>
      <c r="BK101" s="785">
        <f t="shared" si="47"/>
        <v>-3.5274583775724677E-2</v>
      </c>
      <c r="BL101" s="788">
        <f t="shared" si="47"/>
        <v>1.5399239543726129E-2</v>
      </c>
      <c r="BM101" s="785">
        <f t="shared" si="47"/>
        <v>4.5696286992699564E-2</v>
      </c>
      <c r="BN101" s="735">
        <f t="shared" si="47"/>
        <v>4.5696286992699564E-2</v>
      </c>
      <c r="BO101" s="788">
        <f t="shared" si="47"/>
        <v>3.8604297627039541E-2</v>
      </c>
      <c r="BP101" s="785">
        <f t="shared" si="47"/>
        <v>9.8347987964086947E-4</v>
      </c>
      <c r="BQ101" s="785">
        <f t="shared" si="47"/>
        <v>6.3959195020794057E-2</v>
      </c>
      <c r="BR101" s="785">
        <f t="shared" si="47"/>
        <v>1.6899848924171179E-2</v>
      </c>
      <c r="BS101" s="735">
        <f t="shared" si="47"/>
        <v>1.6899848924171179E-2</v>
      </c>
      <c r="BT101" s="788">
        <f t="shared" si="47"/>
        <v>8.504409792891976E-2</v>
      </c>
      <c r="BU101" s="785">
        <f t="shared" si="47"/>
        <v>7.2639233932568104E-2</v>
      </c>
      <c r="BV101" s="785">
        <f t="shared" si="47"/>
        <v>6.2123207032763306E-2</v>
      </c>
      <c r="BW101" s="785">
        <f t="shared" si="47"/>
        <v>1.8975618948431805E-2</v>
      </c>
      <c r="BX101" s="735">
        <f t="shared" si="47"/>
        <v>1.8975618948431805E-2</v>
      </c>
      <c r="BY101" s="785">
        <f t="shared" si="47"/>
        <v>-3.8808011914059803E-2</v>
      </c>
      <c r="BZ101" s="785">
        <f t="shared" si="47"/>
        <v>-2.1488855342398083E-2</v>
      </c>
      <c r="CA101" s="785">
        <f t="shared" si="47"/>
        <v>-4.946992970322972E-3</v>
      </c>
      <c r="CB101" s="785">
        <f t="shared" si="47"/>
        <v>3.123006295088393E-2</v>
      </c>
      <c r="CC101" s="735">
        <f t="shared" si="47"/>
        <v>3.123006295088393E-2</v>
      </c>
      <c r="CD101" s="785">
        <f t="shared" si="47"/>
        <v>3.1542875599945619E-2</v>
      </c>
      <c r="CE101" s="785">
        <f t="shared" si="47"/>
        <v>3.1568602691292025E-2</v>
      </c>
      <c r="CF101" s="785">
        <f t="shared" si="47"/>
        <v>3.3558214802404285E-2</v>
      </c>
      <c r="CG101" s="785">
        <f t="shared" si="47"/>
        <v>3.3529027485149854E-2</v>
      </c>
      <c r="CH101" s="735">
        <f t="shared" si="47"/>
        <v>3.3529027485149854E-2</v>
      </c>
      <c r="CI101" s="785">
        <f t="shared" si="47"/>
        <v>3.4247748210555207E-2</v>
      </c>
      <c r="CJ101" s="785">
        <f t="shared" si="47"/>
        <v>3.4594157312938689E-2</v>
      </c>
      <c r="CK101" s="785">
        <f t="shared" si="47"/>
        <v>3.6076250763614093E-2</v>
      </c>
      <c r="CL101" s="785">
        <f t="shared" si="47"/>
        <v>3.7673770265348905E-2</v>
      </c>
      <c r="CM101" s="735">
        <f t="shared" si="47"/>
        <v>3.7673770265348905E-2</v>
      </c>
      <c r="CN101" s="785">
        <f t="shared" si="47"/>
        <v>3.7844204869603271E-2</v>
      </c>
      <c r="CO101" s="785">
        <f t="shared" si="47"/>
        <v>3.8581636170026856E-2</v>
      </c>
      <c r="CP101" s="785">
        <f t="shared" si="47"/>
        <v>3.9462749485823512E-2</v>
      </c>
      <c r="CQ101" s="785">
        <f t="shared" si="47"/>
        <v>3.8322986127079073E-2</v>
      </c>
      <c r="CR101" s="735">
        <f t="shared" si="47"/>
        <v>3.8322986127079073E-2</v>
      </c>
      <c r="CT101" s="809"/>
      <c r="CU101" s="809"/>
      <c r="CW101" s="725"/>
      <c r="CX101" s="725"/>
      <c r="CY101" s="725"/>
      <c r="CZ101" s="725"/>
      <c r="DA101" s="725"/>
      <c r="DB101" s="725"/>
      <c r="DC101" s="725"/>
      <c r="DD101" s="725"/>
      <c r="DE101" s="725"/>
      <c r="DF101" s="725"/>
      <c r="DG101" s="725"/>
      <c r="DH101" s="725"/>
      <c r="DI101" s="725"/>
    </row>
    <row r="102" spans="1:113" ht="12" customHeight="1">
      <c r="A102" s="733" t="s">
        <v>883</v>
      </c>
      <c r="B102" s="791"/>
      <c r="C102" s="791"/>
      <c r="D102" s="791"/>
      <c r="E102" s="791"/>
      <c r="F102" s="792"/>
      <c r="G102" s="788"/>
      <c r="H102" s="788"/>
      <c r="I102" s="788"/>
      <c r="J102" s="788"/>
      <c r="K102" s="762"/>
      <c r="L102" s="788"/>
      <c r="M102" s="788"/>
      <c r="N102" s="788"/>
      <c r="O102" s="788"/>
      <c r="P102" s="762"/>
      <c r="Q102" s="788"/>
      <c r="R102" s="788"/>
      <c r="S102" s="788"/>
      <c r="T102" s="788"/>
      <c r="U102" s="762"/>
      <c r="V102" s="788"/>
      <c r="W102" s="788"/>
      <c r="X102" s="788"/>
      <c r="Y102" s="788"/>
      <c r="Z102" s="762"/>
      <c r="AA102" s="788"/>
      <c r="AB102" s="788"/>
      <c r="AC102" s="788"/>
      <c r="AD102" s="788"/>
      <c r="AE102" s="762"/>
      <c r="AF102" s="788"/>
      <c r="AG102" s="788"/>
      <c r="AH102" s="788"/>
      <c r="AI102" s="788"/>
      <c r="AJ102" s="762"/>
      <c r="AK102" s="788"/>
      <c r="AL102" s="788"/>
      <c r="AM102" s="788"/>
      <c r="AN102" s="788"/>
      <c r="AO102" s="762"/>
      <c r="AP102" s="788"/>
      <c r="AQ102" s="788"/>
      <c r="AR102" s="788"/>
      <c r="AS102" s="788"/>
      <c r="AT102" s="762"/>
      <c r="AU102" s="788"/>
      <c r="AV102" s="788">
        <f>+AV100/AU100-1</f>
        <v>-0.13241561320209383</v>
      </c>
      <c r="AW102" s="788">
        <f>+AW100/AV100-1</f>
        <v>-0.320056611403154</v>
      </c>
      <c r="AX102" s="788">
        <f>+AX100/AW100-1</f>
        <v>0.21226988889789955</v>
      </c>
      <c r="AY102" s="762"/>
      <c r="AZ102" s="788">
        <f>+AZ100/AX100-1</f>
        <v>9.5973955023358037E-2</v>
      </c>
      <c r="BA102" s="788">
        <f>+BA100/AZ100-1</f>
        <v>9.2869713832287148E-2</v>
      </c>
      <c r="BB102" s="788">
        <f>+BB100/BA100-1</f>
        <v>0.37333842201288303</v>
      </c>
      <c r="BC102" s="788">
        <f>+BC100/BB100-1</f>
        <v>0.29455383468329543</v>
      </c>
      <c r="BD102" s="762"/>
      <c r="BE102" s="788">
        <f>+BE100/BC100-1</f>
        <v>-6.7385021362151187E-2</v>
      </c>
      <c r="BF102" s="788">
        <f>+BF100/BE100-1</f>
        <v>-5.9172926421217076E-3</v>
      </c>
      <c r="BG102" s="788">
        <f>+BG100/BF100-1</f>
        <v>-1.9698646847538748E-2</v>
      </c>
      <c r="BH102" s="788">
        <f>+BH100/BG100-1</f>
        <v>0.17423666321004716</v>
      </c>
      <c r="BI102" s="762"/>
      <c r="BJ102" s="788">
        <f>+BJ100/BH100-1</f>
        <v>-0.11571257555538117</v>
      </c>
      <c r="BK102" s="734">
        <f>+BK100/BJ100-1</f>
        <v>-5.2247293870915867E-2</v>
      </c>
      <c r="BL102" s="788">
        <f>+BL100/BK100-1</f>
        <v>3.1793328728149772E-2</v>
      </c>
      <c r="BM102" s="734">
        <f>+BM100/BL100-1</f>
        <v>0.2092730336504911</v>
      </c>
      <c r="BN102" s="736"/>
      <c r="BO102" s="788">
        <f>+BO100/BM100-1</f>
        <v>-0.12170987810714184</v>
      </c>
      <c r="BP102" s="734">
        <f>+BP100/BO100-1</f>
        <v>-8.6577242156658407E-2</v>
      </c>
      <c r="BQ102" s="734">
        <f>+BQ100/BP100-1</f>
        <v>9.6707409790046217E-2</v>
      </c>
      <c r="BR102" s="734">
        <f>+BR100/BQ100-1</f>
        <v>0.15578639761953017</v>
      </c>
      <c r="BS102" s="736"/>
      <c r="BT102" s="788">
        <f>+BT100/BR100-1</f>
        <v>-6.2854110916305328E-2</v>
      </c>
      <c r="BU102" s="734">
        <f>+BU100/BT100-1</f>
        <v>-9.7020029785149231E-2</v>
      </c>
      <c r="BV102" s="734">
        <f>+BV100/BU100-1</f>
        <v>8.5955421369592333E-2</v>
      </c>
      <c r="BW102" s="734">
        <f>+BW100/BV100-1</f>
        <v>0.10883384534710561</v>
      </c>
      <c r="BX102" s="736"/>
      <c r="BY102" s="734">
        <f>+BY100/BW100-1</f>
        <v>-0.11599737667471222</v>
      </c>
      <c r="BZ102" s="734">
        <f>+BZ100/BY100-1</f>
        <v>-8.0749761535860443E-2</v>
      </c>
      <c r="CA102" s="734">
        <f>+CA100/BZ100-1</f>
        <v>0.10431364367557361</v>
      </c>
      <c r="CB102" s="734">
        <f>+CB100/CA100-1</f>
        <v>0.14914762134401882</v>
      </c>
      <c r="CC102" s="736"/>
      <c r="CD102" s="734">
        <f>+CD100/CB100-1</f>
        <v>-0.11572922390035612</v>
      </c>
      <c r="CE102" s="734">
        <f>+CE100/CD100-1</f>
        <v>-8.0726835067737035E-2</v>
      </c>
      <c r="CF102" s="734">
        <f>+CF100/CE100-1</f>
        <v>0.10644356096288843</v>
      </c>
      <c r="CG102" s="734">
        <f>+CG100/CF100-1</f>
        <v>0.14911516982293782</v>
      </c>
      <c r="CH102" s="736"/>
      <c r="CI102" s="734">
        <f>+CI100/CG100-1</f>
        <v>-0.11511429803301065</v>
      </c>
      <c r="CJ102" s="734">
        <f>+CJ100/CI100-1</f>
        <v>-8.0418935347906451E-2</v>
      </c>
      <c r="CK102" s="734">
        <f>+CK100/CJ100-1</f>
        <v>0.10802858127607484</v>
      </c>
      <c r="CL102" s="734">
        <f>+CL100/CK100-1</f>
        <v>0.15088698332814898</v>
      </c>
      <c r="CM102" s="736"/>
      <c r="CN102" s="734">
        <f>+CN100/CL100-1</f>
        <v>-0.11496895838123711</v>
      </c>
      <c r="CO102" s="734">
        <f>+CO100/CN100-1</f>
        <v>-7.9765534907677127E-2</v>
      </c>
      <c r="CP102" s="734">
        <f>+CP100/CO100-1</f>
        <v>0.10896861208660025</v>
      </c>
      <c r="CQ102" s="734">
        <f>+CQ100/CP100-1</f>
        <v>0.14962504410588995</v>
      </c>
      <c r="CR102" s="736"/>
      <c r="CT102" s="797"/>
      <c r="CU102" s="797"/>
      <c r="CW102" s="725"/>
      <c r="CX102" s="725"/>
      <c r="CY102" s="725"/>
      <c r="CZ102" s="725"/>
      <c r="DA102" s="725"/>
      <c r="DB102" s="725"/>
      <c r="DC102" s="725"/>
      <c r="DD102" s="725"/>
      <c r="DE102" s="725"/>
      <c r="DF102" s="725"/>
      <c r="DG102" s="725"/>
      <c r="DH102" s="725"/>
      <c r="DI102" s="725"/>
    </row>
    <row r="103" spans="1:113" ht="12" customHeight="1">
      <c r="A103" s="733" t="s">
        <v>918</v>
      </c>
      <c r="B103" s="791"/>
      <c r="C103" s="791"/>
      <c r="D103" s="791"/>
      <c r="E103" s="791"/>
      <c r="F103" s="792"/>
      <c r="G103" s="788"/>
      <c r="H103" s="788"/>
      <c r="I103" s="788"/>
      <c r="J103" s="788"/>
      <c r="K103" s="735"/>
      <c r="L103" s="788"/>
      <c r="M103" s="788"/>
      <c r="N103" s="788"/>
      <c r="O103" s="788"/>
      <c r="P103" s="735"/>
      <c r="Q103" s="788"/>
      <c r="R103" s="788"/>
      <c r="S103" s="788"/>
      <c r="T103" s="788"/>
      <c r="U103" s="735"/>
      <c r="V103" s="788"/>
      <c r="W103" s="788"/>
      <c r="X103" s="788"/>
      <c r="Y103" s="788"/>
      <c r="Z103" s="735"/>
      <c r="AA103" s="788"/>
      <c r="AB103" s="788"/>
      <c r="AC103" s="788"/>
      <c r="AD103" s="788"/>
      <c r="AE103" s="735"/>
      <c r="AF103" s="788"/>
      <c r="AG103" s="788"/>
      <c r="AH103" s="788"/>
      <c r="AI103" s="788"/>
      <c r="AJ103" s="735"/>
      <c r="AK103" s="788"/>
      <c r="AL103" s="788"/>
      <c r="AM103" s="788"/>
      <c r="AN103" s="788"/>
      <c r="AO103" s="735">
        <f t="shared" ref="AO103:CR103" si="48">+AO100/AO96</f>
        <v>0.95098984110445417</v>
      </c>
      <c r="AP103" s="788"/>
      <c r="AQ103" s="788"/>
      <c r="AR103" s="788"/>
      <c r="AS103" s="788"/>
      <c r="AT103" s="735">
        <f t="shared" si="48"/>
        <v>0.98164262560217852</v>
      </c>
      <c r="AU103" s="788"/>
      <c r="AV103" s="788">
        <f t="shared" si="48"/>
        <v>0.96973477826892918</v>
      </c>
      <c r="AW103" s="788">
        <f t="shared" si="48"/>
        <v>0.96290801186943631</v>
      </c>
      <c r="AX103" s="788">
        <f t="shared" si="48"/>
        <v>0.99465471926186333</v>
      </c>
      <c r="AY103" s="735">
        <f t="shared" si="48"/>
        <v>0.99465471926186333</v>
      </c>
      <c r="AZ103" s="788">
        <f t="shared" si="48"/>
        <v>0.98512772716795449</v>
      </c>
      <c r="BA103" s="788">
        <f t="shared" si="48"/>
        <v>0.97435943948120263</v>
      </c>
      <c r="BB103" s="788">
        <f t="shared" si="48"/>
        <v>0.98762911442399726</v>
      </c>
      <c r="BC103" s="788">
        <f t="shared" si="48"/>
        <v>0.9940614053806478</v>
      </c>
      <c r="BD103" s="735">
        <f t="shared" si="48"/>
        <v>0.9940614053806478</v>
      </c>
      <c r="BE103" s="788">
        <f t="shared" si="48"/>
        <v>0.99130696110950334</v>
      </c>
      <c r="BF103" s="788">
        <f t="shared" si="48"/>
        <v>0.98525467677138623</v>
      </c>
      <c r="BG103" s="788">
        <f t="shared" si="48"/>
        <v>0.98636208660075009</v>
      </c>
      <c r="BH103" s="788">
        <f t="shared" si="48"/>
        <v>0.98784962027034229</v>
      </c>
      <c r="BI103" s="735">
        <f t="shared" si="48"/>
        <v>0.98784962027034229</v>
      </c>
      <c r="BJ103" s="788">
        <f t="shared" si="48"/>
        <v>0.98529484116788479</v>
      </c>
      <c r="BK103" s="788">
        <f t="shared" si="48"/>
        <v>0.98721638521908994</v>
      </c>
      <c r="BL103" s="788">
        <f t="shared" si="48"/>
        <v>0.98418078465094982</v>
      </c>
      <c r="BM103" s="788">
        <f t="shared" si="48"/>
        <v>0.99034918569802288</v>
      </c>
      <c r="BN103" s="735">
        <f t="shared" si="48"/>
        <v>0.99034918569802288</v>
      </c>
      <c r="BO103" s="788">
        <f t="shared" si="48"/>
        <v>0.99144651822977348</v>
      </c>
      <c r="BP103" s="788">
        <f t="shared" si="48"/>
        <v>0.99122913804397605</v>
      </c>
      <c r="BQ103" s="788">
        <f t="shared" si="48"/>
        <v>0.98642343522332165</v>
      </c>
      <c r="BR103" s="788">
        <f t="shared" si="48"/>
        <v>0.99296303762209315</v>
      </c>
      <c r="BS103" s="735">
        <f t="shared" si="48"/>
        <v>0.99296303762209315</v>
      </c>
      <c r="BT103" s="788">
        <f t="shared" si="48"/>
        <v>0.98532086949350683</v>
      </c>
      <c r="BU103" s="788">
        <f t="shared" si="48"/>
        <v>0.98532086949350683</v>
      </c>
      <c r="BV103" s="788">
        <f t="shared" si="48"/>
        <v>0.98532086949350695</v>
      </c>
      <c r="BW103" s="788">
        <f t="shared" si="48"/>
        <v>0.98532086949350683</v>
      </c>
      <c r="BX103" s="735">
        <f t="shared" si="48"/>
        <v>0.98532086949350683</v>
      </c>
      <c r="BY103" s="788">
        <f t="shared" si="48"/>
        <v>0.98532086949350672</v>
      </c>
      <c r="BZ103" s="788">
        <f t="shared" si="48"/>
        <v>0.98532086949350683</v>
      </c>
      <c r="CA103" s="788">
        <f t="shared" si="48"/>
        <v>0.98532086949350695</v>
      </c>
      <c r="CB103" s="788">
        <f t="shared" si="48"/>
        <v>0.98532086949350683</v>
      </c>
      <c r="CC103" s="735">
        <f t="shared" si="48"/>
        <v>0.98532086949350683</v>
      </c>
      <c r="CD103" s="788">
        <f t="shared" si="48"/>
        <v>0.98532086949350683</v>
      </c>
      <c r="CE103" s="788">
        <f t="shared" si="48"/>
        <v>0.98532086949350695</v>
      </c>
      <c r="CF103" s="788">
        <f t="shared" si="48"/>
        <v>0.98532086949350683</v>
      </c>
      <c r="CG103" s="788">
        <f t="shared" si="48"/>
        <v>0.98532086949350695</v>
      </c>
      <c r="CH103" s="735">
        <f t="shared" si="48"/>
        <v>0.98532086949350695</v>
      </c>
      <c r="CI103" s="788">
        <f t="shared" si="48"/>
        <v>0.98532086949350672</v>
      </c>
      <c r="CJ103" s="788">
        <f t="shared" si="48"/>
        <v>0.98532086949350683</v>
      </c>
      <c r="CK103" s="788">
        <f t="shared" si="48"/>
        <v>0.98532086949350695</v>
      </c>
      <c r="CL103" s="788">
        <f t="shared" si="48"/>
        <v>0.98532086949350683</v>
      </c>
      <c r="CM103" s="735">
        <f t="shared" si="48"/>
        <v>0.98532086949350683</v>
      </c>
      <c r="CN103" s="788">
        <f t="shared" si="48"/>
        <v>0.98532086949350683</v>
      </c>
      <c r="CO103" s="788">
        <f t="shared" si="48"/>
        <v>0.98532086949350683</v>
      </c>
      <c r="CP103" s="788">
        <f t="shared" si="48"/>
        <v>0.98532086949350683</v>
      </c>
      <c r="CQ103" s="788">
        <f t="shared" si="48"/>
        <v>0.98532086949350683</v>
      </c>
      <c r="CR103" s="735">
        <f t="shared" si="48"/>
        <v>0.98532086949350683</v>
      </c>
      <c r="CT103" s="797"/>
      <c r="CU103" s="797"/>
      <c r="CW103" s="725"/>
      <c r="CX103" s="725"/>
      <c r="CY103" s="725"/>
      <c r="CZ103" s="725"/>
      <c r="DA103" s="725"/>
      <c r="DB103" s="725"/>
      <c r="DC103" s="725"/>
      <c r="DD103" s="725"/>
      <c r="DE103" s="725"/>
      <c r="DF103" s="725"/>
      <c r="DG103" s="725"/>
      <c r="DH103" s="725"/>
      <c r="DI103" s="725"/>
    </row>
    <row r="104" spans="1:113" ht="12" customHeight="1">
      <c r="A104" s="810"/>
      <c r="B104" s="794"/>
      <c r="C104" s="794"/>
      <c r="D104" s="794"/>
      <c r="E104" s="794"/>
      <c r="F104" s="795"/>
      <c r="G104" s="730"/>
      <c r="H104" s="730"/>
      <c r="I104" s="730"/>
      <c r="J104" s="730"/>
      <c r="K104" s="736"/>
      <c r="L104" s="730"/>
      <c r="M104" s="730"/>
      <c r="N104" s="730"/>
      <c r="O104" s="730"/>
      <c r="P104" s="736"/>
      <c r="Q104" s="730"/>
      <c r="R104" s="730"/>
      <c r="S104" s="730"/>
      <c r="T104" s="730"/>
      <c r="U104" s="736"/>
      <c r="V104" s="730"/>
      <c r="W104" s="730"/>
      <c r="X104" s="730"/>
      <c r="Y104" s="730"/>
      <c r="Z104" s="736"/>
      <c r="AA104" s="730"/>
      <c r="AB104" s="730"/>
      <c r="AC104" s="730"/>
      <c r="AD104" s="730"/>
      <c r="AE104" s="736"/>
      <c r="AF104" s="730"/>
      <c r="AG104" s="730"/>
      <c r="AH104" s="730"/>
      <c r="AI104" s="730"/>
      <c r="AJ104" s="736"/>
      <c r="AK104" s="730"/>
      <c r="AL104" s="730"/>
      <c r="AM104" s="730"/>
      <c r="AN104" s="730"/>
      <c r="AO104" s="736"/>
      <c r="AP104" s="730"/>
      <c r="AQ104" s="730"/>
      <c r="AR104" s="730"/>
      <c r="AS104" s="730"/>
      <c r="AT104" s="736"/>
      <c r="AU104" s="730"/>
      <c r="AV104" s="730"/>
      <c r="AW104" s="730"/>
      <c r="AX104" s="730"/>
      <c r="AY104" s="736"/>
      <c r="AZ104" s="730"/>
      <c r="BA104" s="730"/>
      <c r="BB104" s="730"/>
      <c r="BC104" s="730"/>
      <c r="BD104" s="736"/>
      <c r="BE104" s="730"/>
      <c r="BF104" s="730"/>
      <c r="BG104" s="730"/>
      <c r="BH104" s="730"/>
      <c r="BI104" s="736"/>
      <c r="BJ104" s="730"/>
      <c r="BK104" s="800"/>
      <c r="BL104" s="730"/>
      <c r="BM104" s="800"/>
      <c r="BN104" s="799"/>
      <c r="BO104" s="730"/>
      <c r="BP104" s="800"/>
      <c r="BQ104" s="800"/>
      <c r="BR104" s="800"/>
      <c r="BS104" s="799"/>
      <c r="BT104" s="730"/>
      <c r="BU104" s="800"/>
      <c r="BV104" s="800"/>
      <c r="BW104" s="800"/>
      <c r="BX104" s="799"/>
      <c r="BY104" s="800"/>
      <c r="BZ104" s="800"/>
      <c r="CA104" s="800"/>
      <c r="CB104" s="800"/>
      <c r="CC104" s="799"/>
      <c r="CD104" s="800"/>
      <c r="CE104" s="800"/>
      <c r="CF104" s="800"/>
      <c r="CG104" s="800"/>
      <c r="CH104" s="799"/>
      <c r="CI104" s="800"/>
      <c r="CJ104" s="800"/>
      <c r="CK104" s="800"/>
      <c r="CL104" s="800"/>
      <c r="CM104" s="799"/>
      <c r="CN104" s="800"/>
      <c r="CO104" s="800"/>
      <c r="CP104" s="800"/>
      <c r="CQ104" s="800"/>
      <c r="CR104" s="799"/>
      <c r="CT104" s="801"/>
      <c r="CU104" s="801"/>
      <c r="CW104" s="725"/>
      <c r="CX104" s="725"/>
      <c r="CY104" s="725"/>
      <c r="CZ104" s="725"/>
      <c r="DA104" s="725"/>
      <c r="DB104" s="725"/>
      <c r="DC104" s="725"/>
      <c r="DD104" s="725"/>
      <c r="DE104" s="725"/>
      <c r="DF104" s="725"/>
      <c r="DG104" s="725"/>
      <c r="DH104" s="725"/>
      <c r="DI104" s="725"/>
    </row>
    <row r="105" spans="1:113" ht="12" customHeight="1">
      <c r="A105" s="786" t="s">
        <v>919</v>
      </c>
      <c r="B105" s="791"/>
      <c r="C105" s="791"/>
      <c r="D105" s="791"/>
      <c r="E105" s="791"/>
      <c r="F105" s="792"/>
      <c r="G105" s="681"/>
      <c r="H105" s="681"/>
      <c r="I105" s="681"/>
      <c r="J105" s="804"/>
      <c r="K105" s="803"/>
      <c r="L105" s="804"/>
      <c r="M105" s="804"/>
      <c r="N105" s="804"/>
      <c r="O105" s="804"/>
      <c r="P105" s="803"/>
      <c r="Q105" s="804"/>
      <c r="R105" s="804"/>
      <c r="S105" s="804"/>
      <c r="T105" s="804"/>
      <c r="U105" s="803"/>
      <c r="V105" s="804"/>
      <c r="W105" s="804"/>
      <c r="X105" s="804"/>
      <c r="Y105" s="804"/>
      <c r="Z105" s="803"/>
      <c r="AA105" s="804"/>
      <c r="AB105" s="804"/>
      <c r="AC105" s="804"/>
      <c r="AD105" s="804"/>
      <c r="AE105" s="803"/>
      <c r="AF105" s="804"/>
      <c r="AG105" s="804"/>
      <c r="AH105" s="804"/>
      <c r="AI105" s="804"/>
      <c r="AJ105" s="803"/>
      <c r="AK105" s="804"/>
      <c r="AL105" s="804"/>
      <c r="AM105" s="804"/>
      <c r="AN105" s="804"/>
      <c r="AO105" s="803">
        <v>3.7629999999999999</v>
      </c>
      <c r="AP105" s="804"/>
      <c r="AQ105" s="804"/>
      <c r="AR105" s="804"/>
      <c r="AS105" s="804"/>
      <c r="AT105" s="803">
        <v>2.6560000000000001</v>
      </c>
      <c r="AU105" s="804">
        <f>+AVERAGE(AV105,AT105)</f>
        <v>3.0259999999999998</v>
      </c>
      <c r="AV105" s="804">
        <v>3.3959999999999999</v>
      </c>
      <c r="AW105" s="804">
        <v>2.85</v>
      </c>
      <c r="AX105" s="804">
        <v>0.48199999999999998</v>
      </c>
      <c r="AY105" s="803">
        <v>0.48199999999999998</v>
      </c>
      <c r="AZ105" s="804">
        <v>1.484</v>
      </c>
      <c r="BA105" s="804">
        <v>2.827</v>
      </c>
      <c r="BB105" s="804">
        <v>1.8480000000000001</v>
      </c>
      <c r="BC105" s="804">
        <v>1.141</v>
      </c>
      <c r="BD105" s="803">
        <v>1.141</v>
      </c>
      <c r="BE105" s="804">
        <v>1.5620000000000001</v>
      </c>
      <c r="BF105" s="804">
        <v>2.65</v>
      </c>
      <c r="BG105" s="804">
        <v>2.4</v>
      </c>
      <c r="BH105" s="804">
        <v>2.5070000000000001</v>
      </c>
      <c r="BI105" s="803">
        <v>2.5070000000000001</v>
      </c>
      <c r="BJ105" s="804">
        <v>2.69</v>
      </c>
      <c r="BK105" s="804">
        <v>2.2120000000000002</v>
      </c>
      <c r="BL105" s="804">
        <v>2.8330000000000002</v>
      </c>
      <c r="BM105" s="811">
        <v>2.0769999999999982</v>
      </c>
      <c r="BN105" s="812">
        <v>2.0769999999999982</v>
      </c>
      <c r="BO105" s="804">
        <v>1.615</v>
      </c>
      <c r="BP105" s="804">
        <v>1.5129999999999999</v>
      </c>
      <c r="BQ105" s="804">
        <v>2.581</v>
      </c>
      <c r="BR105" s="811">
        <v>1.5360000000000014</v>
      </c>
      <c r="BS105" s="812">
        <v>1.5360000000000014</v>
      </c>
      <c r="BT105" s="804">
        <v>3.0259999999999998</v>
      </c>
      <c r="BU105" s="811">
        <v>2.7324173898701645</v>
      </c>
      <c r="BV105" s="811">
        <v>2.9672834779740356</v>
      </c>
      <c r="BW105" s="811">
        <v>3.2902243491168974</v>
      </c>
      <c r="BX105" s="812">
        <v>3.2902243491168974</v>
      </c>
      <c r="BY105" s="811">
        <v>2.9085669559480891</v>
      </c>
      <c r="BZ105" s="811">
        <v>2.6737008678441896</v>
      </c>
      <c r="CA105" s="811">
        <v>2.9526043474675419</v>
      </c>
      <c r="CB105" s="811">
        <v>3.3929782626623535</v>
      </c>
      <c r="CC105" s="812">
        <v>3.3929782626623535</v>
      </c>
      <c r="CD105" s="811">
        <v>3.0003115216136678</v>
      </c>
      <c r="CE105" s="811">
        <v>2.7581058682565072</v>
      </c>
      <c r="CF105" s="811">
        <v>3.0516884783863816</v>
      </c>
      <c r="CG105" s="811">
        <v>3.5067415240876585</v>
      </c>
      <c r="CH105" s="812">
        <v>3.5067415240876585</v>
      </c>
      <c r="CI105" s="811">
        <v>3.1030654351591238</v>
      </c>
      <c r="CJ105" s="811">
        <v>2.8535202165487306</v>
      </c>
      <c r="CK105" s="811">
        <v>3.1617819571850703</v>
      </c>
      <c r="CL105" s="811">
        <v>3.638853698646102</v>
      </c>
      <c r="CM105" s="812">
        <v>3.638853698646102</v>
      </c>
      <c r="CN105" s="811">
        <v>3.2204984792110452</v>
      </c>
      <c r="CO105" s="811">
        <v>2.9636136953474193</v>
      </c>
      <c r="CP105" s="811">
        <v>3.2865545664902811</v>
      </c>
      <c r="CQ105" s="811">
        <v>3.7783054384578065</v>
      </c>
      <c r="CR105" s="812">
        <v>3.7783054384578065</v>
      </c>
      <c r="CT105" s="797"/>
      <c r="CU105" s="797"/>
      <c r="CW105" s="725"/>
      <c r="CX105" s="725"/>
      <c r="CY105" s="725"/>
      <c r="CZ105" s="725"/>
      <c r="DA105" s="725"/>
      <c r="DB105" s="725"/>
      <c r="DC105" s="725"/>
      <c r="DD105" s="725"/>
      <c r="DE105" s="725"/>
      <c r="DF105" s="725"/>
      <c r="DG105" s="725"/>
      <c r="DH105" s="725"/>
      <c r="DI105" s="725"/>
    </row>
    <row r="106" spans="1:113" ht="12" customHeight="1">
      <c r="A106" s="733" t="s">
        <v>881</v>
      </c>
      <c r="B106" s="791"/>
      <c r="C106" s="791"/>
      <c r="D106" s="791"/>
      <c r="E106" s="791"/>
      <c r="F106" s="792"/>
      <c r="G106" s="788"/>
      <c r="H106" s="788"/>
      <c r="I106" s="788"/>
      <c r="J106" s="788"/>
      <c r="K106" s="735"/>
      <c r="L106" s="788"/>
      <c r="M106" s="788"/>
      <c r="N106" s="788"/>
      <c r="O106" s="788"/>
      <c r="P106" s="735"/>
      <c r="Q106" s="788"/>
      <c r="R106" s="788"/>
      <c r="S106" s="788"/>
      <c r="T106" s="788"/>
      <c r="U106" s="735"/>
      <c r="V106" s="788"/>
      <c r="W106" s="788"/>
      <c r="X106" s="788"/>
      <c r="Y106" s="788"/>
      <c r="Z106" s="735"/>
      <c r="AA106" s="788"/>
      <c r="AB106" s="788"/>
      <c r="AC106" s="788"/>
      <c r="AD106" s="788"/>
      <c r="AE106" s="735"/>
      <c r="AF106" s="788"/>
      <c r="AG106" s="788"/>
      <c r="AH106" s="788"/>
      <c r="AI106" s="788"/>
      <c r="AJ106" s="735"/>
      <c r="AK106" s="788"/>
      <c r="AL106" s="788"/>
      <c r="AM106" s="788"/>
      <c r="AN106" s="788"/>
      <c r="AO106" s="735"/>
      <c r="AP106" s="788"/>
      <c r="AQ106" s="788"/>
      <c r="AR106" s="788"/>
      <c r="AS106" s="788"/>
      <c r="AT106" s="735">
        <f>+AT105/AO105-1</f>
        <v>-0.29418017539197439</v>
      </c>
      <c r="AU106" s="788"/>
      <c r="AV106" s="788"/>
      <c r="AW106" s="788"/>
      <c r="AX106" s="788"/>
      <c r="AY106" s="735">
        <f t="shared" ref="AY106:CR106" si="49">+AY105/AT105-1</f>
        <v>-0.81852409638554224</v>
      </c>
      <c r="AZ106" s="788">
        <f t="shared" si="49"/>
        <v>-0.50958360872438857</v>
      </c>
      <c r="BA106" s="788">
        <f t="shared" si="49"/>
        <v>-0.16755005889281505</v>
      </c>
      <c r="BB106" s="788">
        <f t="shared" si="49"/>
        <v>-0.35157894736842099</v>
      </c>
      <c r="BC106" s="788">
        <f t="shared" si="49"/>
        <v>1.3672199170124482</v>
      </c>
      <c r="BD106" s="735">
        <f t="shared" si="49"/>
        <v>1.3672199170124482</v>
      </c>
      <c r="BE106" s="788">
        <f t="shared" si="49"/>
        <v>5.2560646900269514E-2</v>
      </c>
      <c r="BF106" s="788">
        <f t="shared" si="49"/>
        <v>-6.261054120976306E-2</v>
      </c>
      <c r="BG106" s="788">
        <f t="shared" si="49"/>
        <v>0.29870129870129869</v>
      </c>
      <c r="BH106" s="788">
        <f t="shared" si="49"/>
        <v>1.1971954425942157</v>
      </c>
      <c r="BI106" s="735">
        <f t="shared" si="49"/>
        <v>1.1971954425942157</v>
      </c>
      <c r="BJ106" s="788">
        <f t="shared" si="49"/>
        <v>0.72215108834827135</v>
      </c>
      <c r="BK106" s="785">
        <f t="shared" si="49"/>
        <v>-0.1652830188679244</v>
      </c>
      <c r="BL106" s="788">
        <f t="shared" si="49"/>
        <v>0.18041666666666689</v>
      </c>
      <c r="BM106" s="785">
        <f t="shared" si="49"/>
        <v>-0.17151974471479936</v>
      </c>
      <c r="BN106" s="735">
        <f t="shared" si="49"/>
        <v>-0.17151974471479936</v>
      </c>
      <c r="BO106" s="788">
        <f t="shared" si="49"/>
        <v>-0.3996282527881041</v>
      </c>
      <c r="BP106" s="785">
        <f t="shared" si="49"/>
        <v>-0.3160036166365281</v>
      </c>
      <c r="BQ106" s="785">
        <f t="shared" si="49"/>
        <v>-8.8951641369573009E-2</v>
      </c>
      <c r="BR106" s="785">
        <f t="shared" si="49"/>
        <v>-0.26047183437650323</v>
      </c>
      <c r="BS106" s="735">
        <f t="shared" si="49"/>
        <v>-0.26047183437650323</v>
      </c>
      <c r="BT106" s="788">
        <f t="shared" si="49"/>
        <v>0.87368421052631562</v>
      </c>
      <c r="BU106" s="785">
        <f t="shared" si="49"/>
        <v>0.80595994042971886</v>
      </c>
      <c r="BV106" s="785">
        <f t="shared" si="49"/>
        <v>0.14966426887796813</v>
      </c>
      <c r="BW106" s="785">
        <f t="shared" si="49"/>
        <v>1.1420731439563117</v>
      </c>
      <c r="BX106" s="735">
        <f t="shared" si="49"/>
        <v>1.1420731439563117</v>
      </c>
      <c r="BY106" s="785">
        <f t="shared" si="49"/>
        <v>-3.8808011914048479E-2</v>
      </c>
      <c r="BZ106" s="785">
        <f t="shared" si="49"/>
        <v>-2.148885534239886E-2</v>
      </c>
      <c r="CA106" s="785">
        <f t="shared" si="49"/>
        <v>-4.9469929703231941E-3</v>
      </c>
      <c r="CB106" s="785">
        <f t="shared" si="49"/>
        <v>3.1230062950885262E-2</v>
      </c>
      <c r="CC106" s="735">
        <f t="shared" si="49"/>
        <v>3.1230062950885262E-2</v>
      </c>
      <c r="CD106" s="785">
        <f t="shared" si="49"/>
        <v>3.1542875599944065E-2</v>
      </c>
      <c r="CE106" s="785">
        <f t="shared" si="49"/>
        <v>3.1568602691285141E-2</v>
      </c>
      <c r="CF106" s="785">
        <f t="shared" si="49"/>
        <v>3.355821480240806E-2</v>
      </c>
      <c r="CG106" s="785">
        <f t="shared" si="49"/>
        <v>3.3529027485144747E-2</v>
      </c>
      <c r="CH106" s="735">
        <f t="shared" si="49"/>
        <v>3.3529027485144747E-2</v>
      </c>
      <c r="CI106" s="785">
        <f t="shared" si="49"/>
        <v>3.4247748210556317E-2</v>
      </c>
      <c r="CJ106" s="785">
        <f t="shared" si="49"/>
        <v>3.4594157312945351E-2</v>
      </c>
      <c r="CK106" s="785">
        <f t="shared" si="49"/>
        <v>3.6076250763610762E-2</v>
      </c>
      <c r="CL106" s="785">
        <f t="shared" si="49"/>
        <v>3.7673770265350459E-2</v>
      </c>
      <c r="CM106" s="735">
        <f t="shared" si="49"/>
        <v>3.7673770265350459E-2</v>
      </c>
      <c r="CN106" s="785">
        <f t="shared" si="49"/>
        <v>3.7844204869595055E-2</v>
      </c>
      <c r="CO106" s="785">
        <f t="shared" si="49"/>
        <v>3.8581636170023081E-2</v>
      </c>
      <c r="CP106" s="785">
        <f t="shared" si="49"/>
        <v>3.9462749485829729E-2</v>
      </c>
      <c r="CQ106" s="785">
        <f t="shared" si="49"/>
        <v>3.8322986127084402E-2</v>
      </c>
      <c r="CR106" s="735">
        <f t="shared" si="49"/>
        <v>3.8322986127084402E-2</v>
      </c>
      <c r="CT106" s="797"/>
      <c r="CU106" s="797"/>
      <c r="CW106" s="725"/>
      <c r="CX106" s="725"/>
      <c r="CY106" s="725"/>
      <c r="CZ106" s="725"/>
      <c r="DA106" s="725"/>
      <c r="DB106" s="725"/>
      <c r="DC106" s="725"/>
      <c r="DD106" s="725"/>
      <c r="DE106" s="725"/>
      <c r="DF106" s="725"/>
      <c r="DG106" s="725"/>
      <c r="DH106" s="725"/>
      <c r="DI106" s="725"/>
    </row>
    <row r="107" spans="1:113" ht="12" customHeight="1">
      <c r="A107" s="733" t="s">
        <v>883</v>
      </c>
      <c r="B107" s="791"/>
      <c r="C107" s="791"/>
      <c r="D107" s="791"/>
      <c r="E107" s="791"/>
      <c r="F107" s="792"/>
      <c r="G107" s="788"/>
      <c r="H107" s="788"/>
      <c r="I107" s="788"/>
      <c r="J107" s="788"/>
      <c r="K107" s="762"/>
      <c r="L107" s="788"/>
      <c r="M107" s="788"/>
      <c r="N107" s="788"/>
      <c r="O107" s="788"/>
      <c r="P107" s="762"/>
      <c r="Q107" s="788"/>
      <c r="R107" s="788"/>
      <c r="S107" s="788"/>
      <c r="T107" s="788"/>
      <c r="U107" s="762"/>
      <c r="V107" s="788"/>
      <c r="W107" s="788"/>
      <c r="X107" s="788"/>
      <c r="Y107" s="788"/>
      <c r="Z107" s="762"/>
      <c r="AA107" s="788"/>
      <c r="AB107" s="788"/>
      <c r="AC107" s="788"/>
      <c r="AD107" s="788"/>
      <c r="AE107" s="762"/>
      <c r="AF107" s="788"/>
      <c r="AG107" s="788"/>
      <c r="AH107" s="788"/>
      <c r="AI107" s="788"/>
      <c r="AJ107" s="762"/>
      <c r="AK107" s="788"/>
      <c r="AL107" s="788"/>
      <c r="AM107" s="788"/>
      <c r="AN107" s="788"/>
      <c r="AO107" s="762"/>
      <c r="AP107" s="788"/>
      <c r="AQ107" s="788"/>
      <c r="AR107" s="788"/>
      <c r="AS107" s="788"/>
      <c r="AT107" s="762"/>
      <c r="AU107" s="788"/>
      <c r="AV107" s="788">
        <f>+AV105/AU105-1</f>
        <v>0.12227362855254476</v>
      </c>
      <c r="AW107" s="788">
        <f>+AW105/AV105-1</f>
        <v>-0.16077738515901052</v>
      </c>
      <c r="AX107" s="788">
        <f>+AX105/AW105-1</f>
        <v>-0.8308771929824561</v>
      </c>
      <c r="AY107" s="762"/>
      <c r="AZ107" s="788">
        <f>+AZ105/AX105-1</f>
        <v>2.0788381742738591</v>
      </c>
      <c r="BA107" s="788">
        <f>+BA105/AZ105-1</f>
        <v>0.90498652291105119</v>
      </c>
      <c r="BB107" s="788">
        <f>+BB105/BA105-1</f>
        <v>-0.34630350194552528</v>
      </c>
      <c r="BC107" s="788">
        <f>+BC105/BB105-1</f>
        <v>-0.38257575757575757</v>
      </c>
      <c r="BD107" s="762"/>
      <c r="BE107" s="788">
        <f>+BE105/BC105-1</f>
        <v>0.36897458369851011</v>
      </c>
      <c r="BF107" s="788">
        <f>+BF105/BE105-1</f>
        <v>0.6965428937259921</v>
      </c>
      <c r="BG107" s="788">
        <f>+BG105/BF105-1</f>
        <v>-9.4339622641509413E-2</v>
      </c>
      <c r="BH107" s="788">
        <f>+BH105/BG105-1</f>
        <v>4.4583333333333419E-2</v>
      </c>
      <c r="BI107" s="762"/>
      <c r="BJ107" s="788">
        <f>+BJ105/BH105-1</f>
        <v>7.2995612285600142E-2</v>
      </c>
      <c r="BK107" s="734">
        <f>+BK105/BJ105-1</f>
        <v>-0.17769516728624524</v>
      </c>
      <c r="BL107" s="788">
        <f>+BL105/BK105-1</f>
        <v>0.28074141048824597</v>
      </c>
      <c r="BM107" s="734">
        <f>+BM105/BL105-1</f>
        <v>-0.26685492410871936</v>
      </c>
      <c r="BN107" s="736"/>
      <c r="BO107" s="788">
        <f>+BO105/BM105-1</f>
        <v>-0.22243620606644132</v>
      </c>
      <c r="BP107" s="734">
        <f>+BP105/BO105-1</f>
        <v>-6.3157894736842191E-2</v>
      </c>
      <c r="BQ107" s="734">
        <f>+BQ105/BP105-1</f>
        <v>0.70588235294117663</v>
      </c>
      <c r="BR107" s="734">
        <f>+BR105/BQ105-1</f>
        <v>-0.4048818287485465</v>
      </c>
      <c r="BS107" s="736"/>
      <c r="BT107" s="788">
        <f>+BT105/BR105-1</f>
        <v>0.97005208333333148</v>
      </c>
      <c r="BU107" s="734">
        <f>+BU105/BT105-1</f>
        <v>-9.7020029785140571E-2</v>
      </c>
      <c r="BV107" s="734">
        <f>+BV105/BU105-1</f>
        <v>8.5955421369584784E-2</v>
      </c>
      <c r="BW107" s="734">
        <f>+BW105/BV105-1</f>
        <v>0.10883384534711027</v>
      </c>
      <c r="BX107" s="736"/>
      <c r="BY107" s="734">
        <f>+BY105/BW105-1</f>
        <v>-0.11599737667470789</v>
      </c>
      <c r="BZ107" s="734">
        <f>+BZ105/BY105-1</f>
        <v>-8.0749761535863107E-2</v>
      </c>
      <c r="CA107" s="734">
        <f>+CA105/BZ105-1</f>
        <v>0.10431364367556673</v>
      </c>
      <c r="CB107" s="734">
        <f>+CB105/CA105-1</f>
        <v>0.14914762134402526</v>
      </c>
      <c r="CC107" s="736"/>
      <c r="CD107" s="734">
        <f>+CD105/CB105-1</f>
        <v>-0.11572922390035401</v>
      </c>
      <c r="CE107" s="734">
        <f>+CE105/CD105-1</f>
        <v>-8.0726835067744696E-2</v>
      </c>
      <c r="CF107" s="734">
        <f>+CF105/CE105-1</f>
        <v>0.10644356096289309</v>
      </c>
      <c r="CG107" s="734">
        <f>+CG105/CF105-1</f>
        <v>0.14911516982293427</v>
      </c>
      <c r="CH107" s="736"/>
      <c r="CI107" s="734">
        <f>+CI105/CG105-1</f>
        <v>-0.11511429803300322</v>
      </c>
      <c r="CJ107" s="734">
        <f>+CJ105/CI105-1</f>
        <v>-8.0418935347909226E-2</v>
      </c>
      <c r="CK107" s="734">
        <f>+CK105/CJ105-1</f>
        <v>0.10802858127606862</v>
      </c>
      <c r="CL107" s="734">
        <f>+CL105/CK105-1</f>
        <v>0.15088698332815076</v>
      </c>
      <c r="CM107" s="736"/>
      <c r="CN107" s="734">
        <f>+CN105/CL105-1</f>
        <v>-0.11496895838123777</v>
      </c>
      <c r="CO107" s="734">
        <f>+CO105/CN105-1</f>
        <v>-7.9765534907675906E-2</v>
      </c>
      <c r="CP107" s="734">
        <f>+CP105/CO105-1</f>
        <v>0.10896861208660469</v>
      </c>
      <c r="CQ107" s="734">
        <f>+CQ105/CP105-1</f>
        <v>0.14962504410589084</v>
      </c>
      <c r="CR107" s="736"/>
      <c r="CT107" s="797"/>
      <c r="CU107" s="797"/>
      <c r="CW107" s="725"/>
      <c r="CX107" s="725"/>
      <c r="CY107" s="725"/>
      <c r="CZ107" s="725"/>
      <c r="DA107" s="725"/>
      <c r="DB107" s="725"/>
      <c r="DC107" s="725"/>
      <c r="DD107" s="725"/>
      <c r="DE107" s="725"/>
      <c r="DF107" s="725"/>
      <c r="DG107" s="725"/>
      <c r="DH107" s="725"/>
      <c r="DI107" s="725"/>
    </row>
    <row r="108" spans="1:113" ht="12" customHeight="1">
      <c r="A108" s="733"/>
      <c r="B108" s="791"/>
      <c r="C108" s="791"/>
      <c r="D108" s="791"/>
      <c r="E108" s="791"/>
      <c r="F108" s="792"/>
      <c r="G108" s="791"/>
      <c r="H108" s="791"/>
      <c r="I108" s="791"/>
      <c r="J108" s="791"/>
      <c r="K108" s="792"/>
      <c r="L108" s="791"/>
      <c r="M108" s="791"/>
      <c r="N108" s="791"/>
      <c r="O108" s="791"/>
      <c r="P108" s="762"/>
      <c r="Q108" s="791"/>
      <c r="R108" s="791"/>
      <c r="S108" s="791"/>
      <c r="T108" s="791"/>
      <c r="U108" s="792"/>
      <c r="V108" s="791"/>
      <c r="W108" s="791"/>
      <c r="X108" s="791"/>
      <c r="Y108" s="791"/>
      <c r="Z108" s="792"/>
      <c r="AA108" s="791"/>
      <c r="AB108" s="791"/>
      <c r="AC108" s="791"/>
      <c r="AD108" s="791"/>
      <c r="AE108" s="762"/>
      <c r="AF108" s="813"/>
      <c r="AG108" s="813"/>
      <c r="AH108" s="813"/>
      <c r="AI108" s="813"/>
      <c r="AJ108" s="762"/>
      <c r="AK108" s="813"/>
      <c r="AL108" s="813"/>
      <c r="AM108" s="813"/>
      <c r="AN108" s="813"/>
      <c r="AO108" s="762"/>
      <c r="AP108" s="813"/>
      <c r="AQ108" s="813"/>
      <c r="AR108" s="813"/>
      <c r="AS108" s="813"/>
      <c r="AT108" s="762"/>
      <c r="AU108" s="813"/>
      <c r="AV108" s="813"/>
      <c r="AW108" s="813"/>
      <c r="AX108" s="813"/>
      <c r="AY108" s="812"/>
      <c r="AZ108" s="813"/>
      <c r="BA108" s="813"/>
      <c r="BB108" s="813"/>
      <c r="BC108" s="813"/>
      <c r="BD108" s="812"/>
      <c r="BE108" s="813"/>
      <c r="BF108" s="813"/>
      <c r="BG108" s="813"/>
      <c r="BH108" s="813"/>
      <c r="BI108" s="812"/>
      <c r="BJ108" s="813"/>
      <c r="BK108" s="811"/>
      <c r="BL108" s="813"/>
      <c r="BM108" s="811"/>
      <c r="BN108" s="812"/>
      <c r="BO108" s="813"/>
      <c r="BP108" s="811"/>
      <c r="BQ108" s="811"/>
      <c r="BR108" s="811"/>
      <c r="BS108" s="812"/>
      <c r="BT108" s="813"/>
      <c r="BU108" s="811"/>
      <c r="BV108" s="811"/>
      <c r="BW108" s="811"/>
      <c r="BX108" s="812"/>
      <c r="BY108" s="811"/>
      <c r="BZ108" s="811"/>
      <c r="CA108" s="811"/>
      <c r="CB108" s="811"/>
      <c r="CC108" s="812"/>
      <c r="CD108" s="811"/>
      <c r="CE108" s="811"/>
      <c r="CF108" s="811"/>
      <c r="CG108" s="811"/>
      <c r="CH108" s="812"/>
      <c r="CI108" s="811"/>
      <c r="CJ108" s="811"/>
      <c r="CK108" s="811"/>
      <c r="CL108" s="811"/>
      <c r="CM108" s="812"/>
      <c r="CN108" s="811"/>
      <c r="CO108" s="811"/>
      <c r="CP108" s="811"/>
      <c r="CQ108" s="811"/>
      <c r="CR108" s="812"/>
      <c r="CT108" s="797"/>
      <c r="CU108" s="797"/>
      <c r="CW108" s="725"/>
      <c r="CX108" s="725"/>
      <c r="CY108" s="725"/>
      <c r="CZ108" s="725"/>
      <c r="DA108" s="725"/>
      <c r="DB108" s="725"/>
      <c r="DC108" s="725"/>
      <c r="DD108" s="725"/>
      <c r="DE108" s="725"/>
      <c r="DF108" s="725"/>
      <c r="DG108" s="725"/>
      <c r="DH108" s="725"/>
      <c r="DI108" s="725"/>
    </row>
    <row r="109" spans="1:113" ht="12" customHeight="1">
      <c r="A109" s="786" t="s">
        <v>920</v>
      </c>
      <c r="B109" s="791"/>
      <c r="C109" s="791"/>
      <c r="D109" s="791"/>
      <c r="E109" s="791"/>
      <c r="F109" s="792"/>
      <c r="G109" s="791"/>
      <c r="H109" s="791"/>
      <c r="I109" s="791"/>
      <c r="J109" s="791"/>
      <c r="K109" s="792"/>
      <c r="L109" s="791"/>
      <c r="M109" s="791"/>
      <c r="N109" s="791"/>
      <c r="O109" s="813"/>
      <c r="P109" s="762"/>
      <c r="Q109" s="813"/>
      <c r="R109" s="813"/>
      <c r="S109" s="813"/>
      <c r="T109" s="813"/>
      <c r="U109" s="762"/>
      <c r="V109" s="813"/>
      <c r="W109" s="813"/>
      <c r="X109" s="813"/>
      <c r="Y109" s="813"/>
      <c r="Z109" s="762"/>
      <c r="AA109" s="813"/>
      <c r="AB109" s="813"/>
      <c r="AC109" s="813"/>
      <c r="AD109" s="813"/>
      <c r="AE109" s="762"/>
      <c r="AF109" s="813"/>
      <c r="AG109" s="813"/>
      <c r="AH109" s="813"/>
      <c r="AI109" s="813"/>
      <c r="AJ109" s="762"/>
      <c r="AK109" s="813"/>
      <c r="AL109" s="813"/>
      <c r="AM109" s="813"/>
      <c r="AN109" s="813"/>
      <c r="AO109" s="762"/>
      <c r="AP109" s="813"/>
      <c r="AQ109" s="813"/>
      <c r="AR109" s="813"/>
      <c r="AS109" s="813"/>
      <c r="AT109" s="762">
        <f>+AT96-AO96</f>
        <v>67.902999999999992</v>
      </c>
      <c r="AU109" s="813">
        <f>+AU96-AT96</f>
        <v>-16.237499999999983</v>
      </c>
      <c r="AV109" s="813">
        <f>+AV96-AU96</f>
        <v>-16.237500000000011</v>
      </c>
      <c r="AW109" s="813">
        <f>+AW96-AV96</f>
        <v>-35.372</v>
      </c>
      <c r="AX109" s="813">
        <f>+AX96-AW96</f>
        <v>13.337000000000003</v>
      </c>
      <c r="AY109" s="762">
        <f>+AY96-AT96</f>
        <v>-54.509999999999991</v>
      </c>
      <c r="AZ109" s="813">
        <f>+AZ96-AX96</f>
        <v>9.61</v>
      </c>
      <c r="BA109" s="813">
        <f>+BA96-AZ96</f>
        <v>10.471999999999994</v>
      </c>
      <c r="BB109" s="813">
        <f>+BB96-BA96</f>
        <v>39.128000000000014</v>
      </c>
      <c r="BC109" s="813">
        <f>+BC96-BB96</f>
        <v>42.749999999999972</v>
      </c>
      <c r="BD109" s="762">
        <f>+BD96-AY96</f>
        <v>101.95999999999998</v>
      </c>
      <c r="BE109" s="813">
        <f>+BE96-BC96</f>
        <v>-12.448999999999955</v>
      </c>
      <c r="BF109" s="813">
        <f>+BF96-BE96</f>
        <v>3.3999999999991815E-2</v>
      </c>
      <c r="BG109" s="813">
        <f>+BG96-BF96</f>
        <v>-3.7379999999999995</v>
      </c>
      <c r="BH109" s="813">
        <f>+BH96-BG96</f>
        <v>30.350999999999999</v>
      </c>
      <c r="BI109" s="762">
        <f>+BI96-BD96</f>
        <v>14.198000000000036</v>
      </c>
      <c r="BJ109" s="813">
        <f>+BJ96-BH96</f>
        <v>-23.402000000000015</v>
      </c>
      <c r="BK109" s="813">
        <f>+BK96-BJ96</f>
        <v>-9.8950000000000102</v>
      </c>
      <c r="BL109" s="813">
        <f>+BL96-BK96</f>
        <v>6.0519999999999925</v>
      </c>
      <c r="BM109" s="813">
        <f>+BM96-BL96</f>
        <v>36.129000000000019</v>
      </c>
      <c r="BN109" s="762">
        <f>+BN96-BI96</f>
        <v>8.8839999999999861</v>
      </c>
      <c r="BO109" s="813">
        <f>+BO96-BM96</f>
        <v>-26.402999999999992</v>
      </c>
      <c r="BP109" s="813">
        <f>+BP96-BO96</f>
        <v>-16.308999999999997</v>
      </c>
      <c r="BQ109" s="813">
        <f>+BQ96-BP96</f>
        <v>17.603999999999985</v>
      </c>
      <c r="BR109" s="813">
        <f>+BR96-BQ96</f>
        <v>28.169000000000011</v>
      </c>
      <c r="BS109" s="762">
        <f>+BS96-BN96</f>
        <v>3.061000000000007</v>
      </c>
      <c r="BT109" s="813">
        <f>+BT96-BR96</f>
        <v>-12.13300000000001</v>
      </c>
      <c r="BU109" s="813">
        <f>+BU96-BT96</f>
        <v>-20</v>
      </c>
      <c r="BV109" s="813">
        <f>+BV96-BU96</f>
        <v>16</v>
      </c>
      <c r="BW109" s="813">
        <f>+BW96-BV96</f>
        <v>22</v>
      </c>
      <c r="BX109" s="762">
        <f>+BX96-BS96</f>
        <v>5.8669999999999902</v>
      </c>
      <c r="BY109" s="813">
        <f>+BY96-BW96</f>
        <v>-26</v>
      </c>
      <c r="BZ109" s="813">
        <f>+BZ96-BY96</f>
        <v>-16</v>
      </c>
      <c r="CA109" s="813">
        <f>+CA96-BZ96</f>
        <v>19</v>
      </c>
      <c r="CB109" s="813">
        <f>+CB96-CA96</f>
        <v>30</v>
      </c>
      <c r="CC109" s="762">
        <f>+CC96-BX96</f>
        <v>7</v>
      </c>
      <c r="CD109" s="813">
        <f>+CD96-CB96</f>
        <v>-26.75</v>
      </c>
      <c r="CE109" s="813">
        <f>+CE96-CD96</f>
        <v>-16.5</v>
      </c>
      <c r="CF109" s="813">
        <f>+CF96-CE96</f>
        <v>20</v>
      </c>
      <c r="CG109" s="813">
        <f>+CG96-CF96</f>
        <v>31</v>
      </c>
      <c r="CH109" s="762">
        <f>+CH96-CC96</f>
        <v>7.75</v>
      </c>
      <c r="CI109" s="813">
        <f>+CI96-CG96</f>
        <v>-27.5</v>
      </c>
      <c r="CJ109" s="813">
        <f>+CJ96-CI96</f>
        <v>-17</v>
      </c>
      <c r="CK109" s="813">
        <f>+CK96-CJ96</f>
        <v>21</v>
      </c>
      <c r="CL109" s="813">
        <f>+CL96-CK96</f>
        <v>32.5</v>
      </c>
      <c r="CM109" s="762">
        <f>+CM96-CH96</f>
        <v>9</v>
      </c>
      <c r="CN109" s="813">
        <f>+CN96-CL96</f>
        <v>-28.5</v>
      </c>
      <c r="CO109" s="813">
        <f>+CO96-CN96</f>
        <v>-17.5</v>
      </c>
      <c r="CP109" s="813">
        <f>+CP96-CO96</f>
        <v>22</v>
      </c>
      <c r="CQ109" s="813">
        <f>+CQ96-CP96</f>
        <v>33.500000000000028</v>
      </c>
      <c r="CR109" s="762">
        <f>+CR96-CM96</f>
        <v>9.5000000000000284</v>
      </c>
      <c r="CT109" s="797"/>
      <c r="CU109" s="797"/>
      <c r="CW109" s="725">
        <f>+AJ109-SUM(AF109:AI109)</f>
        <v>0</v>
      </c>
      <c r="CX109" s="725">
        <f>+AO109-SUM(AK109:AN109)</f>
        <v>0</v>
      </c>
      <c r="CY109" s="725">
        <f>+AT109-SUM(AP109:AS109)</f>
        <v>67.902999999999992</v>
      </c>
      <c r="CZ109" s="725">
        <f>+AY109-SUM(AU109:AX109)</f>
        <v>0</v>
      </c>
      <c r="DA109" s="725">
        <f>+BD109-SUM(AZ109:BC109)</f>
        <v>0</v>
      </c>
      <c r="DB109" s="725">
        <f>+BI109-SUM(BE109:BH109)</f>
        <v>0</v>
      </c>
      <c r="DC109" s="725">
        <f>+BN109-SUM(BJ109:BM109)</f>
        <v>0</v>
      </c>
      <c r="DD109" s="725">
        <f>+BS109-SUM(BO109:BR109)</f>
        <v>0</v>
      </c>
      <c r="DE109" s="725">
        <f>+BX109-SUM(BT109:BW109)</f>
        <v>0</v>
      </c>
      <c r="DF109" s="725">
        <f>+CC109-SUM(BY109:CB109)</f>
        <v>0</v>
      </c>
      <c r="DG109" s="725">
        <f>+CH109-SUM(CD109:CG109)</f>
        <v>0</v>
      </c>
      <c r="DH109" s="725">
        <f>+CM109-SUM(CI109:CL109)</f>
        <v>0</v>
      </c>
      <c r="DI109" s="725">
        <f>+CR109-SUM(CN109:CQ109)</f>
        <v>0</v>
      </c>
    </row>
    <row r="110" spans="1:113" ht="12" customHeight="1">
      <c r="A110" s="733"/>
      <c r="B110" s="798"/>
      <c r="C110" s="730"/>
      <c r="D110" s="730" t="s">
        <v>921</v>
      </c>
      <c r="E110" s="798"/>
      <c r="F110" s="756"/>
      <c r="G110" s="798"/>
      <c r="H110" s="730"/>
      <c r="I110" s="730"/>
      <c r="J110" s="798"/>
      <c r="K110" s="756"/>
      <c r="L110" s="730"/>
      <c r="M110" s="730"/>
      <c r="N110" s="730"/>
      <c r="O110" s="730"/>
      <c r="P110" s="756"/>
      <c r="Q110" s="798"/>
      <c r="R110" s="730"/>
      <c r="S110" s="730"/>
      <c r="T110" s="798"/>
      <c r="U110" s="756"/>
      <c r="V110" s="798"/>
      <c r="W110" s="730"/>
      <c r="X110" s="730"/>
      <c r="Y110" s="798"/>
      <c r="Z110" s="756"/>
      <c r="AA110" s="730"/>
      <c r="AB110" s="730"/>
      <c r="AC110" s="730"/>
      <c r="AD110" s="730"/>
      <c r="AE110" s="756"/>
      <c r="AF110" s="730"/>
      <c r="AG110" s="730"/>
      <c r="AH110" s="730"/>
      <c r="AI110" s="730"/>
      <c r="AJ110" s="736"/>
      <c r="AK110" s="730"/>
      <c r="AL110" s="730"/>
      <c r="AM110" s="730"/>
      <c r="AN110" s="730"/>
      <c r="AO110" s="736"/>
      <c r="AP110" s="730"/>
      <c r="AQ110" s="730"/>
      <c r="AR110" s="730"/>
      <c r="AS110" s="730"/>
      <c r="AT110" s="736"/>
      <c r="AU110" s="730"/>
      <c r="AV110" s="730"/>
      <c r="AW110" s="730"/>
      <c r="AX110" s="730"/>
      <c r="AY110" s="799"/>
      <c r="AZ110" s="730"/>
      <c r="BA110" s="730"/>
      <c r="BB110" s="730"/>
      <c r="BC110" s="730"/>
      <c r="BD110" s="799"/>
      <c r="BE110" s="730"/>
      <c r="BF110" s="800"/>
      <c r="BG110" s="800"/>
      <c r="BH110" s="800"/>
      <c r="BI110" s="799"/>
      <c r="BJ110" s="730"/>
      <c r="BK110" s="800"/>
      <c r="BL110" s="800"/>
      <c r="BM110" s="800"/>
      <c r="BN110" s="799"/>
      <c r="BO110" s="730"/>
      <c r="BP110" s="800"/>
      <c r="BQ110" s="800"/>
      <c r="BR110" s="800"/>
      <c r="BS110" s="799"/>
      <c r="BT110" s="730"/>
      <c r="BU110" s="800"/>
      <c r="BV110" s="800"/>
      <c r="BW110" s="800"/>
      <c r="BX110" s="799"/>
      <c r="BY110" s="800"/>
      <c r="BZ110" s="800"/>
      <c r="CA110" s="800"/>
      <c r="CB110" s="800"/>
      <c r="CC110" s="799"/>
      <c r="CD110" s="800"/>
      <c r="CE110" s="800"/>
      <c r="CF110" s="800"/>
      <c r="CG110" s="800"/>
      <c r="CH110" s="799"/>
      <c r="CI110" s="800"/>
      <c r="CJ110" s="800"/>
      <c r="CK110" s="800"/>
      <c r="CL110" s="800"/>
      <c r="CM110" s="799"/>
      <c r="CN110" s="800"/>
      <c r="CO110" s="800"/>
      <c r="CP110" s="800"/>
      <c r="CQ110" s="800"/>
      <c r="CR110" s="799"/>
      <c r="CT110" s="801"/>
      <c r="CU110" s="801"/>
      <c r="CW110" s="725"/>
      <c r="CX110" s="725"/>
      <c r="CY110" s="725"/>
      <c r="CZ110" s="725"/>
      <c r="DA110" s="725"/>
      <c r="DB110" s="725"/>
      <c r="DC110" s="725"/>
      <c r="DD110" s="725"/>
      <c r="DE110" s="725"/>
      <c r="DF110" s="725"/>
      <c r="DG110" s="725"/>
      <c r="DH110" s="725"/>
      <c r="DI110" s="725"/>
    </row>
    <row r="111" spans="1:113" ht="12" customHeight="1">
      <c r="A111" s="760" t="s">
        <v>922</v>
      </c>
      <c r="B111" s="798"/>
      <c r="C111" s="730"/>
      <c r="D111" s="730"/>
      <c r="E111" s="798"/>
      <c r="F111" s="756"/>
      <c r="G111" s="798"/>
      <c r="H111" s="730"/>
      <c r="I111" s="730"/>
      <c r="J111" s="798"/>
      <c r="K111" s="756"/>
      <c r="L111" s="730"/>
      <c r="M111" s="730"/>
      <c r="N111" s="730"/>
      <c r="O111" s="730"/>
      <c r="P111" s="756"/>
      <c r="Q111" s="798"/>
      <c r="R111" s="730"/>
      <c r="S111" s="730"/>
      <c r="T111" s="798"/>
      <c r="U111" s="756"/>
      <c r="V111" s="798"/>
      <c r="W111" s="730"/>
      <c r="X111" s="730"/>
      <c r="Y111" s="798"/>
      <c r="Z111" s="756"/>
      <c r="AA111" s="730"/>
      <c r="AB111" s="730"/>
      <c r="AC111" s="730"/>
      <c r="AD111" s="730"/>
      <c r="AE111" s="756"/>
      <c r="AF111" s="761"/>
      <c r="AG111" s="761"/>
      <c r="AH111" s="761"/>
      <c r="AI111" s="761"/>
      <c r="AJ111" s="762"/>
      <c r="AK111" s="761"/>
      <c r="AL111" s="761"/>
      <c r="AM111" s="761"/>
      <c r="AN111" s="761"/>
      <c r="AO111" s="762"/>
      <c r="AP111" s="761"/>
      <c r="AQ111" s="761"/>
      <c r="AR111" s="761"/>
      <c r="AS111" s="761">
        <v>566.79999999999995</v>
      </c>
      <c r="AT111" s="762">
        <f>+AS111</f>
        <v>566.79999999999995</v>
      </c>
      <c r="AU111" s="761"/>
      <c r="AV111" s="761"/>
      <c r="AW111" s="761"/>
      <c r="AX111" s="761">
        <v>555.70000000000005</v>
      </c>
      <c r="AY111" s="762">
        <f>+AX111</f>
        <v>555.70000000000005</v>
      </c>
      <c r="AZ111" s="761"/>
      <c r="BA111" s="761">
        <v>586.5</v>
      </c>
      <c r="BB111" s="761">
        <v>730.8</v>
      </c>
      <c r="BC111" s="761">
        <v>767.9</v>
      </c>
      <c r="BD111" s="762">
        <f>+BC111</f>
        <v>767.9</v>
      </c>
      <c r="BE111" s="761">
        <v>718.1</v>
      </c>
      <c r="BF111" s="761">
        <v>732.9</v>
      </c>
      <c r="BG111" s="761">
        <v>795.1</v>
      </c>
      <c r="BH111" s="761">
        <v>779.6</v>
      </c>
      <c r="BI111" s="799"/>
      <c r="BJ111" s="761">
        <v>780.6</v>
      </c>
      <c r="BK111" s="761">
        <v>755.8</v>
      </c>
      <c r="BL111" s="761">
        <v>806</v>
      </c>
      <c r="BM111" s="814">
        <v>863.1</v>
      </c>
      <c r="BN111" s="799"/>
      <c r="BO111" s="761">
        <v>869.6</v>
      </c>
      <c r="BP111" s="761">
        <v>873.3</v>
      </c>
      <c r="BQ111" s="761">
        <v>931.1</v>
      </c>
      <c r="BR111" s="814">
        <v>968.6</v>
      </c>
      <c r="BS111" s="799"/>
      <c r="BT111" s="761">
        <v>916.2</v>
      </c>
      <c r="BU111" s="811"/>
      <c r="BV111" s="811"/>
      <c r="BW111" s="811"/>
      <c r="BX111" s="799"/>
      <c r="BY111" s="811"/>
      <c r="BZ111" s="811"/>
      <c r="CA111" s="811"/>
      <c r="CB111" s="811"/>
      <c r="CC111" s="799"/>
      <c r="CD111" s="811"/>
      <c r="CE111" s="811"/>
      <c r="CF111" s="811"/>
      <c r="CG111" s="811"/>
      <c r="CH111" s="799"/>
      <c r="CI111" s="811"/>
      <c r="CJ111" s="811"/>
      <c r="CK111" s="811"/>
      <c r="CL111" s="811"/>
      <c r="CM111" s="799"/>
      <c r="CN111" s="811"/>
      <c r="CO111" s="811"/>
      <c r="CP111" s="811"/>
      <c r="CQ111" s="811"/>
      <c r="CR111" s="799"/>
      <c r="CT111" s="801"/>
      <c r="CU111" s="801"/>
      <c r="CW111" s="725"/>
      <c r="CX111" s="725"/>
      <c r="CY111" s="725"/>
      <c r="CZ111" s="725"/>
      <c r="DA111" s="725"/>
      <c r="DB111" s="725"/>
      <c r="DC111" s="725"/>
      <c r="DD111" s="725"/>
      <c r="DE111" s="725"/>
      <c r="DF111" s="725"/>
      <c r="DG111" s="725"/>
      <c r="DH111" s="725"/>
      <c r="DI111" s="725"/>
    </row>
    <row r="112" spans="1:113" ht="12" customHeight="1">
      <c r="A112" s="733" t="s">
        <v>881</v>
      </c>
      <c r="B112" s="798"/>
      <c r="C112" s="730"/>
      <c r="D112" s="730"/>
      <c r="E112" s="798"/>
      <c r="F112" s="756"/>
      <c r="G112" s="798"/>
      <c r="H112" s="730"/>
      <c r="I112" s="730"/>
      <c r="J112" s="798"/>
      <c r="K112" s="756"/>
      <c r="L112" s="730"/>
      <c r="M112" s="730"/>
      <c r="N112" s="730"/>
      <c r="O112" s="730"/>
      <c r="P112" s="756"/>
      <c r="Q112" s="798"/>
      <c r="R112" s="730"/>
      <c r="S112" s="730"/>
      <c r="T112" s="798"/>
      <c r="U112" s="756"/>
      <c r="V112" s="798"/>
      <c r="W112" s="730"/>
      <c r="X112" s="730"/>
      <c r="Y112" s="798"/>
      <c r="Z112" s="756"/>
      <c r="AA112" s="730"/>
      <c r="AB112" s="730"/>
      <c r="AC112" s="730"/>
      <c r="AD112" s="730"/>
      <c r="AE112" s="756"/>
      <c r="AF112" s="730"/>
      <c r="AG112" s="730"/>
      <c r="AH112" s="730"/>
      <c r="AI112" s="730"/>
      <c r="AJ112" s="736"/>
      <c r="AK112" s="788"/>
      <c r="AL112" s="788"/>
      <c r="AM112" s="788"/>
      <c r="AN112" s="788"/>
      <c r="AO112" s="735"/>
      <c r="AP112" s="788"/>
      <c r="AQ112" s="788"/>
      <c r="AR112" s="788"/>
      <c r="AS112" s="788"/>
      <c r="AT112" s="735"/>
      <c r="AU112" s="788"/>
      <c r="AV112" s="788"/>
      <c r="AW112" s="788"/>
      <c r="AX112" s="788">
        <f>+AX111/AS111-1</f>
        <v>-1.9583627381792312E-2</v>
      </c>
      <c r="AY112" s="793">
        <f>+AY111/AT111-1</f>
        <v>-1.9583627381792312E-2</v>
      </c>
      <c r="AZ112" s="788"/>
      <c r="BA112" s="788"/>
      <c r="BB112" s="788"/>
      <c r="BC112" s="788">
        <f>+BC111/AX111-1</f>
        <v>0.38186071621378437</v>
      </c>
      <c r="BD112" s="793">
        <f>+BD111/AY111-1</f>
        <v>0.38186071621378437</v>
      </c>
      <c r="BE112" s="788"/>
      <c r="BF112" s="788">
        <f>+BF111/BA111-1</f>
        <v>0.24961636828644496</v>
      </c>
      <c r="BG112" s="788">
        <f>+BG111/BB111-1</f>
        <v>8.7985769020251903E-2</v>
      </c>
      <c r="BH112" s="788">
        <f>+BH111/BC111-1</f>
        <v>1.5236358900898583E-2</v>
      </c>
      <c r="BI112" s="799"/>
      <c r="BJ112" s="788">
        <f>+BJ111/BE111-1</f>
        <v>8.7035231861857687E-2</v>
      </c>
      <c r="BK112" s="788">
        <f>+BK111/BF111-1</f>
        <v>3.1245736116796152E-2</v>
      </c>
      <c r="BL112" s="788">
        <f>+BL111/BG111-1</f>
        <v>1.3708967425481111E-2</v>
      </c>
      <c r="BM112" s="788">
        <f>+BM111/BH111-1</f>
        <v>0.10710620831195494</v>
      </c>
      <c r="BN112" s="799"/>
      <c r="BO112" s="788">
        <f>+BO111/BJ111-1</f>
        <v>0.11401486036382269</v>
      </c>
      <c r="BP112" s="788">
        <f>+BP111/BK111-1</f>
        <v>0.1554644085736967</v>
      </c>
      <c r="BQ112" s="788">
        <f>+BQ111/BL111-1</f>
        <v>0.15521091811414389</v>
      </c>
      <c r="BR112" s="788">
        <f>+BR111/BM111-1</f>
        <v>0.12223380836519526</v>
      </c>
      <c r="BS112" s="799"/>
      <c r="BT112" s="788">
        <f>+BT111/BO111-1</f>
        <v>5.3587856485740604E-2</v>
      </c>
      <c r="BU112" s="788"/>
      <c r="BV112" s="788"/>
      <c r="BW112" s="788"/>
      <c r="BX112" s="799"/>
      <c r="BY112" s="788"/>
      <c r="BZ112" s="788"/>
      <c r="CA112" s="788"/>
      <c r="CB112" s="788"/>
      <c r="CC112" s="799"/>
      <c r="CD112" s="788"/>
      <c r="CE112" s="788"/>
      <c r="CF112" s="788"/>
      <c r="CG112" s="788"/>
      <c r="CH112" s="799"/>
      <c r="CI112" s="788"/>
      <c r="CJ112" s="788"/>
      <c r="CK112" s="788"/>
      <c r="CL112" s="788"/>
      <c r="CM112" s="799"/>
      <c r="CN112" s="788"/>
      <c r="CO112" s="788"/>
      <c r="CP112" s="788"/>
      <c r="CQ112" s="788"/>
      <c r="CR112" s="799"/>
      <c r="CT112" s="801"/>
      <c r="CU112" s="801"/>
      <c r="CW112" s="725"/>
      <c r="CX112" s="725"/>
      <c r="CY112" s="725"/>
      <c r="CZ112" s="725"/>
      <c r="DA112" s="725"/>
      <c r="DB112" s="725"/>
      <c r="DC112" s="725"/>
      <c r="DD112" s="725"/>
      <c r="DE112" s="725"/>
      <c r="DF112" s="725"/>
      <c r="DG112" s="725"/>
      <c r="DH112" s="725"/>
      <c r="DI112" s="725"/>
    </row>
    <row r="113" spans="1:113" ht="12" customHeight="1">
      <c r="A113" s="733" t="s">
        <v>883</v>
      </c>
      <c r="B113" s="798"/>
      <c r="C113" s="730"/>
      <c r="D113" s="730"/>
      <c r="E113" s="798"/>
      <c r="F113" s="756"/>
      <c r="G113" s="798"/>
      <c r="H113" s="730"/>
      <c r="I113" s="730"/>
      <c r="J113" s="798"/>
      <c r="K113" s="756"/>
      <c r="L113" s="730"/>
      <c r="M113" s="730"/>
      <c r="N113" s="730"/>
      <c r="O113" s="730"/>
      <c r="P113" s="756"/>
      <c r="Q113" s="798"/>
      <c r="R113" s="730"/>
      <c r="S113" s="730"/>
      <c r="T113" s="798"/>
      <c r="U113" s="756"/>
      <c r="V113" s="798"/>
      <c r="W113" s="730"/>
      <c r="X113" s="730"/>
      <c r="Y113" s="798"/>
      <c r="Z113" s="756"/>
      <c r="AA113" s="730"/>
      <c r="AB113" s="730"/>
      <c r="AC113" s="730"/>
      <c r="AD113" s="730"/>
      <c r="AE113" s="756"/>
      <c r="AF113" s="730"/>
      <c r="AG113" s="788"/>
      <c r="AH113" s="788"/>
      <c r="AI113" s="788"/>
      <c r="AJ113" s="762"/>
      <c r="AK113" s="788"/>
      <c r="AL113" s="788"/>
      <c r="AM113" s="788"/>
      <c r="AN113" s="788"/>
      <c r="AO113" s="762"/>
      <c r="AP113" s="788"/>
      <c r="AQ113" s="788"/>
      <c r="AR113" s="788"/>
      <c r="AS113" s="788"/>
      <c r="AT113" s="762"/>
      <c r="AU113" s="788"/>
      <c r="AV113" s="788"/>
      <c r="AW113" s="788"/>
      <c r="AX113" s="788"/>
      <c r="AY113" s="799"/>
      <c r="AZ113" s="788"/>
      <c r="BA113" s="788"/>
      <c r="BB113" s="788">
        <f>+BB111/BA111-1</f>
        <v>0.24603580562659833</v>
      </c>
      <c r="BC113" s="788">
        <f>+BC111/BB111-1</f>
        <v>5.076628352490431E-2</v>
      </c>
      <c r="BD113" s="799"/>
      <c r="BE113" s="788">
        <f>+BE111/BC111-1</f>
        <v>-6.4852194296132204E-2</v>
      </c>
      <c r="BF113" s="788">
        <f>+BF111/BE111-1</f>
        <v>2.0609942904887824E-2</v>
      </c>
      <c r="BG113" s="788">
        <f>+BG111/BF111-1</f>
        <v>8.4868331286669374E-2</v>
      </c>
      <c r="BH113" s="788">
        <f>+BH111/BG111-1</f>
        <v>-1.9494403219720735E-2</v>
      </c>
      <c r="BI113" s="799"/>
      <c r="BJ113" s="788">
        <f>+BJ111/BH111-1</f>
        <v>1.2827090815803466E-3</v>
      </c>
      <c r="BK113" s="788">
        <f>+BK111/BJ111-1</f>
        <v>-3.1770433000256282E-2</v>
      </c>
      <c r="BL113" s="788">
        <f>+BL111/BK111-1</f>
        <v>6.6419687748081602E-2</v>
      </c>
      <c r="BM113" s="788">
        <f>+BM111/BL111-1</f>
        <v>7.0843672456575746E-2</v>
      </c>
      <c r="BN113" s="799"/>
      <c r="BO113" s="788">
        <f>+BO111/BM111-1</f>
        <v>7.5309929324527403E-3</v>
      </c>
      <c r="BP113" s="788">
        <f>+BP111/BO111-1</f>
        <v>4.2548298068076917E-3</v>
      </c>
      <c r="BQ113" s="788">
        <f>+BQ111/BP111-1</f>
        <v>6.6185732279858023E-2</v>
      </c>
      <c r="BR113" s="788">
        <f>+BR111/BQ111-1</f>
        <v>4.0274943615078884E-2</v>
      </c>
      <c r="BS113" s="799"/>
      <c r="BT113" s="788">
        <f>+BT111/BR111-1</f>
        <v>-5.4098699153417251E-2</v>
      </c>
      <c r="BU113" s="788"/>
      <c r="BV113" s="788"/>
      <c r="BW113" s="788"/>
      <c r="BX113" s="799"/>
      <c r="BY113" s="788"/>
      <c r="BZ113" s="788"/>
      <c r="CA113" s="788"/>
      <c r="CB113" s="788"/>
      <c r="CC113" s="799"/>
      <c r="CD113" s="788"/>
      <c r="CE113" s="788"/>
      <c r="CF113" s="788"/>
      <c r="CG113" s="788"/>
      <c r="CH113" s="799"/>
      <c r="CI113" s="788"/>
      <c r="CJ113" s="788"/>
      <c r="CK113" s="788"/>
      <c r="CL113" s="788"/>
      <c r="CM113" s="799"/>
      <c r="CN113" s="788"/>
      <c r="CO113" s="788"/>
      <c r="CP113" s="788"/>
      <c r="CQ113" s="788"/>
      <c r="CR113" s="799"/>
      <c r="CT113" s="801"/>
      <c r="CU113" s="801"/>
      <c r="CW113" s="725"/>
      <c r="CX113" s="725"/>
      <c r="CY113" s="725"/>
      <c r="CZ113" s="725"/>
      <c r="DA113" s="725"/>
      <c r="DB113" s="725"/>
      <c r="DC113" s="725"/>
      <c r="DD113" s="725"/>
      <c r="DE113" s="725"/>
      <c r="DF113" s="725"/>
      <c r="DG113" s="725"/>
      <c r="DH113" s="725"/>
      <c r="DI113" s="725"/>
    </row>
    <row r="114" spans="1:113" ht="12" customHeight="1">
      <c r="A114" s="733"/>
      <c r="B114" s="798"/>
      <c r="C114" s="730"/>
      <c r="D114" s="730"/>
      <c r="E114" s="798"/>
      <c r="F114" s="756"/>
      <c r="G114" s="798"/>
      <c r="H114" s="730"/>
      <c r="I114" s="730"/>
      <c r="J114" s="798"/>
      <c r="K114" s="756"/>
      <c r="L114" s="730"/>
      <c r="M114" s="730"/>
      <c r="N114" s="730"/>
      <c r="O114" s="730"/>
      <c r="P114" s="756"/>
      <c r="Q114" s="798"/>
      <c r="R114" s="730"/>
      <c r="S114" s="730"/>
      <c r="T114" s="798"/>
      <c r="U114" s="756"/>
      <c r="V114" s="798"/>
      <c r="W114" s="730"/>
      <c r="X114" s="730"/>
      <c r="Y114" s="798"/>
      <c r="Z114" s="756"/>
      <c r="AA114" s="730"/>
      <c r="AB114" s="730"/>
      <c r="AC114" s="730"/>
      <c r="AD114" s="730"/>
      <c r="AE114" s="756"/>
      <c r="AF114" s="730"/>
      <c r="AG114" s="730"/>
      <c r="AH114" s="730"/>
      <c r="AI114" s="730"/>
      <c r="AJ114" s="736"/>
      <c r="AK114" s="730"/>
      <c r="AL114" s="730"/>
      <c r="AM114" s="730"/>
      <c r="AN114" s="730"/>
      <c r="AO114" s="736"/>
      <c r="AP114" s="730"/>
      <c r="AQ114" s="730"/>
      <c r="AR114" s="730"/>
      <c r="AS114" s="730"/>
      <c r="AT114" s="736"/>
      <c r="AU114" s="730"/>
      <c r="AV114" s="730"/>
      <c r="AW114" s="730"/>
      <c r="AX114" s="730"/>
      <c r="AY114" s="799"/>
      <c r="AZ114" s="730"/>
      <c r="BA114" s="730"/>
      <c r="BB114" s="730"/>
      <c r="BC114" s="730"/>
      <c r="BD114" s="799"/>
      <c r="BE114" s="730"/>
      <c r="BF114" s="800"/>
      <c r="BG114" s="800"/>
      <c r="BH114" s="730"/>
      <c r="BI114" s="799"/>
      <c r="BJ114" s="730"/>
      <c r="BK114" s="800"/>
      <c r="BL114" s="800"/>
      <c r="BM114" s="800"/>
      <c r="BN114" s="799"/>
      <c r="BO114" s="730"/>
      <c r="BP114" s="800"/>
      <c r="BQ114" s="800"/>
      <c r="BR114" s="800"/>
      <c r="BS114" s="799"/>
      <c r="BT114" s="730"/>
      <c r="BU114" s="800"/>
      <c r="BV114" s="800"/>
      <c r="BW114" s="800"/>
      <c r="BX114" s="799"/>
      <c r="BY114" s="800"/>
      <c r="BZ114" s="800"/>
      <c r="CA114" s="800"/>
      <c r="CB114" s="800"/>
      <c r="CC114" s="799"/>
      <c r="CD114" s="800"/>
      <c r="CE114" s="800"/>
      <c r="CF114" s="800"/>
      <c r="CG114" s="800"/>
      <c r="CH114" s="799"/>
      <c r="CI114" s="800"/>
      <c r="CJ114" s="800"/>
      <c r="CK114" s="800"/>
      <c r="CL114" s="800"/>
      <c r="CM114" s="799"/>
      <c r="CN114" s="800"/>
      <c r="CO114" s="800"/>
      <c r="CP114" s="800"/>
      <c r="CQ114" s="800"/>
      <c r="CR114" s="799"/>
      <c r="CT114" s="801"/>
      <c r="CU114" s="801"/>
      <c r="CW114" s="725"/>
      <c r="CX114" s="725"/>
      <c r="CY114" s="725"/>
      <c r="CZ114" s="725"/>
      <c r="DA114" s="725"/>
      <c r="DB114" s="725"/>
      <c r="DC114" s="725"/>
      <c r="DD114" s="725"/>
      <c r="DE114" s="725"/>
      <c r="DF114" s="725"/>
      <c r="DG114" s="725"/>
      <c r="DH114" s="725"/>
      <c r="DI114" s="725"/>
    </row>
    <row r="115" spans="1:113" ht="12" customHeight="1">
      <c r="A115" s="760" t="s">
        <v>923</v>
      </c>
      <c r="B115" s="798"/>
      <c r="C115" s="730"/>
      <c r="D115" s="730"/>
      <c r="E115" s="798"/>
      <c r="F115" s="756"/>
      <c r="G115" s="798"/>
      <c r="H115" s="730"/>
      <c r="I115" s="730"/>
      <c r="J115" s="798"/>
      <c r="K115" s="756"/>
      <c r="L115" s="730"/>
      <c r="M115" s="730"/>
      <c r="N115" s="730"/>
      <c r="O115" s="730"/>
      <c r="P115" s="756"/>
      <c r="Q115" s="798"/>
      <c r="R115" s="730"/>
      <c r="S115" s="730"/>
      <c r="T115" s="798"/>
      <c r="U115" s="756"/>
      <c r="V115" s="798"/>
      <c r="W115" s="730"/>
      <c r="X115" s="730"/>
      <c r="Y115" s="798"/>
      <c r="Z115" s="756"/>
      <c r="AA115" s="730"/>
      <c r="AB115" s="730"/>
      <c r="AC115" s="730"/>
      <c r="AD115" s="730"/>
      <c r="AE115" s="756"/>
      <c r="AF115" s="764"/>
      <c r="AG115" s="764"/>
      <c r="AH115" s="764"/>
      <c r="AI115" s="764"/>
      <c r="AJ115" s="736"/>
      <c r="AK115" s="764"/>
      <c r="AL115" s="764"/>
      <c r="AM115" s="764"/>
      <c r="AN115" s="764"/>
      <c r="AO115" s="736"/>
      <c r="AP115" s="764"/>
      <c r="AQ115" s="764"/>
      <c r="AR115" s="764"/>
      <c r="AS115" s="764">
        <f>+AT115</f>
        <v>422.11699999999996</v>
      </c>
      <c r="AT115" s="812">
        <f>+AT111-AT96</f>
        <v>422.11699999999996</v>
      </c>
      <c r="AU115" s="764"/>
      <c r="AV115" s="764"/>
      <c r="AW115" s="764"/>
      <c r="AX115" s="764">
        <f>+AX111-AX96</f>
        <v>465.52700000000004</v>
      </c>
      <c r="AY115" s="812">
        <f>+AY111-AY96</f>
        <v>465.52700000000004</v>
      </c>
      <c r="AZ115" s="764"/>
      <c r="BA115" s="764">
        <f t="shared" ref="BA115:BH115" si="50">+BA111-BA96</f>
        <v>476.245</v>
      </c>
      <c r="BB115" s="764">
        <f t="shared" si="50"/>
        <v>581.41699999999992</v>
      </c>
      <c r="BC115" s="764">
        <f t="shared" si="50"/>
        <v>575.76700000000005</v>
      </c>
      <c r="BD115" s="812">
        <f t="shared" si="50"/>
        <v>575.76700000000005</v>
      </c>
      <c r="BE115" s="764">
        <f t="shared" si="50"/>
        <v>538.41599999999994</v>
      </c>
      <c r="BF115" s="764">
        <f t="shared" si="50"/>
        <v>553.18200000000002</v>
      </c>
      <c r="BG115" s="764">
        <f t="shared" si="50"/>
        <v>619.12</v>
      </c>
      <c r="BH115" s="764">
        <f t="shared" si="50"/>
        <v>573.26900000000001</v>
      </c>
      <c r="BI115" s="799"/>
      <c r="BJ115" s="764">
        <f>+BJ111-BJ96</f>
        <v>597.67100000000005</v>
      </c>
      <c r="BK115" s="764">
        <f>+BK111-BK96</f>
        <v>582.76599999999996</v>
      </c>
      <c r="BL115" s="764">
        <f>+BL111-BL96</f>
        <v>626.91399999999999</v>
      </c>
      <c r="BM115" s="764">
        <f>+BM111-BM96</f>
        <v>647.88499999999999</v>
      </c>
      <c r="BN115" s="799"/>
      <c r="BO115" s="764">
        <f>+BO111-BO96</f>
        <v>680.78800000000001</v>
      </c>
      <c r="BP115" s="764">
        <f>+BP111-BP96</f>
        <v>700.79699999999991</v>
      </c>
      <c r="BQ115" s="764">
        <f>+BQ111-BQ96</f>
        <v>740.99300000000005</v>
      </c>
      <c r="BR115" s="764">
        <f>+BR111-BR96</f>
        <v>750.32400000000007</v>
      </c>
      <c r="BS115" s="799"/>
      <c r="BT115" s="764">
        <f>+BT111-BT96</f>
        <v>710.05700000000002</v>
      </c>
      <c r="BU115" s="764"/>
      <c r="BV115" s="764"/>
      <c r="BW115" s="764"/>
      <c r="BX115" s="799"/>
      <c r="BY115" s="764"/>
      <c r="BZ115" s="764"/>
      <c r="CA115" s="764"/>
      <c r="CB115" s="764"/>
      <c r="CC115" s="799"/>
      <c r="CD115" s="764"/>
      <c r="CE115" s="764"/>
      <c r="CF115" s="764"/>
      <c r="CG115" s="764"/>
      <c r="CH115" s="799"/>
      <c r="CI115" s="764"/>
      <c r="CJ115" s="764"/>
      <c r="CK115" s="764"/>
      <c r="CL115" s="764"/>
      <c r="CM115" s="799"/>
      <c r="CN115" s="764"/>
      <c r="CO115" s="764"/>
      <c r="CP115" s="764"/>
      <c r="CQ115" s="764"/>
      <c r="CR115" s="799"/>
      <c r="CT115" s="801"/>
      <c r="CU115" s="801"/>
      <c r="CW115" s="725"/>
      <c r="CX115" s="725"/>
      <c r="CY115" s="725"/>
      <c r="CZ115" s="725"/>
      <c r="DA115" s="725"/>
      <c r="DB115" s="725"/>
      <c r="DC115" s="725"/>
      <c r="DD115" s="725"/>
      <c r="DE115" s="725"/>
      <c r="DF115" s="725"/>
      <c r="DG115" s="725"/>
      <c r="DH115" s="725"/>
      <c r="DI115" s="725"/>
    </row>
    <row r="116" spans="1:113" ht="12" customHeight="1">
      <c r="A116" s="733" t="s">
        <v>881</v>
      </c>
      <c r="B116" s="798"/>
      <c r="C116" s="730"/>
      <c r="D116" s="730"/>
      <c r="E116" s="798"/>
      <c r="F116" s="756"/>
      <c r="G116" s="798"/>
      <c r="H116" s="730"/>
      <c r="I116" s="730"/>
      <c r="J116" s="798"/>
      <c r="K116" s="756"/>
      <c r="L116" s="730"/>
      <c r="M116" s="730"/>
      <c r="N116" s="730"/>
      <c r="O116" s="730"/>
      <c r="P116" s="756"/>
      <c r="Q116" s="798"/>
      <c r="R116" s="730"/>
      <c r="S116" s="730"/>
      <c r="T116" s="798"/>
      <c r="U116" s="756"/>
      <c r="V116" s="798"/>
      <c r="W116" s="730"/>
      <c r="X116" s="730"/>
      <c r="Y116" s="798"/>
      <c r="Z116" s="756"/>
      <c r="AA116" s="730"/>
      <c r="AB116" s="730"/>
      <c r="AC116" s="730"/>
      <c r="AD116" s="730"/>
      <c r="AE116" s="756"/>
      <c r="AF116" s="730"/>
      <c r="AG116" s="730"/>
      <c r="AH116" s="730"/>
      <c r="AI116" s="730"/>
      <c r="AJ116" s="736"/>
      <c r="AK116" s="788"/>
      <c r="AL116" s="788"/>
      <c r="AM116" s="788"/>
      <c r="AN116" s="788"/>
      <c r="AO116" s="735"/>
      <c r="AP116" s="788"/>
      <c r="AQ116" s="788"/>
      <c r="AR116" s="788"/>
      <c r="AS116" s="788"/>
      <c r="AT116" s="735"/>
      <c r="AU116" s="788"/>
      <c r="AV116" s="788"/>
      <c r="AW116" s="788"/>
      <c r="AX116" s="788">
        <f>+AX115/AS115-1</f>
        <v>0.10283878640282218</v>
      </c>
      <c r="AY116" s="793">
        <f>+AY115/AT115-1</f>
        <v>0.10283878640282218</v>
      </c>
      <c r="AZ116" s="788"/>
      <c r="BA116" s="788"/>
      <c r="BB116" s="788"/>
      <c r="BC116" s="788">
        <f>+BC115/AX115-1</f>
        <v>0.23680688767783598</v>
      </c>
      <c r="BD116" s="793">
        <f>+BD115/AY115-1</f>
        <v>0.23680688767783598</v>
      </c>
      <c r="BE116" s="788"/>
      <c r="BF116" s="788">
        <f>+BF115/BA115-1</f>
        <v>0.16154920261630035</v>
      </c>
      <c r="BG116" s="788">
        <f>+BG115/BB115-1</f>
        <v>6.4846745107212334E-2</v>
      </c>
      <c r="BH116" s="788">
        <f>+BH115/BC115-1</f>
        <v>-4.3385605635614111E-3</v>
      </c>
      <c r="BI116" s="799"/>
      <c r="BJ116" s="788">
        <f>+BJ115/BE115-1</f>
        <v>0.11005430745000178</v>
      </c>
      <c r="BK116" s="788">
        <f>+BK115/BF115-1</f>
        <v>5.3479686613085553E-2</v>
      </c>
      <c r="BL116" s="788">
        <f>+BL115/BG115-1</f>
        <v>1.2588835766894846E-2</v>
      </c>
      <c r="BM116" s="788">
        <f>+BM115/BH115-1</f>
        <v>0.13015879107364947</v>
      </c>
      <c r="BN116" s="799"/>
      <c r="BO116" s="788">
        <f>+BO115/BJ115-1</f>
        <v>0.13906814953377356</v>
      </c>
      <c r="BP116" s="788">
        <f>+BP115/BK115-1</f>
        <v>0.20253583771187733</v>
      </c>
      <c r="BQ116" s="788">
        <f>+BQ115/BL115-1</f>
        <v>0.18196913771266887</v>
      </c>
      <c r="BR116" s="788">
        <f>+BR115/BM115-1</f>
        <v>0.15811293670944693</v>
      </c>
      <c r="BS116" s="799"/>
      <c r="BT116" s="788">
        <f>+BT115/BO115-1</f>
        <v>4.2992825960504577E-2</v>
      </c>
      <c r="BU116" s="788"/>
      <c r="BV116" s="788"/>
      <c r="BW116" s="788"/>
      <c r="BX116" s="799"/>
      <c r="BY116" s="788"/>
      <c r="BZ116" s="788"/>
      <c r="CA116" s="788"/>
      <c r="CB116" s="788"/>
      <c r="CC116" s="799"/>
      <c r="CD116" s="788"/>
      <c r="CE116" s="788"/>
      <c r="CF116" s="788"/>
      <c r="CG116" s="788"/>
      <c r="CH116" s="799"/>
      <c r="CI116" s="788"/>
      <c r="CJ116" s="788"/>
      <c r="CK116" s="788"/>
      <c r="CL116" s="788"/>
      <c r="CM116" s="799"/>
      <c r="CN116" s="788"/>
      <c r="CO116" s="788"/>
      <c r="CP116" s="788"/>
      <c r="CQ116" s="788"/>
      <c r="CR116" s="799"/>
      <c r="CT116" s="801"/>
      <c r="CU116" s="801"/>
      <c r="CW116" s="725"/>
      <c r="CX116" s="725"/>
      <c r="CY116" s="725"/>
      <c r="CZ116" s="725"/>
      <c r="DA116" s="725"/>
      <c r="DB116" s="725"/>
      <c r="DC116" s="725"/>
      <c r="DD116" s="725"/>
      <c r="DE116" s="725"/>
      <c r="DF116" s="725"/>
      <c r="DG116" s="725"/>
      <c r="DH116" s="725"/>
      <c r="DI116" s="725"/>
    </row>
    <row r="117" spans="1:113" ht="12" customHeight="1">
      <c r="A117" s="733" t="s">
        <v>883</v>
      </c>
      <c r="B117" s="798"/>
      <c r="C117" s="730"/>
      <c r="D117" s="730"/>
      <c r="E117" s="798"/>
      <c r="F117" s="756"/>
      <c r="G117" s="798"/>
      <c r="H117" s="730"/>
      <c r="I117" s="730"/>
      <c r="J117" s="798"/>
      <c r="K117" s="756"/>
      <c r="L117" s="730"/>
      <c r="M117" s="730"/>
      <c r="N117" s="730"/>
      <c r="O117" s="730"/>
      <c r="P117" s="756"/>
      <c r="Q117" s="798"/>
      <c r="R117" s="730"/>
      <c r="S117" s="730"/>
      <c r="T117" s="798"/>
      <c r="U117" s="756"/>
      <c r="V117" s="798"/>
      <c r="W117" s="730"/>
      <c r="X117" s="730"/>
      <c r="Y117" s="798"/>
      <c r="Z117" s="756"/>
      <c r="AA117" s="730"/>
      <c r="AB117" s="730"/>
      <c r="AC117" s="730"/>
      <c r="AD117" s="730"/>
      <c r="AE117" s="756"/>
      <c r="AF117" s="730"/>
      <c r="AG117" s="788"/>
      <c r="AH117" s="788"/>
      <c r="AI117" s="788"/>
      <c r="AJ117" s="762"/>
      <c r="AK117" s="788"/>
      <c r="AL117" s="788"/>
      <c r="AM117" s="788"/>
      <c r="AN117" s="788"/>
      <c r="AO117" s="762"/>
      <c r="AP117" s="788"/>
      <c r="AQ117" s="788"/>
      <c r="AR117" s="788"/>
      <c r="AS117" s="788"/>
      <c r="AT117" s="762"/>
      <c r="AU117" s="788"/>
      <c r="AV117" s="788"/>
      <c r="AW117" s="788"/>
      <c r="AX117" s="788"/>
      <c r="AY117" s="799"/>
      <c r="AZ117" s="788"/>
      <c r="BA117" s="788"/>
      <c r="BB117" s="788">
        <f>+BB115/BA115-1</f>
        <v>0.22083591428781379</v>
      </c>
      <c r="BC117" s="788">
        <f>+BC115/BB115-1</f>
        <v>-9.7176381151563573E-3</v>
      </c>
      <c r="BD117" s="799"/>
      <c r="BE117" s="788">
        <f>+BE115/BC115-1</f>
        <v>-6.4871727625932185E-2</v>
      </c>
      <c r="BF117" s="788">
        <f>+BF115/BE115-1</f>
        <v>2.7424890790764156E-2</v>
      </c>
      <c r="BG117" s="788">
        <f>+BG115/BF115-1</f>
        <v>0.11919766008293831</v>
      </c>
      <c r="BH117" s="788">
        <f>+BH115/BG115-1</f>
        <v>-7.4058340870913564E-2</v>
      </c>
      <c r="BI117" s="799"/>
      <c r="BJ117" s="788">
        <f>+BJ115/BH115-1</f>
        <v>4.2566404253500556E-2</v>
      </c>
      <c r="BK117" s="788">
        <f>+BK115/BJ115-1</f>
        <v>-2.4938469492413184E-2</v>
      </c>
      <c r="BL117" s="788">
        <f>+BL115/BK115-1</f>
        <v>7.5755963800221648E-2</v>
      </c>
      <c r="BM117" s="788">
        <f>+BM115/BL115-1</f>
        <v>3.3451159170157396E-2</v>
      </c>
      <c r="BN117" s="799"/>
      <c r="BO117" s="788">
        <f>+BO115/BM115-1</f>
        <v>5.0785247381865739E-2</v>
      </c>
      <c r="BP117" s="788">
        <f>+BP115/BO115-1</f>
        <v>2.9390941085917888E-2</v>
      </c>
      <c r="BQ117" s="788">
        <f>+BQ115/BP115-1</f>
        <v>5.7357551473536716E-2</v>
      </c>
      <c r="BR117" s="788">
        <f>+BR115/BQ115-1</f>
        <v>1.2592561603146146E-2</v>
      </c>
      <c r="BS117" s="799"/>
      <c r="BT117" s="788">
        <f>+BT115/BR115-1</f>
        <v>-5.3666149556724885E-2</v>
      </c>
      <c r="BU117" s="788"/>
      <c r="BV117" s="788"/>
      <c r="BW117" s="788"/>
      <c r="BX117" s="799"/>
      <c r="BY117" s="788"/>
      <c r="BZ117" s="788"/>
      <c r="CA117" s="788"/>
      <c r="CB117" s="788"/>
      <c r="CC117" s="799"/>
      <c r="CD117" s="788"/>
      <c r="CE117" s="788"/>
      <c r="CF117" s="788"/>
      <c r="CG117" s="788"/>
      <c r="CH117" s="799"/>
      <c r="CI117" s="788"/>
      <c r="CJ117" s="788"/>
      <c r="CK117" s="788"/>
      <c r="CL117" s="788"/>
      <c r="CM117" s="799"/>
      <c r="CN117" s="788"/>
      <c r="CO117" s="788"/>
      <c r="CP117" s="788"/>
      <c r="CQ117" s="788"/>
      <c r="CR117" s="799"/>
      <c r="CT117" s="801"/>
      <c r="CU117" s="801"/>
      <c r="CW117" s="725"/>
      <c r="CX117" s="725"/>
      <c r="CY117" s="725"/>
      <c r="CZ117" s="725"/>
      <c r="DA117" s="725"/>
      <c r="DB117" s="725"/>
      <c r="DC117" s="725"/>
      <c r="DD117" s="725"/>
      <c r="DE117" s="725"/>
      <c r="DF117" s="725"/>
      <c r="DG117" s="725"/>
      <c r="DH117" s="725"/>
      <c r="DI117" s="725"/>
    </row>
    <row r="118" spans="1:113" ht="12" customHeight="1">
      <c r="A118" s="810"/>
      <c r="B118" s="798"/>
      <c r="C118" s="730"/>
      <c r="D118" s="730"/>
      <c r="E118" s="798"/>
      <c r="F118" s="756"/>
      <c r="G118" s="798"/>
      <c r="H118" s="730"/>
      <c r="I118" s="730"/>
      <c r="J118" s="798"/>
      <c r="K118" s="756"/>
      <c r="L118" s="730"/>
      <c r="M118" s="730"/>
      <c r="N118" s="730"/>
      <c r="O118" s="730"/>
      <c r="P118" s="756"/>
      <c r="Q118" s="798"/>
      <c r="R118" s="730"/>
      <c r="S118" s="730"/>
      <c r="T118" s="798"/>
      <c r="U118" s="756"/>
      <c r="V118" s="798"/>
      <c r="W118" s="730"/>
      <c r="X118" s="730"/>
      <c r="Y118" s="798"/>
      <c r="Z118" s="756"/>
      <c r="AA118" s="730"/>
      <c r="AB118" s="730"/>
      <c r="AC118" s="730"/>
      <c r="AD118" s="730"/>
      <c r="AE118" s="756"/>
      <c r="AF118" s="730"/>
      <c r="AG118" s="730"/>
      <c r="AH118" s="730"/>
      <c r="AI118" s="730"/>
      <c r="AJ118" s="736"/>
      <c r="AK118" s="730"/>
      <c r="AL118" s="730"/>
      <c r="AM118" s="730"/>
      <c r="AN118" s="730"/>
      <c r="AO118" s="736"/>
      <c r="AP118" s="730"/>
      <c r="AQ118" s="730"/>
      <c r="AR118" s="730"/>
      <c r="AS118" s="730"/>
      <c r="AT118" s="736"/>
      <c r="AU118" s="730"/>
      <c r="AV118" s="730"/>
      <c r="AW118" s="730"/>
      <c r="AX118" s="730"/>
      <c r="AY118" s="799"/>
      <c r="AZ118" s="730"/>
      <c r="BA118" s="730"/>
      <c r="BB118" s="730"/>
      <c r="BC118" s="730"/>
      <c r="BD118" s="799"/>
      <c r="BE118" s="730"/>
      <c r="BF118" s="730"/>
      <c r="BG118" s="730"/>
      <c r="BH118" s="730"/>
      <c r="BI118" s="799"/>
      <c r="BJ118" s="730"/>
      <c r="BK118" s="730"/>
      <c r="BL118" s="730"/>
      <c r="BM118" s="730"/>
      <c r="BN118" s="799"/>
      <c r="BO118" s="730"/>
      <c r="BP118" s="730"/>
      <c r="BQ118" s="730"/>
      <c r="BR118" s="730"/>
      <c r="BS118" s="799"/>
      <c r="BT118" s="730"/>
      <c r="BU118" s="730"/>
      <c r="BV118" s="730"/>
      <c r="BW118" s="730"/>
      <c r="BX118" s="799"/>
      <c r="BY118" s="730"/>
      <c r="BZ118" s="730"/>
      <c r="CA118" s="730"/>
      <c r="CB118" s="730"/>
      <c r="CC118" s="799"/>
      <c r="CD118" s="730"/>
      <c r="CE118" s="730"/>
      <c r="CF118" s="730"/>
      <c r="CG118" s="730"/>
      <c r="CH118" s="799"/>
      <c r="CI118" s="730"/>
      <c r="CJ118" s="730"/>
      <c r="CK118" s="730"/>
      <c r="CL118" s="730"/>
      <c r="CM118" s="799"/>
      <c r="CN118" s="730"/>
      <c r="CO118" s="730"/>
      <c r="CP118" s="730"/>
      <c r="CQ118" s="730"/>
      <c r="CR118" s="799"/>
      <c r="CT118" s="801"/>
      <c r="CU118" s="801"/>
      <c r="CW118" s="725"/>
      <c r="CX118" s="725"/>
      <c r="CY118" s="725"/>
      <c r="CZ118" s="725"/>
      <c r="DA118" s="725"/>
      <c r="DB118" s="725"/>
      <c r="DC118" s="725"/>
      <c r="DD118" s="725"/>
      <c r="DE118" s="725"/>
      <c r="DF118" s="725"/>
      <c r="DG118" s="725"/>
      <c r="DH118" s="725"/>
      <c r="DI118" s="725"/>
    </row>
    <row r="119" spans="1:113" ht="12" customHeight="1">
      <c r="A119" s="748" t="s">
        <v>924</v>
      </c>
      <c r="B119" s="798"/>
      <c r="C119" s="730"/>
      <c r="D119" s="730"/>
      <c r="E119" s="798"/>
      <c r="F119" s="756"/>
      <c r="G119" s="798"/>
      <c r="H119" s="730"/>
      <c r="I119" s="730"/>
      <c r="J119" s="798"/>
      <c r="K119" s="756"/>
      <c r="L119" s="730"/>
      <c r="M119" s="730"/>
      <c r="N119" s="730"/>
      <c r="O119" s="730"/>
      <c r="P119" s="756"/>
      <c r="Q119" s="798"/>
      <c r="R119" s="730"/>
      <c r="S119" s="730"/>
      <c r="T119" s="798"/>
      <c r="U119" s="756"/>
      <c r="V119" s="798"/>
      <c r="W119" s="730"/>
      <c r="X119" s="730"/>
      <c r="Y119" s="798"/>
      <c r="Z119" s="756"/>
      <c r="AA119" s="730"/>
      <c r="AB119" s="730"/>
      <c r="AC119" s="730"/>
      <c r="AD119" s="730"/>
      <c r="AE119" s="756"/>
      <c r="AF119" s="730"/>
      <c r="AG119" s="764"/>
      <c r="AH119" s="764"/>
      <c r="AI119" s="764"/>
      <c r="AJ119" s="736"/>
      <c r="AK119" s="764"/>
      <c r="AL119" s="764"/>
      <c r="AM119" s="764"/>
      <c r="AN119" s="764"/>
      <c r="AO119" s="736"/>
      <c r="AP119" s="764"/>
      <c r="AQ119" s="764"/>
      <c r="AR119" s="764"/>
      <c r="AS119" s="764"/>
      <c r="AT119" s="736"/>
      <c r="AU119" s="764"/>
      <c r="AV119" s="764"/>
      <c r="AW119" s="764"/>
      <c r="AX119" s="764"/>
      <c r="AY119" s="812">
        <f>+AY111-AT111</f>
        <v>-11.099999999999909</v>
      </c>
      <c r="AZ119" s="764"/>
      <c r="BA119" s="764">
        <f>+BA111-AZ111</f>
        <v>586.5</v>
      </c>
      <c r="BB119" s="764">
        <f>+BB111-BA111</f>
        <v>144.29999999999995</v>
      </c>
      <c r="BC119" s="764">
        <f>+BC111-BB111</f>
        <v>37.100000000000023</v>
      </c>
      <c r="BD119" s="799"/>
      <c r="BE119" s="764">
        <f>+BE111-BC111</f>
        <v>-49.799999999999955</v>
      </c>
      <c r="BF119" s="764">
        <f>+BF111-BE111</f>
        <v>14.799999999999955</v>
      </c>
      <c r="BG119" s="764">
        <f>+BG111-BF111</f>
        <v>62.200000000000045</v>
      </c>
      <c r="BH119" s="764">
        <f>+BH111-BG111</f>
        <v>-15.5</v>
      </c>
      <c r="BI119" s="799"/>
      <c r="BJ119" s="764">
        <f>+BJ111-BH111</f>
        <v>1</v>
      </c>
      <c r="BK119" s="764">
        <f>+BK111-BJ111</f>
        <v>-24.800000000000068</v>
      </c>
      <c r="BL119" s="764">
        <f>+BL111-BK111</f>
        <v>50.200000000000045</v>
      </c>
      <c r="BM119" s="764">
        <f>+BM111-BL111</f>
        <v>57.100000000000023</v>
      </c>
      <c r="BN119" s="799"/>
      <c r="BO119" s="764">
        <f>+BO111-BM111</f>
        <v>6.5</v>
      </c>
      <c r="BP119" s="764">
        <f>+BP111-BO111</f>
        <v>3.6999999999999318</v>
      </c>
      <c r="BQ119" s="764">
        <f>+BQ111-BP111</f>
        <v>57.800000000000068</v>
      </c>
      <c r="BR119" s="764">
        <f>+BR111-BQ111</f>
        <v>37.5</v>
      </c>
      <c r="BS119" s="799"/>
      <c r="BT119" s="764">
        <f>+BT111-BR111</f>
        <v>-52.399999999999977</v>
      </c>
      <c r="BU119" s="764"/>
      <c r="BV119" s="764"/>
      <c r="BW119" s="764"/>
      <c r="BX119" s="799"/>
      <c r="BY119" s="764"/>
      <c r="BZ119" s="764"/>
      <c r="CA119" s="764"/>
      <c r="CB119" s="764"/>
      <c r="CC119" s="799"/>
      <c r="CD119" s="764"/>
      <c r="CE119" s="764"/>
      <c r="CF119" s="764"/>
      <c r="CG119" s="764"/>
      <c r="CH119" s="799"/>
      <c r="CI119" s="764"/>
      <c r="CJ119" s="764"/>
      <c r="CK119" s="764"/>
      <c r="CL119" s="764"/>
      <c r="CM119" s="799"/>
      <c r="CN119" s="764"/>
      <c r="CO119" s="764"/>
      <c r="CP119" s="764"/>
      <c r="CQ119" s="764"/>
      <c r="CR119" s="799"/>
      <c r="CT119" s="801"/>
      <c r="CU119" s="801"/>
      <c r="CW119" s="725"/>
      <c r="CX119" s="725"/>
      <c r="CY119" s="725"/>
      <c r="CZ119" s="725"/>
      <c r="DA119" s="725"/>
      <c r="DB119" s="725"/>
      <c r="DC119" s="725"/>
      <c r="DD119" s="725"/>
      <c r="DE119" s="725"/>
      <c r="DF119" s="725"/>
      <c r="DG119" s="725"/>
      <c r="DH119" s="725"/>
      <c r="DI119" s="725"/>
    </row>
    <row r="120" spans="1:113" ht="12" customHeight="1">
      <c r="A120" s="760" t="s">
        <v>925</v>
      </c>
      <c r="B120" s="798"/>
      <c r="C120" s="730"/>
      <c r="D120" s="730"/>
      <c r="E120" s="798"/>
      <c r="F120" s="756"/>
      <c r="G120" s="798"/>
      <c r="H120" s="730"/>
      <c r="I120" s="730"/>
      <c r="J120" s="798"/>
      <c r="K120" s="756"/>
      <c r="L120" s="730"/>
      <c r="M120" s="730"/>
      <c r="N120" s="730"/>
      <c r="O120" s="730"/>
      <c r="P120" s="756"/>
      <c r="Q120" s="798"/>
      <c r="R120" s="730"/>
      <c r="S120" s="730"/>
      <c r="T120" s="798"/>
      <c r="U120" s="756"/>
      <c r="V120" s="798"/>
      <c r="W120" s="730"/>
      <c r="X120" s="730"/>
      <c r="Y120" s="798"/>
      <c r="Z120" s="756"/>
      <c r="AA120" s="730"/>
      <c r="AB120" s="730"/>
      <c r="AC120" s="730"/>
      <c r="AD120" s="730"/>
      <c r="AE120" s="756"/>
      <c r="AF120" s="730"/>
      <c r="AG120" s="764"/>
      <c r="AH120" s="764"/>
      <c r="AI120" s="764"/>
      <c r="AJ120" s="736"/>
      <c r="AK120" s="764"/>
      <c r="AL120" s="764"/>
      <c r="AM120" s="764"/>
      <c r="AN120" s="764"/>
      <c r="AO120" s="736"/>
      <c r="AP120" s="764"/>
      <c r="AQ120" s="764"/>
      <c r="AR120" s="764"/>
      <c r="AS120" s="764"/>
      <c r="AT120" s="736"/>
      <c r="AU120" s="764"/>
      <c r="AV120" s="764"/>
      <c r="AW120" s="764"/>
      <c r="AX120" s="764"/>
      <c r="AY120" s="812">
        <f>+AY119+AY29</f>
        <v>318.91200000000009</v>
      </c>
      <c r="AZ120" s="764"/>
      <c r="BA120" s="764">
        <f>+BA119+BA29</f>
        <v>664.57899999999995</v>
      </c>
      <c r="BB120" s="764">
        <f>+BB119+BB29</f>
        <v>281.30199999999996</v>
      </c>
      <c r="BC120" s="764">
        <f>+BC119+BC29</f>
        <v>181.25299999999999</v>
      </c>
      <c r="BD120" s="799"/>
      <c r="BE120" s="764">
        <f>+BE119+BE29</f>
        <v>110.58100000000005</v>
      </c>
      <c r="BF120" s="764">
        <f>+BF119+BF29</f>
        <v>175.47599999999997</v>
      </c>
      <c r="BG120" s="764">
        <f>+BG119+BG29</f>
        <v>227.09300000000002</v>
      </c>
      <c r="BH120" s="764">
        <f>+BH119+BH29</f>
        <v>150.76500000000001</v>
      </c>
      <c r="BI120" s="799"/>
      <c r="BJ120" s="764">
        <f>+BJ119+BJ29</f>
        <v>161.12</v>
      </c>
      <c r="BK120" s="764">
        <f>+BK119+BK29</f>
        <v>133.68799999999993</v>
      </c>
      <c r="BL120" s="764">
        <f>+BL119+BL29</f>
        <v>207.69700000000006</v>
      </c>
      <c r="BM120" s="764">
        <f>+BM119+BM29</f>
        <v>215.54900000000001</v>
      </c>
      <c r="BN120" s="799"/>
      <c r="BO120" s="764">
        <f>+BO119+BO29</f>
        <v>157.66300000000001</v>
      </c>
      <c r="BP120" s="764">
        <f>+BP119+BP29</f>
        <v>155.89199999999994</v>
      </c>
      <c r="BQ120" s="764">
        <f>+BQ119+BQ29</f>
        <v>209.45500000000007</v>
      </c>
      <c r="BR120" s="764">
        <f>+BR119+BR29</f>
        <v>190.178</v>
      </c>
      <c r="BS120" s="799"/>
      <c r="BT120" s="764">
        <f>+BT119+BT29</f>
        <v>100.21000000000004</v>
      </c>
      <c r="BU120" s="764"/>
      <c r="BV120" s="764"/>
      <c r="BW120" s="764"/>
      <c r="BX120" s="799"/>
      <c r="BY120" s="764"/>
      <c r="BZ120" s="764"/>
      <c r="CA120" s="764"/>
      <c r="CB120" s="764"/>
      <c r="CC120" s="799"/>
      <c r="CD120" s="764"/>
      <c r="CE120" s="764"/>
      <c r="CF120" s="764"/>
      <c r="CG120" s="764"/>
      <c r="CH120" s="799"/>
      <c r="CI120" s="764"/>
      <c r="CJ120" s="764"/>
      <c r="CK120" s="764"/>
      <c r="CL120" s="764"/>
      <c r="CM120" s="799"/>
      <c r="CN120" s="764"/>
      <c r="CO120" s="764"/>
      <c r="CP120" s="764"/>
      <c r="CQ120" s="764"/>
      <c r="CR120" s="799"/>
      <c r="CT120" s="801"/>
      <c r="CU120" s="801"/>
      <c r="CW120" s="725"/>
      <c r="CX120" s="725"/>
      <c r="CY120" s="725"/>
      <c r="CZ120" s="725"/>
      <c r="DA120" s="725"/>
      <c r="DB120" s="725"/>
      <c r="DC120" s="725"/>
      <c r="DD120" s="725"/>
      <c r="DE120" s="725"/>
      <c r="DF120" s="725"/>
      <c r="DG120" s="725"/>
      <c r="DH120" s="725"/>
      <c r="DI120" s="725"/>
    </row>
    <row r="121" spans="1:113" ht="12" customHeight="1">
      <c r="A121" s="733" t="s">
        <v>881</v>
      </c>
      <c r="B121" s="798"/>
      <c r="C121" s="730"/>
      <c r="D121" s="730"/>
      <c r="E121" s="798"/>
      <c r="F121" s="756"/>
      <c r="G121" s="798"/>
      <c r="H121" s="730"/>
      <c r="I121" s="730"/>
      <c r="J121" s="798"/>
      <c r="K121" s="756"/>
      <c r="L121" s="730"/>
      <c r="M121" s="730"/>
      <c r="N121" s="730"/>
      <c r="O121" s="730"/>
      <c r="P121" s="756"/>
      <c r="Q121" s="798"/>
      <c r="R121" s="730"/>
      <c r="S121" s="730"/>
      <c r="T121" s="798"/>
      <c r="U121" s="756"/>
      <c r="V121" s="798"/>
      <c r="W121" s="730"/>
      <c r="X121" s="730"/>
      <c r="Y121" s="798"/>
      <c r="Z121" s="756"/>
      <c r="AA121" s="730"/>
      <c r="AB121" s="730"/>
      <c r="AC121" s="730"/>
      <c r="AD121" s="730"/>
      <c r="AE121" s="756"/>
      <c r="AF121" s="730"/>
      <c r="AG121" s="730"/>
      <c r="AH121" s="730"/>
      <c r="AI121" s="730"/>
      <c r="AJ121" s="736"/>
      <c r="AK121" s="730"/>
      <c r="AL121" s="785"/>
      <c r="AM121" s="785"/>
      <c r="AN121" s="785"/>
      <c r="AO121" s="736"/>
      <c r="AP121" s="785"/>
      <c r="AQ121" s="785"/>
      <c r="AR121" s="785"/>
      <c r="AS121" s="785"/>
      <c r="AT121" s="736"/>
      <c r="AU121" s="785"/>
      <c r="AV121" s="785"/>
      <c r="AW121" s="785"/>
      <c r="AX121" s="785"/>
      <c r="AY121" s="799"/>
      <c r="AZ121" s="785"/>
      <c r="BA121" s="785"/>
      <c r="BB121" s="785"/>
      <c r="BC121" s="785"/>
      <c r="BD121" s="799"/>
      <c r="BE121" s="785"/>
      <c r="BF121" s="785">
        <f>+BF120/BA120-1</f>
        <v>-0.73595915609731877</v>
      </c>
      <c r="BG121" s="785">
        <f>+BG120/BB120-1</f>
        <v>-0.19270748163895013</v>
      </c>
      <c r="BH121" s="785">
        <f>+BH120/BC120-1</f>
        <v>-0.16820687105868581</v>
      </c>
      <c r="BI121" s="799"/>
      <c r="BJ121" s="785">
        <f>+BJ120/BE120-1</f>
        <v>0.45703149727349124</v>
      </c>
      <c r="BK121" s="785">
        <f>+BK120/BF120-1</f>
        <v>-0.23814082837539063</v>
      </c>
      <c r="BL121" s="785">
        <f>+BL120/BG120-1</f>
        <v>-8.5409942182277598E-2</v>
      </c>
      <c r="BM121" s="785">
        <f>+BM120/BH120-1</f>
        <v>0.42970185387855264</v>
      </c>
      <c r="BN121" s="799"/>
      <c r="BO121" s="785">
        <f>+BO120/BJ120-1</f>
        <v>-2.1456057596822231E-2</v>
      </c>
      <c r="BP121" s="785">
        <f>+BP120/BK120-1</f>
        <v>0.16608820537370605</v>
      </c>
      <c r="BQ121" s="785">
        <f>+BQ120/BL120-1</f>
        <v>8.46425321502009E-3</v>
      </c>
      <c r="BR121" s="785">
        <f>+BR120/BM120-1</f>
        <v>-0.1177040951245425</v>
      </c>
      <c r="BS121" s="799"/>
      <c r="BT121" s="785">
        <f>+BT120/BO120-1</f>
        <v>-0.36440382334472876</v>
      </c>
      <c r="BU121" s="785"/>
      <c r="BV121" s="785"/>
      <c r="BW121" s="785"/>
      <c r="BX121" s="799"/>
      <c r="BY121" s="785"/>
      <c r="BZ121" s="785"/>
      <c r="CA121" s="785"/>
      <c r="CB121" s="785"/>
      <c r="CC121" s="799"/>
      <c r="CD121" s="785"/>
      <c r="CE121" s="785"/>
      <c r="CF121" s="785"/>
      <c r="CG121" s="785"/>
      <c r="CH121" s="799"/>
      <c r="CI121" s="785"/>
      <c r="CJ121" s="785"/>
      <c r="CK121" s="785"/>
      <c r="CL121" s="785"/>
      <c r="CM121" s="799"/>
      <c r="CN121" s="785"/>
      <c r="CO121" s="785"/>
      <c r="CP121" s="785"/>
      <c r="CQ121" s="785"/>
      <c r="CR121" s="799"/>
      <c r="CT121" s="801"/>
      <c r="CU121" s="801"/>
      <c r="CW121" s="725"/>
      <c r="CX121" s="725"/>
      <c r="CY121" s="725"/>
      <c r="CZ121" s="725"/>
      <c r="DA121" s="725"/>
      <c r="DB121" s="725"/>
      <c r="DC121" s="725"/>
      <c r="DD121" s="725"/>
      <c r="DE121" s="725"/>
      <c r="DF121" s="725"/>
      <c r="DG121" s="725"/>
      <c r="DH121" s="725"/>
      <c r="DI121" s="725"/>
    </row>
    <row r="122" spans="1:113" ht="12" customHeight="1">
      <c r="A122" s="733" t="s">
        <v>883</v>
      </c>
      <c r="B122" s="798"/>
      <c r="C122" s="730"/>
      <c r="D122" s="730"/>
      <c r="E122" s="798"/>
      <c r="F122" s="756"/>
      <c r="G122" s="798"/>
      <c r="H122" s="730"/>
      <c r="I122" s="730"/>
      <c r="J122" s="798"/>
      <c r="K122" s="756"/>
      <c r="L122" s="730"/>
      <c r="M122" s="730"/>
      <c r="N122" s="730"/>
      <c r="O122" s="730"/>
      <c r="P122" s="756"/>
      <c r="Q122" s="798"/>
      <c r="R122" s="730"/>
      <c r="S122" s="730"/>
      <c r="T122" s="798"/>
      <c r="U122" s="756"/>
      <c r="V122" s="798"/>
      <c r="W122" s="730"/>
      <c r="X122" s="730"/>
      <c r="Y122" s="798"/>
      <c r="Z122" s="756"/>
      <c r="AA122" s="730"/>
      <c r="AB122" s="730"/>
      <c r="AC122" s="730"/>
      <c r="AD122" s="730"/>
      <c r="AE122" s="756"/>
      <c r="AF122" s="687"/>
      <c r="AG122" s="687"/>
      <c r="AH122" s="785"/>
      <c r="AI122" s="785"/>
      <c r="AJ122" s="756"/>
      <c r="AK122" s="785"/>
      <c r="AL122" s="785"/>
      <c r="AM122" s="785"/>
      <c r="AN122" s="785"/>
      <c r="AO122" s="815"/>
      <c r="AP122" s="785"/>
      <c r="AQ122" s="785"/>
      <c r="AR122" s="785"/>
      <c r="AS122" s="785"/>
      <c r="AT122" s="736"/>
      <c r="AU122" s="785"/>
      <c r="AV122" s="785"/>
      <c r="AW122" s="785"/>
      <c r="AX122" s="785"/>
      <c r="AY122" s="799"/>
      <c r="AZ122" s="785"/>
      <c r="BA122" s="785"/>
      <c r="BB122" s="785">
        <f>+BB120/BA120-1</f>
        <v>-0.5767215033878591</v>
      </c>
      <c r="BC122" s="785">
        <f>+BC120/BB120-1</f>
        <v>-0.35566401945240345</v>
      </c>
      <c r="BD122" s="799"/>
      <c r="BE122" s="785">
        <f>+BE120/BC120-1</f>
        <v>-0.38990802910848343</v>
      </c>
      <c r="BF122" s="785">
        <f>+BF120/BE120-1</f>
        <v>0.5868548846546866</v>
      </c>
      <c r="BG122" s="785">
        <f>+BG120/BF120-1</f>
        <v>0.29415418632747525</v>
      </c>
      <c r="BH122" s="785">
        <f>+BH120/BG120-1</f>
        <v>-0.33610899499324065</v>
      </c>
      <c r="BI122" s="799"/>
      <c r="BJ122" s="785">
        <f>+BJ120/BH120-1</f>
        <v>6.8683049779457939E-2</v>
      </c>
      <c r="BK122" s="785">
        <f>+BK120/BJ120-1</f>
        <v>-0.17025819265144038</v>
      </c>
      <c r="BL122" s="785">
        <f>+BL120/BK120-1</f>
        <v>0.5535949374663407</v>
      </c>
      <c r="BM122" s="785">
        <f>+BM120/BL120-1</f>
        <v>3.7805071811340296E-2</v>
      </c>
      <c r="BN122" s="799"/>
      <c r="BO122" s="785">
        <f>+BO120/BM120-1</f>
        <v>-0.26855146625593251</v>
      </c>
      <c r="BP122" s="785">
        <f>+BP120/BO120-1</f>
        <v>-1.1232819367892777E-2</v>
      </c>
      <c r="BQ122" s="785">
        <f>+BQ120/BP120-1</f>
        <v>0.34359043440330583</v>
      </c>
      <c r="BR122" s="785">
        <f>+BR120/BQ120-1</f>
        <v>-9.2034088467690234E-2</v>
      </c>
      <c r="BS122" s="799"/>
      <c r="BT122" s="785">
        <f>+BT120/BR120-1</f>
        <v>-0.4730725951477035</v>
      </c>
      <c r="BU122" s="785"/>
      <c r="BV122" s="785"/>
      <c r="BW122" s="785"/>
      <c r="BX122" s="799"/>
      <c r="BY122" s="785"/>
      <c r="BZ122" s="785"/>
      <c r="CA122" s="785"/>
      <c r="CB122" s="785"/>
      <c r="CC122" s="799"/>
      <c r="CD122" s="785"/>
      <c r="CE122" s="785"/>
      <c r="CF122" s="785"/>
      <c r="CG122" s="785"/>
      <c r="CH122" s="799"/>
      <c r="CI122" s="785"/>
      <c r="CJ122" s="785"/>
      <c r="CK122" s="785"/>
      <c r="CL122" s="785"/>
      <c r="CM122" s="799"/>
      <c r="CN122" s="785"/>
      <c r="CO122" s="785"/>
      <c r="CP122" s="785"/>
      <c r="CQ122" s="785"/>
      <c r="CR122" s="799"/>
      <c r="CT122" s="736"/>
      <c r="CU122" s="736"/>
      <c r="CW122" s="725"/>
      <c r="CX122" s="725"/>
      <c r="CY122" s="725"/>
      <c r="CZ122" s="725"/>
      <c r="DA122" s="725"/>
      <c r="DB122" s="725"/>
      <c r="DC122" s="725"/>
      <c r="DD122" s="725"/>
      <c r="DE122" s="725"/>
      <c r="DF122" s="725"/>
      <c r="DG122" s="725"/>
      <c r="DH122" s="725"/>
      <c r="DI122" s="725"/>
    </row>
    <row r="123" spans="1:113" ht="12" customHeight="1">
      <c r="A123" s="726"/>
      <c r="B123" s="816"/>
      <c r="C123" s="816"/>
      <c r="D123" s="816"/>
      <c r="E123" s="816"/>
      <c r="F123" s="762"/>
      <c r="G123" s="816"/>
      <c r="H123" s="816"/>
      <c r="I123" s="816"/>
      <c r="J123" s="816"/>
      <c r="K123" s="762"/>
      <c r="L123" s="813"/>
      <c r="M123" s="813"/>
      <c r="N123" s="813"/>
      <c r="O123" s="813"/>
      <c r="P123" s="762"/>
      <c r="Q123" s="816"/>
      <c r="R123" s="816"/>
      <c r="S123" s="816"/>
      <c r="T123" s="816"/>
      <c r="U123" s="762"/>
      <c r="V123" s="816"/>
      <c r="W123" s="816"/>
      <c r="X123" s="816"/>
      <c r="Y123" s="816"/>
      <c r="Z123" s="762"/>
      <c r="AA123" s="813"/>
      <c r="AB123" s="813"/>
      <c r="AC123" s="813"/>
      <c r="AD123" s="813"/>
      <c r="AE123" s="762"/>
      <c r="AF123" s="817"/>
      <c r="AG123" s="817"/>
      <c r="AH123" s="817"/>
      <c r="AI123" s="813"/>
      <c r="AJ123" s="762"/>
      <c r="AK123" s="813"/>
      <c r="AL123" s="813"/>
      <c r="AM123" s="813"/>
      <c r="AN123" s="813"/>
      <c r="AO123" s="762"/>
      <c r="AP123" s="813"/>
      <c r="AQ123" s="813"/>
      <c r="AR123" s="813"/>
      <c r="AS123" s="813"/>
      <c r="AT123" s="762"/>
      <c r="AU123" s="813"/>
      <c r="AV123" s="813"/>
      <c r="AW123" s="813"/>
      <c r="AX123" s="813"/>
      <c r="AY123" s="818"/>
      <c r="AZ123" s="813"/>
      <c r="BA123" s="813"/>
      <c r="BB123" s="813"/>
      <c r="BC123" s="813"/>
      <c r="BD123" s="818"/>
      <c r="BE123" s="813"/>
      <c r="BF123" s="813"/>
      <c r="BG123" s="813"/>
      <c r="BH123" s="813"/>
      <c r="BI123" s="818"/>
      <c r="BJ123" s="813"/>
      <c r="BK123" s="813"/>
      <c r="BL123" s="813"/>
      <c r="BM123" s="813"/>
      <c r="BN123" s="818"/>
      <c r="BO123" s="813"/>
      <c r="BP123" s="813"/>
      <c r="BQ123" s="813"/>
      <c r="BR123" s="813"/>
      <c r="BS123" s="818"/>
      <c r="BT123" s="813"/>
      <c r="BU123" s="813"/>
      <c r="BV123" s="813"/>
      <c r="BW123" s="813"/>
      <c r="BX123" s="818"/>
      <c r="BY123" s="813"/>
      <c r="BZ123" s="813"/>
      <c r="CA123" s="813"/>
      <c r="CB123" s="813"/>
      <c r="CC123" s="818"/>
      <c r="CD123" s="813"/>
      <c r="CE123" s="813"/>
      <c r="CF123" s="813"/>
      <c r="CG123" s="813"/>
      <c r="CH123" s="818"/>
      <c r="CI123" s="813"/>
      <c r="CJ123" s="813"/>
      <c r="CK123" s="813"/>
      <c r="CL123" s="813"/>
      <c r="CM123" s="818"/>
      <c r="CN123" s="813"/>
      <c r="CO123" s="813"/>
      <c r="CP123" s="813"/>
      <c r="CQ123" s="813"/>
      <c r="CR123" s="818"/>
      <c r="CT123" s="784"/>
      <c r="CU123" s="784"/>
      <c r="CW123" s="725"/>
      <c r="CX123" s="725"/>
      <c r="CY123" s="725"/>
      <c r="CZ123" s="725"/>
      <c r="DA123" s="725"/>
      <c r="DB123" s="725"/>
      <c r="DC123" s="725"/>
      <c r="DD123" s="725"/>
      <c r="DE123" s="725"/>
      <c r="DF123" s="725"/>
      <c r="DG123" s="725"/>
      <c r="DH123" s="725"/>
      <c r="DI123" s="725"/>
    </row>
    <row r="124" spans="1:113" ht="12" customHeight="1">
      <c r="A124" s="774" t="s">
        <v>926</v>
      </c>
      <c r="B124" s="775"/>
      <c r="C124" s="776"/>
      <c r="D124" s="776"/>
      <c r="E124" s="776"/>
      <c r="F124" s="777"/>
      <c r="G124" s="775"/>
      <c r="H124" s="776"/>
      <c r="I124" s="776"/>
      <c r="J124" s="776"/>
      <c r="K124" s="777"/>
      <c r="L124" s="776"/>
      <c r="M124" s="776"/>
      <c r="N124" s="776"/>
      <c r="O124" s="776"/>
      <c r="P124" s="777"/>
      <c r="Q124" s="778"/>
      <c r="R124" s="776"/>
      <c r="S124" s="776"/>
      <c r="T124" s="776"/>
      <c r="U124" s="777"/>
      <c r="V124" s="778"/>
      <c r="W124" s="776"/>
      <c r="X124" s="776"/>
      <c r="Y124" s="776"/>
      <c r="Z124" s="777"/>
      <c r="AA124" s="776"/>
      <c r="AB124" s="776"/>
      <c r="AC124" s="776"/>
      <c r="AD124" s="776"/>
      <c r="AE124" s="777"/>
      <c r="AF124" s="776"/>
      <c r="AG124" s="776"/>
      <c r="AH124" s="776"/>
      <c r="AI124" s="776"/>
      <c r="AJ124" s="777"/>
      <c r="AK124" s="776"/>
      <c r="AL124" s="776"/>
      <c r="AM124" s="776"/>
      <c r="AN124" s="776"/>
      <c r="AO124" s="779"/>
      <c r="AP124" s="776"/>
      <c r="AQ124" s="776"/>
      <c r="AR124" s="776"/>
      <c r="AS124" s="776"/>
      <c r="AT124" s="779"/>
      <c r="AU124" s="776"/>
      <c r="AV124" s="776"/>
      <c r="AW124" s="776"/>
      <c r="AX124" s="776"/>
      <c r="AY124" s="779"/>
      <c r="AZ124" s="776"/>
      <c r="BA124" s="776"/>
      <c r="BB124" s="776"/>
      <c r="BC124" s="776"/>
      <c r="BD124" s="779"/>
      <c r="BE124" s="776"/>
      <c r="BF124" s="776"/>
      <c r="BG124" s="776"/>
      <c r="BH124" s="776"/>
      <c r="BI124" s="779"/>
      <c r="BJ124" s="776"/>
      <c r="BK124" s="776"/>
      <c r="BL124" s="776"/>
      <c r="BM124" s="776"/>
      <c r="BN124" s="779"/>
      <c r="BO124" s="776"/>
      <c r="BP124" s="776"/>
      <c r="BQ124" s="776"/>
      <c r="BR124" s="776"/>
      <c r="BS124" s="779"/>
      <c r="BT124" s="776"/>
      <c r="BU124" s="776"/>
      <c r="BV124" s="776"/>
      <c r="BW124" s="776"/>
      <c r="BX124" s="779"/>
      <c r="BY124" s="776"/>
      <c r="BZ124" s="776"/>
      <c r="CA124" s="776"/>
      <c r="CB124" s="776"/>
      <c r="CC124" s="779"/>
      <c r="CD124" s="776"/>
      <c r="CE124" s="776"/>
      <c r="CF124" s="776"/>
      <c r="CG124" s="776"/>
      <c r="CH124" s="779"/>
      <c r="CI124" s="776"/>
      <c r="CJ124" s="776"/>
      <c r="CK124" s="776"/>
      <c r="CL124" s="776"/>
      <c r="CM124" s="779"/>
      <c r="CN124" s="776"/>
      <c r="CO124" s="776"/>
      <c r="CP124" s="776"/>
      <c r="CQ124" s="776"/>
      <c r="CR124" s="779"/>
      <c r="CT124" s="779"/>
      <c r="CU124" s="779"/>
      <c r="CW124" s="725"/>
      <c r="CX124" s="725"/>
      <c r="CY124" s="725"/>
      <c r="CZ124" s="725"/>
      <c r="DA124" s="725"/>
      <c r="DB124" s="725"/>
      <c r="DC124" s="725"/>
      <c r="DD124" s="725"/>
      <c r="DE124" s="725"/>
      <c r="DF124" s="725"/>
      <c r="DG124" s="725"/>
      <c r="DH124" s="725"/>
      <c r="DI124" s="725"/>
    </row>
    <row r="125" spans="1:113" ht="12" customHeight="1">
      <c r="A125" s="760"/>
      <c r="B125" s="819"/>
      <c r="C125" s="819"/>
      <c r="D125" s="819"/>
      <c r="E125" s="819"/>
      <c r="F125" s="818"/>
      <c r="G125" s="819"/>
      <c r="H125" s="819"/>
      <c r="I125" s="819"/>
      <c r="J125" s="819"/>
      <c r="K125" s="818"/>
      <c r="L125" s="819"/>
      <c r="M125" s="819"/>
      <c r="N125" s="819"/>
      <c r="O125" s="819"/>
      <c r="P125" s="818"/>
      <c r="Q125" s="819"/>
      <c r="R125" s="819"/>
      <c r="S125" s="819"/>
      <c r="T125" s="819"/>
      <c r="U125" s="818"/>
      <c r="V125" s="819"/>
      <c r="W125" s="819"/>
      <c r="X125" s="819"/>
      <c r="Y125" s="819"/>
      <c r="Z125" s="818"/>
      <c r="AA125" s="819"/>
      <c r="AB125" s="819"/>
      <c r="AC125" s="819"/>
      <c r="AD125" s="819"/>
      <c r="AE125" s="818"/>
      <c r="AF125" s="819"/>
      <c r="AG125" s="819"/>
      <c r="AH125" s="819"/>
      <c r="AI125" s="819"/>
      <c r="AJ125" s="818"/>
      <c r="AK125" s="819"/>
      <c r="AL125" s="819"/>
      <c r="AM125" s="819"/>
      <c r="AN125" s="819"/>
      <c r="AO125" s="818"/>
      <c r="AP125" s="819"/>
      <c r="AQ125" s="819"/>
      <c r="AR125" s="819"/>
      <c r="AS125" s="819"/>
      <c r="AT125" s="818"/>
      <c r="AU125" s="819"/>
      <c r="AV125" s="819"/>
      <c r="AW125" s="819"/>
      <c r="AX125" s="819"/>
      <c r="AY125" s="818"/>
      <c r="AZ125" s="819"/>
      <c r="BA125" s="819"/>
      <c r="BB125" s="819"/>
      <c r="BC125" s="819"/>
      <c r="BD125" s="818"/>
      <c r="BE125" s="819"/>
      <c r="BF125" s="819"/>
      <c r="BG125" s="819"/>
      <c r="BH125" s="819"/>
      <c r="BI125" s="818"/>
      <c r="BJ125" s="819"/>
      <c r="BK125" s="819"/>
      <c r="BL125" s="819"/>
      <c r="BM125" s="819"/>
      <c r="BN125" s="818"/>
      <c r="BO125" s="819"/>
      <c r="BP125" s="819"/>
      <c r="BQ125" s="819"/>
      <c r="BR125" s="819"/>
      <c r="BS125" s="818"/>
      <c r="BT125" s="819"/>
      <c r="BU125" s="819"/>
      <c r="BV125" s="819"/>
      <c r="BW125" s="819"/>
      <c r="BX125" s="818"/>
      <c r="BY125" s="819"/>
      <c r="BZ125" s="819"/>
      <c r="CA125" s="819"/>
      <c r="CB125" s="819"/>
      <c r="CC125" s="818"/>
      <c r="CD125" s="819"/>
      <c r="CE125" s="819"/>
      <c r="CF125" s="819"/>
      <c r="CG125" s="819"/>
      <c r="CH125" s="818"/>
      <c r="CI125" s="819"/>
      <c r="CJ125" s="819"/>
      <c r="CK125" s="819"/>
      <c r="CL125" s="819"/>
      <c r="CM125" s="818"/>
      <c r="CN125" s="819"/>
      <c r="CO125" s="819"/>
      <c r="CP125" s="819"/>
      <c r="CQ125" s="819"/>
      <c r="CR125" s="818"/>
      <c r="CT125" s="762"/>
      <c r="CU125" s="762"/>
      <c r="CW125" s="725"/>
      <c r="CX125" s="725"/>
      <c r="CY125" s="725"/>
      <c r="CZ125" s="725"/>
      <c r="DA125" s="725"/>
      <c r="DB125" s="725"/>
      <c r="DC125" s="725"/>
      <c r="DD125" s="725"/>
      <c r="DE125" s="725"/>
      <c r="DF125" s="725"/>
      <c r="DG125" s="725"/>
      <c r="DH125" s="725"/>
      <c r="DI125" s="725"/>
    </row>
    <row r="126" spans="1:113" ht="12" customHeight="1">
      <c r="A126" s="820" t="s">
        <v>927</v>
      </c>
      <c r="B126" s="785"/>
      <c r="C126" s="789"/>
      <c r="E126" s="789"/>
      <c r="F126" s="821"/>
      <c r="G126" s="822"/>
      <c r="H126" s="823"/>
      <c r="I126" s="823"/>
      <c r="J126" s="823"/>
      <c r="K126" s="824"/>
      <c r="L126" s="823"/>
      <c r="M126" s="823"/>
      <c r="N126" s="823"/>
      <c r="O126" s="823"/>
      <c r="P126" s="824"/>
      <c r="Q126" s="823"/>
      <c r="R126" s="823"/>
      <c r="S126" s="823"/>
      <c r="T126" s="823"/>
      <c r="U126" s="824"/>
      <c r="V126" s="823"/>
      <c r="W126" s="823"/>
      <c r="X126" s="823"/>
      <c r="Y126" s="823"/>
      <c r="Z126" s="824"/>
      <c r="AA126" s="823"/>
      <c r="AB126" s="823"/>
      <c r="AC126" s="823"/>
      <c r="AD126" s="823"/>
      <c r="AE126" s="824"/>
      <c r="AF126" s="823"/>
      <c r="AG126" s="823"/>
      <c r="AH126" s="823"/>
      <c r="AI126" s="823"/>
      <c r="AJ126" s="824"/>
      <c r="AK126" s="823"/>
      <c r="AL126" s="823"/>
      <c r="AM126" s="823"/>
      <c r="AN126" s="823"/>
      <c r="AO126" s="824"/>
      <c r="AP126" s="823">
        <f>AP34*4</f>
        <v>197.6</v>
      </c>
      <c r="AQ126" s="823">
        <f>AQ34*4</f>
        <v>241.6</v>
      </c>
      <c r="AR126" s="823">
        <f>AR34*4</f>
        <v>266.72399999999999</v>
      </c>
      <c r="AS126" s="823">
        <f>AS34*4</f>
        <v>270</v>
      </c>
      <c r="AT126" s="824"/>
      <c r="AU126" s="823">
        <f>AU34*4-10</f>
        <v>268.41600000000005</v>
      </c>
      <c r="AV126" s="823">
        <f>AV34*4</f>
        <v>276.14</v>
      </c>
      <c r="AW126" s="823">
        <f>AW39*4</f>
        <v>422.29599999999999</v>
      </c>
      <c r="AX126" s="823">
        <f>AX39*4</f>
        <v>440.83199999999988</v>
      </c>
      <c r="AY126" s="824"/>
      <c r="AZ126" s="823">
        <f>AZ41*4</f>
        <v>468.14400000000001</v>
      </c>
      <c r="BA126" s="823">
        <f>BA41*4</f>
        <v>484.512</v>
      </c>
      <c r="BB126" s="823">
        <f>BB41*4</f>
        <v>499.452</v>
      </c>
      <c r="BC126" s="823">
        <f>BC41*4</f>
        <v>519.87599999999998</v>
      </c>
      <c r="BD126" s="824"/>
      <c r="BE126" s="823">
        <f>BE41*4</f>
        <v>518.18799999999999</v>
      </c>
      <c r="BF126" s="823">
        <f>BF43*4</f>
        <v>526.48400000000004</v>
      </c>
      <c r="BG126" s="823">
        <f>BG43*4</f>
        <v>539.53599999999994</v>
      </c>
      <c r="BH126" s="823">
        <f>BH43*3.96</f>
        <v>542.07648000000006</v>
      </c>
      <c r="BI126" s="824"/>
      <c r="BJ126" s="823">
        <f>BJ41*3.96</f>
        <v>534.21587999999997</v>
      </c>
      <c r="BK126" s="823">
        <f>BK43*3.96</f>
        <v>533.54664000000002</v>
      </c>
      <c r="BL126" s="823">
        <f>BL43*3.96</f>
        <v>525.88800000000003</v>
      </c>
      <c r="BM126" s="823">
        <f>BM43*4</f>
        <v>537.41999999999996</v>
      </c>
      <c r="BN126" s="824"/>
      <c r="BO126" s="823">
        <f>BO41*3.96</f>
        <v>520.35983999999996</v>
      </c>
      <c r="BP126" s="823">
        <f>BP43*3.96</f>
        <v>520.95780000000002</v>
      </c>
      <c r="BQ126" s="823">
        <f>BQ43*3.96</f>
        <v>522.72</v>
      </c>
      <c r="BR126" s="823">
        <f>BR43*4</f>
        <v>531.99599999999998</v>
      </c>
      <c r="BS126" s="824"/>
      <c r="BT126" s="823">
        <f>BT41*3.96</f>
        <v>526.16520000000003</v>
      </c>
      <c r="BU126" s="823">
        <f>BU43*4</f>
        <v>525.30538064000007</v>
      </c>
      <c r="BV126" s="823">
        <f>BV43*4</f>
        <v>529.72022400000003</v>
      </c>
      <c r="BW126" s="823">
        <f>BW43*4</f>
        <v>539.19600000000003</v>
      </c>
      <c r="BX126" s="824"/>
      <c r="BY126" s="823">
        <f>BY41*4</f>
        <v>545.26237704000005</v>
      </c>
      <c r="BZ126" s="823">
        <f>BZ43*4</f>
        <v>535.77553121440019</v>
      </c>
      <c r="CA126" s="823">
        <f>CA43*4</f>
        <v>545.01626255999997</v>
      </c>
      <c r="CB126" s="823">
        <f>CB43*4</f>
        <v>557.53991999999994</v>
      </c>
      <c r="CC126" s="824"/>
      <c r="CD126" s="823">
        <f>CD41*4</f>
        <v>580.55655204720006</v>
      </c>
      <c r="CE126" s="823">
        <f>CE43*4</f>
        <v>557.8484584340323</v>
      </c>
      <c r="CF126" s="823">
        <f>CF43*4</f>
        <v>569.45200915679993</v>
      </c>
      <c r="CG126" s="823">
        <f>CG43*4</f>
        <v>582.58211759999995</v>
      </c>
      <c r="CH126" s="824"/>
      <c r="CI126" s="823">
        <f>CI41*4</f>
        <v>619.74999785901605</v>
      </c>
      <c r="CJ126" s="823">
        <f>CJ43*4</f>
        <v>581.48352266273344</v>
      </c>
      <c r="CK126" s="823">
        <f>CK43*4</f>
        <v>595.83361695950396</v>
      </c>
      <c r="CL126" s="823">
        <f>CL43*4</f>
        <v>609.62298112799999</v>
      </c>
      <c r="CM126" s="824"/>
      <c r="CN126" s="823">
        <f>CN41*4</f>
        <v>661.836384438099</v>
      </c>
      <c r="CO126" s="823">
        <f>CO43*4</f>
        <v>605.40887158299086</v>
      </c>
      <c r="CP126" s="823">
        <f>CP43*4</f>
        <v>624.40138012548914</v>
      </c>
      <c r="CQ126" s="823">
        <f>CQ43*4</f>
        <v>638.90958056184002</v>
      </c>
      <c r="CR126" s="824"/>
      <c r="CT126" s="797"/>
      <c r="CU126" s="797"/>
      <c r="CW126" s="725"/>
      <c r="CX126" s="725"/>
      <c r="CY126" s="725"/>
      <c r="CZ126" s="725"/>
      <c r="DA126" s="725"/>
      <c r="DB126" s="725"/>
      <c r="DC126" s="725"/>
      <c r="DD126" s="725"/>
      <c r="DE126" s="725"/>
      <c r="DF126" s="725"/>
      <c r="DG126" s="725"/>
      <c r="DH126" s="725"/>
      <c r="DI126" s="725"/>
    </row>
    <row r="127" spans="1:113" ht="12" customHeight="1">
      <c r="A127" s="762" t="s">
        <v>928</v>
      </c>
      <c r="B127" s="764"/>
      <c r="C127" s="764"/>
      <c r="D127" s="764"/>
      <c r="E127" s="764"/>
      <c r="F127" s="763"/>
      <c r="G127" s="822"/>
      <c r="H127" s="823"/>
      <c r="I127" s="823"/>
      <c r="J127" s="823"/>
      <c r="K127" s="825"/>
      <c r="L127" s="823"/>
      <c r="M127" s="823"/>
      <c r="N127" s="823"/>
      <c r="O127" s="823"/>
      <c r="P127" s="825"/>
      <c r="Q127" s="823"/>
      <c r="R127" s="823"/>
      <c r="S127" s="823"/>
      <c r="T127" s="823"/>
      <c r="U127" s="825"/>
      <c r="V127" s="823"/>
      <c r="W127" s="823"/>
      <c r="X127" s="823"/>
      <c r="Y127" s="823"/>
      <c r="Z127" s="825"/>
      <c r="AA127" s="823"/>
      <c r="AB127" s="823"/>
      <c r="AC127" s="823"/>
      <c r="AD127" s="823"/>
      <c r="AE127" s="825"/>
      <c r="AF127" s="823"/>
      <c r="AG127" s="823"/>
      <c r="AH127" s="823"/>
      <c r="AI127" s="823"/>
      <c r="AJ127" s="825"/>
      <c r="AK127" s="823"/>
      <c r="AL127" s="823"/>
      <c r="AM127" s="823"/>
      <c r="AN127" s="823"/>
      <c r="AO127" s="825"/>
      <c r="AP127" s="823"/>
      <c r="AQ127" s="823"/>
      <c r="AR127" s="823"/>
      <c r="AS127" s="823"/>
      <c r="AT127" s="825">
        <f>AT43-AO43</f>
        <v>90.347000000000008</v>
      </c>
      <c r="AU127" s="823">
        <f>AU126-AP126</f>
        <v>70.816000000000059</v>
      </c>
      <c r="AV127" s="823">
        <f>AV126-AQ126</f>
        <v>34.539999999999992</v>
      </c>
      <c r="AW127" s="823">
        <f>AW126-AR126</f>
        <v>155.572</v>
      </c>
      <c r="AX127" s="823">
        <f>AX126-AS126</f>
        <v>170.83199999999988</v>
      </c>
      <c r="AY127" s="825">
        <f>+AX127</f>
        <v>170.83199999999988</v>
      </c>
      <c r="AZ127" s="823">
        <f>AZ126-AU126</f>
        <v>199.72799999999995</v>
      </c>
      <c r="BA127" s="823">
        <f>BA126-AV126</f>
        <v>208.37200000000001</v>
      </c>
      <c r="BB127" s="823">
        <f>BB126-AW126</f>
        <v>77.156000000000006</v>
      </c>
      <c r="BC127" s="823">
        <f>BC126-AX126</f>
        <v>79.044000000000096</v>
      </c>
      <c r="BD127" s="825">
        <f>+BC127</f>
        <v>79.044000000000096</v>
      </c>
      <c r="BE127" s="823">
        <f>BE126-AZ126</f>
        <v>50.043999999999983</v>
      </c>
      <c r="BF127" s="823">
        <f>BF126-BA126</f>
        <v>41.972000000000037</v>
      </c>
      <c r="BG127" s="823">
        <f>BG126-BB126</f>
        <v>40.083999999999946</v>
      </c>
      <c r="BH127" s="823">
        <f>BH126-BC126</f>
        <v>22.200480000000084</v>
      </c>
      <c r="BI127" s="825">
        <f>+BH127</f>
        <v>22.200480000000084</v>
      </c>
      <c r="BJ127" s="823">
        <f>BJ126-BE126</f>
        <v>16.027879999999982</v>
      </c>
      <c r="BK127" s="823">
        <f>BK126-BF126</f>
        <v>7.0626399999999876</v>
      </c>
      <c r="BL127" s="823">
        <f>BL126-BG126</f>
        <v>-13.647999999999911</v>
      </c>
      <c r="BM127" s="823">
        <f>BM126-BH126</f>
        <v>-4.6564800000001014</v>
      </c>
      <c r="BN127" s="825">
        <f>+BM127</f>
        <v>-4.6564800000001014</v>
      </c>
      <c r="BO127" s="823">
        <f>BO126-BJ126</f>
        <v>-13.856040000000007</v>
      </c>
      <c r="BP127" s="823">
        <f>BP126-BK126</f>
        <v>-12.588840000000005</v>
      </c>
      <c r="BQ127" s="823">
        <f>BQ126-BL126</f>
        <v>-3.1680000000000064</v>
      </c>
      <c r="BR127" s="823">
        <f>BR126-BM126</f>
        <v>-5.4239999999999782</v>
      </c>
      <c r="BS127" s="825">
        <f>+BR127</f>
        <v>-5.4239999999999782</v>
      </c>
      <c r="BT127" s="823">
        <f>BT126-BO126</f>
        <v>5.8053600000000642</v>
      </c>
      <c r="BU127" s="823">
        <f>BU126-BP126</f>
        <v>4.3475806400000465</v>
      </c>
      <c r="BV127" s="823">
        <f>BV126-BQ126</f>
        <v>7.0002240000000029</v>
      </c>
      <c r="BW127" s="823">
        <f>BW126-BR126</f>
        <v>7.2000000000000455</v>
      </c>
      <c r="BX127" s="825">
        <f>+BW127</f>
        <v>7.2000000000000455</v>
      </c>
      <c r="BY127" s="823">
        <f>BY126-BT126</f>
        <v>19.09717704000002</v>
      </c>
      <c r="BZ127" s="823">
        <f>BZ126-BU126</f>
        <v>10.470150574400122</v>
      </c>
      <c r="CA127" s="823">
        <f>CA126-BV126</f>
        <v>15.296038559999943</v>
      </c>
      <c r="CB127" s="823">
        <f>CB126-BW126</f>
        <v>18.343919999999912</v>
      </c>
      <c r="CC127" s="825">
        <f>+CB127</f>
        <v>18.343919999999912</v>
      </c>
      <c r="CD127" s="823">
        <f>CD126-BY126</f>
        <v>35.29417500720001</v>
      </c>
      <c r="CE127" s="823">
        <f>CE126-BZ126</f>
        <v>22.072927219632106</v>
      </c>
      <c r="CF127" s="823">
        <f>CF126-CA126</f>
        <v>24.435746596799959</v>
      </c>
      <c r="CG127" s="823">
        <f>CG126-CB126</f>
        <v>25.042197600000009</v>
      </c>
      <c r="CH127" s="825">
        <f>+CG127</f>
        <v>25.042197600000009</v>
      </c>
      <c r="CI127" s="823">
        <f>CI126-CD126</f>
        <v>39.193445811815991</v>
      </c>
      <c r="CJ127" s="823">
        <f>CJ126-CE126</f>
        <v>23.63506422870114</v>
      </c>
      <c r="CK127" s="823">
        <f>CK126-CF126</f>
        <v>26.381607802704025</v>
      </c>
      <c r="CL127" s="823">
        <f>CL126-CG126</f>
        <v>27.040863528000045</v>
      </c>
      <c r="CM127" s="825">
        <f>+CL127</f>
        <v>27.040863528000045</v>
      </c>
      <c r="CN127" s="823">
        <f>CN126-CI126</f>
        <v>42.086386579082955</v>
      </c>
      <c r="CO127" s="823">
        <f>CO126-CJ126</f>
        <v>23.92534892025742</v>
      </c>
      <c r="CP127" s="823">
        <f>CP126-CK126</f>
        <v>28.567763165985184</v>
      </c>
      <c r="CQ127" s="823">
        <f>CQ126-CL126</f>
        <v>29.286599433840024</v>
      </c>
      <c r="CR127" s="825">
        <f>+CQ127</f>
        <v>29.286599433840024</v>
      </c>
      <c r="CT127" s="755"/>
      <c r="CU127" s="755"/>
      <c r="CW127" s="725"/>
      <c r="CX127" s="725"/>
      <c r="CY127" s="725"/>
      <c r="CZ127" s="725"/>
      <c r="DA127" s="725"/>
      <c r="DB127" s="725"/>
      <c r="DC127" s="725"/>
      <c r="DD127" s="725"/>
      <c r="DE127" s="725"/>
      <c r="DF127" s="725"/>
      <c r="DG127" s="725"/>
      <c r="DH127" s="725"/>
      <c r="DI127" s="725"/>
    </row>
    <row r="128" spans="1:113" ht="12" customHeight="1">
      <c r="A128" s="733" t="s">
        <v>881</v>
      </c>
      <c r="B128" s="814"/>
      <c r="C128" s="814"/>
      <c r="D128" s="826"/>
      <c r="E128" s="826"/>
      <c r="F128" s="763"/>
      <c r="G128" s="827"/>
      <c r="H128" s="734"/>
      <c r="I128" s="734"/>
      <c r="J128" s="734"/>
      <c r="K128" s="771"/>
      <c r="L128" s="734"/>
      <c r="M128" s="734"/>
      <c r="N128" s="734"/>
      <c r="O128" s="734"/>
      <c r="P128" s="771"/>
      <c r="Q128" s="734"/>
      <c r="R128" s="734"/>
      <c r="S128" s="734"/>
      <c r="T128" s="734"/>
      <c r="U128" s="771"/>
      <c r="V128" s="734"/>
      <c r="W128" s="734"/>
      <c r="X128" s="734"/>
      <c r="Y128" s="734"/>
      <c r="Z128" s="771"/>
      <c r="AA128" s="734"/>
      <c r="AB128" s="734"/>
      <c r="AC128" s="734"/>
      <c r="AD128" s="734"/>
      <c r="AE128" s="771"/>
      <c r="AF128" s="734"/>
      <c r="AG128" s="734"/>
      <c r="AH128" s="734"/>
      <c r="AI128" s="734"/>
      <c r="AJ128" s="771"/>
      <c r="AK128" s="734"/>
      <c r="AL128" s="734"/>
      <c r="AM128" s="734"/>
      <c r="AN128" s="734"/>
      <c r="AO128" s="771"/>
      <c r="AP128" s="734"/>
      <c r="AQ128" s="734"/>
      <c r="AR128" s="734"/>
      <c r="AS128" s="734"/>
      <c r="AT128" s="771"/>
      <c r="AU128" s="734"/>
      <c r="AV128" s="734"/>
      <c r="AW128" s="734"/>
      <c r="AX128" s="734"/>
      <c r="AY128" s="771">
        <f t="shared" ref="AY128:CR128" si="51">AY127/AT127-1</f>
        <v>0.89084308278083246</v>
      </c>
      <c r="AZ128" s="734">
        <f t="shared" si="51"/>
        <v>1.8203795752372316</v>
      </c>
      <c r="BA128" s="734">
        <f t="shared" si="51"/>
        <v>5.0327735958309221</v>
      </c>
      <c r="BB128" s="734">
        <f t="shared" si="51"/>
        <v>-0.50404957190239885</v>
      </c>
      <c r="BC128" s="734">
        <f t="shared" si="51"/>
        <v>-0.53729980331553717</v>
      </c>
      <c r="BD128" s="771">
        <f t="shared" si="51"/>
        <v>-0.53729980331553717</v>
      </c>
      <c r="BE128" s="734">
        <f t="shared" si="51"/>
        <v>-0.74943923736281337</v>
      </c>
      <c r="BF128" s="734">
        <f t="shared" si="51"/>
        <v>-0.79857178507668958</v>
      </c>
      <c r="BG128" s="734">
        <f t="shared" si="51"/>
        <v>-0.48048110321945225</v>
      </c>
      <c r="BH128" s="734">
        <f t="shared" si="51"/>
        <v>-0.71913769546075534</v>
      </c>
      <c r="BI128" s="771">
        <f t="shared" si="51"/>
        <v>-0.71913769546075534</v>
      </c>
      <c r="BJ128" s="734">
        <f t="shared" si="51"/>
        <v>-0.67972424266645382</v>
      </c>
      <c r="BK128" s="734">
        <f t="shared" si="51"/>
        <v>-0.83172972457829075</v>
      </c>
      <c r="BL128" s="734">
        <f t="shared" si="51"/>
        <v>-1.3404849815387667</v>
      </c>
      <c r="BM128" s="734">
        <f t="shared" si="51"/>
        <v>-1.2097468162850571</v>
      </c>
      <c r="BN128" s="771">
        <f t="shared" si="51"/>
        <v>-1.2097468162850571</v>
      </c>
      <c r="BO128" s="734">
        <f t="shared" si="51"/>
        <v>-1.8644961155187101</v>
      </c>
      <c r="BP128" s="734">
        <f t="shared" si="51"/>
        <v>-2.7824552858421252</v>
      </c>
      <c r="BQ128" s="734">
        <f t="shared" si="51"/>
        <v>-0.76787807737397218</v>
      </c>
      <c r="BR128" s="734">
        <f t="shared" si="51"/>
        <v>0.16482836820943292</v>
      </c>
      <c r="BS128" s="771">
        <f t="shared" si="51"/>
        <v>0.16482836820943292</v>
      </c>
      <c r="BT128" s="734">
        <f t="shared" si="51"/>
        <v>-1.4189768505287268</v>
      </c>
      <c r="BU128" s="734">
        <f t="shared" si="51"/>
        <v>-1.3453519657093143</v>
      </c>
      <c r="BV128" s="734">
        <f t="shared" si="51"/>
        <v>-3.2096666666666631</v>
      </c>
      <c r="BW128" s="734">
        <f t="shared" si="51"/>
        <v>-2.3274336283185981</v>
      </c>
      <c r="BX128" s="771">
        <f t="shared" si="51"/>
        <v>-2.3274336283185981</v>
      </c>
      <c r="BY128" s="734">
        <f t="shared" si="51"/>
        <v>2.28957670842115</v>
      </c>
      <c r="BZ128" s="734">
        <f t="shared" si="51"/>
        <v>1.4082705857297246</v>
      </c>
      <c r="CA128" s="734">
        <f t="shared" si="51"/>
        <v>1.1850784432040942</v>
      </c>
      <c r="CB128" s="734">
        <f t="shared" si="51"/>
        <v>1.5477666666666385</v>
      </c>
      <c r="CC128" s="771">
        <f t="shared" si="51"/>
        <v>1.5477666666666385</v>
      </c>
      <c r="CD128" s="734">
        <f t="shared" si="51"/>
        <v>0.84813571834593904</v>
      </c>
      <c r="CE128" s="734">
        <f t="shared" si="51"/>
        <v>1.1081766745170953</v>
      </c>
      <c r="CF128" s="734">
        <f t="shared" si="51"/>
        <v>0.59752124714832378</v>
      </c>
      <c r="CG128" s="734">
        <f t="shared" si="51"/>
        <v>0.36514973898709369</v>
      </c>
      <c r="CH128" s="771">
        <f t="shared" si="51"/>
        <v>0.36514973898709369</v>
      </c>
      <c r="CI128" s="734">
        <f t="shared" si="51"/>
        <v>0.11047915991294688</v>
      </c>
      <c r="CJ128" s="734">
        <f t="shared" si="51"/>
        <v>7.0771628680025511E-2</v>
      </c>
      <c r="CK128" s="734">
        <f t="shared" si="51"/>
        <v>7.9631747620058091E-2</v>
      </c>
      <c r="CL128" s="734">
        <f t="shared" si="51"/>
        <v>7.9811922257175816E-2</v>
      </c>
      <c r="CM128" s="771">
        <f t="shared" si="51"/>
        <v>7.9811922257175816E-2</v>
      </c>
      <c r="CN128" s="734">
        <f t="shared" si="51"/>
        <v>7.3811850612910401E-2</v>
      </c>
      <c r="CO128" s="734">
        <f t="shared" si="51"/>
        <v>1.2281950611489068E-2</v>
      </c>
      <c r="CP128" s="734">
        <f t="shared" si="51"/>
        <v>8.286664632536489E-2</v>
      </c>
      <c r="CQ128" s="734">
        <f t="shared" si="51"/>
        <v>8.3049711171929941E-2</v>
      </c>
      <c r="CR128" s="771">
        <f t="shared" si="51"/>
        <v>8.3049711171929941E-2</v>
      </c>
      <c r="CT128" s="828"/>
      <c r="CU128" s="828"/>
      <c r="CW128" s="725"/>
      <c r="CX128" s="725"/>
      <c r="CY128" s="725"/>
      <c r="CZ128" s="725"/>
      <c r="DA128" s="725"/>
      <c r="DB128" s="725"/>
      <c r="DC128" s="725"/>
      <c r="DD128" s="725"/>
      <c r="DE128" s="725"/>
      <c r="DF128" s="725"/>
      <c r="DG128" s="725"/>
      <c r="DH128" s="725"/>
      <c r="DI128" s="725"/>
    </row>
    <row r="129" spans="1:113" ht="12" customHeight="1">
      <c r="A129" s="820"/>
      <c r="B129" s="819"/>
      <c r="C129" s="819"/>
      <c r="D129" s="819"/>
      <c r="E129" s="819"/>
      <c r="F129" s="818"/>
      <c r="G129" s="827"/>
      <c r="H129" s="734"/>
      <c r="I129" s="734"/>
      <c r="J129" s="734"/>
      <c r="K129" s="771"/>
      <c r="L129" s="734"/>
      <c r="M129" s="734"/>
      <c r="N129" s="734"/>
      <c r="O129" s="734"/>
      <c r="P129" s="771"/>
      <c r="Q129" s="734"/>
      <c r="R129" s="734"/>
      <c r="S129" s="734"/>
      <c r="T129" s="734"/>
      <c r="U129" s="771"/>
      <c r="V129" s="734"/>
      <c r="W129" s="734"/>
      <c r="X129" s="734"/>
      <c r="Y129" s="734"/>
      <c r="Z129" s="771"/>
      <c r="AA129" s="734"/>
      <c r="AB129" s="734"/>
      <c r="AC129" s="734"/>
      <c r="AD129" s="734"/>
      <c r="AE129" s="771"/>
      <c r="AF129" s="734"/>
      <c r="AG129" s="734"/>
      <c r="AH129" s="734"/>
      <c r="AI129" s="734"/>
      <c r="AJ129" s="771"/>
      <c r="AK129" s="734"/>
      <c r="AL129" s="734"/>
      <c r="AM129" s="734"/>
      <c r="AN129" s="734"/>
      <c r="AO129" s="771"/>
      <c r="AP129" s="734"/>
      <c r="AQ129" s="734"/>
      <c r="AR129" s="734"/>
      <c r="AS129" s="734"/>
      <c r="AT129" s="771"/>
      <c r="AU129" s="734"/>
      <c r="AV129" s="734"/>
      <c r="AW129" s="734"/>
      <c r="AX129" s="734"/>
      <c r="AY129" s="771"/>
      <c r="AZ129" s="734"/>
      <c r="BA129" s="734"/>
      <c r="BB129" s="734"/>
      <c r="BC129" s="734"/>
      <c r="BD129" s="771"/>
      <c r="BE129" s="734"/>
      <c r="BF129" s="734"/>
      <c r="BG129" s="734"/>
      <c r="BH129" s="734"/>
      <c r="BI129" s="771"/>
      <c r="BJ129" s="811"/>
      <c r="BK129" s="811"/>
      <c r="BL129" s="734"/>
      <c r="BM129" s="811"/>
      <c r="BN129" s="812"/>
      <c r="BO129" s="811"/>
      <c r="BP129" s="811"/>
      <c r="BQ129" s="734"/>
      <c r="BR129" s="811"/>
      <c r="BS129" s="812"/>
      <c r="BT129" s="811"/>
      <c r="BU129" s="811"/>
      <c r="BV129" s="811"/>
      <c r="BW129" s="811"/>
      <c r="BX129" s="812"/>
      <c r="BY129" s="811"/>
      <c r="BZ129" s="811"/>
      <c r="CA129" s="811"/>
      <c r="CB129" s="811"/>
      <c r="CC129" s="812"/>
      <c r="CD129" s="811"/>
      <c r="CE129" s="811"/>
      <c r="CF129" s="811"/>
      <c r="CG129" s="811"/>
      <c r="CH129" s="812"/>
      <c r="CI129" s="811"/>
      <c r="CJ129" s="811"/>
      <c r="CK129" s="811"/>
      <c r="CL129" s="811"/>
      <c r="CM129" s="812"/>
      <c r="CN129" s="811"/>
      <c r="CO129" s="811"/>
      <c r="CP129" s="811"/>
      <c r="CQ129" s="811"/>
      <c r="CR129" s="812"/>
      <c r="CT129" s="784"/>
      <c r="CU129" s="784"/>
      <c r="CW129" s="725"/>
      <c r="CX129" s="725"/>
      <c r="CY129" s="725"/>
      <c r="CZ129" s="725"/>
      <c r="DA129" s="725"/>
      <c r="DB129" s="725"/>
      <c r="DC129" s="725"/>
      <c r="DD129" s="725"/>
      <c r="DE129" s="725"/>
      <c r="DF129" s="725"/>
      <c r="DG129" s="725"/>
      <c r="DH129" s="725"/>
      <c r="DI129" s="725"/>
    </row>
    <row r="130" spans="1:113" ht="12" customHeight="1">
      <c r="A130" s="820" t="s">
        <v>929</v>
      </c>
      <c r="B130" s="785"/>
      <c r="C130" s="789"/>
      <c r="D130" s="789"/>
      <c r="E130" s="789"/>
      <c r="F130" s="793"/>
      <c r="G130" s="822"/>
      <c r="H130" s="823"/>
      <c r="I130" s="823"/>
      <c r="J130" s="823"/>
      <c r="K130" s="825"/>
      <c r="L130" s="823"/>
      <c r="M130" s="823"/>
      <c r="N130" s="823"/>
      <c r="O130" s="823"/>
      <c r="P130" s="825"/>
      <c r="Q130" s="823"/>
      <c r="R130" s="823"/>
      <c r="S130" s="823"/>
      <c r="T130" s="823"/>
      <c r="U130" s="825"/>
      <c r="V130" s="823"/>
      <c r="W130" s="823"/>
      <c r="X130" s="823"/>
      <c r="Y130" s="823"/>
      <c r="Z130" s="825"/>
      <c r="AA130" s="823"/>
      <c r="AB130" s="823"/>
      <c r="AC130" s="823"/>
      <c r="AD130" s="823"/>
      <c r="AE130" s="825"/>
      <c r="AF130" s="823"/>
      <c r="AG130" s="823"/>
      <c r="AH130" s="823"/>
      <c r="AI130" s="823"/>
      <c r="AJ130" s="825"/>
      <c r="AK130" s="823"/>
      <c r="AL130" s="823"/>
      <c r="AM130" s="823"/>
      <c r="AN130" s="823"/>
      <c r="AO130" s="825">
        <v>42.523000000000003</v>
      </c>
      <c r="AP130" s="823">
        <v>13</v>
      </c>
      <c r="AQ130" s="823">
        <v>15</v>
      </c>
      <c r="AR130" s="823">
        <v>17.018999999999998</v>
      </c>
      <c r="AS130" s="823">
        <v>16.863</v>
      </c>
      <c r="AT130" s="825">
        <v>61.881999999999998</v>
      </c>
      <c r="AU130" s="823">
        <v>14.631</v>
      </c>
      <c r="AV130" s="823">
        <v>14.356</v>
      </c>
      <c r="AW130" s="823">
        <v>14.225</v>
      </c>
      <c r="AX130" s="823">
        <v>21.033999999999999</v>
      </c>
      <c r="AY130" s="825">
        <v>64.246000000000009</v>
      </c>
      <c r="AZ130" s="823">
        <v>15.701000000000001</v>
      </c>
      <c r="BA130" s="823">
        <v>16.207999999999998</v>
      </c>
      <c r="BB130" s="823">
        <v>25</v>
      </c>
      <c r="BC130" s="823">
        <v>22.791</v>
      </c>
      <c r="BD130" s="825">
        <v>79.7</v>
      </c>
      <c r="BE130" s="823">
        <v>22.562000000000001</v>
      </c>
      <c r="BF130" s="823">
        <v>25.587</v>
      </c>
      <c r="BG130" s="823">
        <v>24.939</v>
      </c>
      <c r="BH130" s="823">
        <v>24.893999999999998</v>
      </c>
      <c r="BI130" s="825">
        <v>97.981999999999999</v>
      </c>
      <c r="BJ130" s="823">
        <v>25.866</v>
      </c>
      <c r="BK130" s="823">
        <v>24.945</v>
      </c>
      <c r="BL130" s="823">
        <v>24.937000000000001</v>
      </c>
      <c r="BM130" s="823">
        <v>25.672000000000001</v>
      </c>
      <c r="BN130" s="825">
        <v>101.42</v>
      </c>
      <c r="BO130" s="823">
        <v>24.797000000000001</v>
      </c>
      <c r="BP130" s="823">
        <v>25.978999999999999</v>
      </c>
      <c r="BQ130" s="823">
        <v>23.259</v>
      </c>
      <c r="BR130" s="823">
        <v>23.92</v>
      </c>
      <c r="BS130" s="825">
        <v>97.954999999999998</v>
      </c>
      <c r="BT130" s="823">
        <v>23.353999999999999</v>
      </c>
      <c r="BU130" s="823">
        <v>24.370980384842341</v>
      </c>
      <c r="BV130" s="823">
        <v>24.835827310904111</v>
      </c>
      <c r="BW130" s="823">
        <v>25.506645681449228</v>
      </c>
      <c r="BX130" s="825">
        <v>98.067453377195676</v>
      </c>
      <c r="BY130" s="823">
        <v>25.44605533953694</v>
      </c>
      <c r="BZ130" s="823">
        <v>25.854828813319742</v>
      </c>
      <c r="CA130" s="823">
        <v>25.788612329573162</v>
      </c>
      <c r="CB130" s="823">
        <v>25.898977326628142</v>
      </c>
      <c r="CC130" s="825">
        <v>102.98847380905798</v>
      </c>
      <c r="CD130" s="823">
        <v>25.653406042757098</v>
      </c>
      <c r="CE130" s="823">
        <v>26.148218165954447</v>
      </c>
      <c r="CF130" s="823">
        <v>26.186676875835062</v>
      </c>
      <c r="CG130" s="823">
        <v>26.405888637616123</v>
      </c>
      <c r="CH130" s="825">
        <v>104.39418972216274</v>
      </c>
      <c r="CI130" s="823">
        <v>0</v>
      </c>
      <c r="CJ130" s="823">
        <v>0</v>
      </c>
      <c r="CK130" s="823">
        <v>0</v>
      </c>
      <c r="CL130" s="823">
        <v>0</v>
      </c>
      <c r="CM130" s="825">
        <v>0</v>
      </c>
      <c r="CN130" s="823">
        <v>0</v>
      </c>
      <c r="CO130" s="823">
        <v>0</v>
      </c>
      <c r="CP130" s="823">
        <v>0</v>
      </c>
      <c r="CQ130" s="823">
        <v>0</v>
      </c>
      <c r="CR130" s="825">
        <v>0</v>
      </c>
      <c r="CT130" s="784"/>
      <c r="CU130" s="784"/>
      <c r="CW130" s="725">
        <f>+AJ130-SUM(AF130:AI130)</f>
        <v>0</v>
      </c>
      <c r="CX130" s="725">
        <f>+AO130-SUM(AK130:AN130)</f>
        <v>42.523000000000003</v>
      </c>
      <c r="CY130" s="725">
        <f>+AT130-SUM(AP130:AS130)</f>
        <v>0</v>
      </c>
      <c r="CZ130" s="725">
        <f>+AY130-SUM(AU130:AX130)</f>
        <v>0</v>
      </c>
      <c r="DA130" s="725">
        <f>+BD130-SUM(AZ130:BC130)</f>
        <v>0</v>
      </c>
      <c r="DB130" s="725">
        <f>+BI130-SUM(BE130:BH130)</f>
        <v>0</v>
      </c>
      <c r="DC130" s="725">
        <f>+BN130-SUM(BJ130:BM130)</f>
        <v>0</v>
      </c>
      <c r="DD130" s="725">
        <f>+BS130-SUM(BO130:BR130)</f>
        <v>0</v>
      </c>
      <c r="DE130" s="725">
        <f>+BX130-SUM(BT130:BW130)</f>
        <v>0</v>
      </c>
      <c r="DF130" s="725">
        <f>+CC130-SUM(BY130:CB130)</f>
        <v>0</v>
      </c>
      <c r="DG130" s="725">
        <f>+CH130-SUM(CD130:CG130)</f>
        <v>0</v>
      </c>
      <c r="DH130" s="725">
        <f>+CM130-SUM(CI130:CL130)</f>
        <v>0</v>
      </c>
      <c r="DI130" s="725">
        <f>+CR130-SUM(CN130:CQ130)</f>
        <v>0</v>
      </c>
    </row>
    <row r="131" spans="1:113" ht="12" customHeight="1">
      <c r="A131" s="760" t="s">
        <v>930</v>
      </c>
      <c r="B131" s="829"/>
      <c r="C131" s="687"/>
      <c r="D131" s="687"/>
      <c r="E131" s="830"/>
      <c r="F131" s="736"/>
      <c r="G131" s="822"/>
      <c r="H131" s="823"/>
      <c r="I131" s="823"/>
      <c r="J131" s="823"/>
      <c r="K131" s="825"/>
      <c r="L131" s="823"/>
      <c r="M131" s="823"/>
      <c r="N131" s="823"/>
      <c r="O131" s="823"/>
      <c r="P131" s="825"/>
      <c r="Q131" s="823"/>
      <c r="R131" s="823"/>
      <c r="S131" s="823"/>
      <c r="T131" s="823"/>
      <c r="U131" s="825"/>
      <c r="V131" s="823"/>
      <c r="W131" s="823"/>
      <c r="X131" s="823"/>
      <c r="Y131" s="823"/>
      <c r="Z131" s="825"/>
      <c r="AA131" s="823"/>
      <c r="AB131" s="823"/>
      <c r="AC131" s="823"/>
      <c r="AD131" s="823"/>
      <c r="AE131" s="825"/>
      <c r="AF131" s="823"/>
      <c r="AG131" s="823"/>
      <c r="AH131" s="823"/>
      <c r="AI131" s="823"/>
      <c r="AJ131" s="825"/>
      <c r="AK131" s="823"/>
      <c r="AL131" s="823"/>
      <c r="AM131" s="823"/>
      <c r="AN131" s="823"/>
      <c r="AO131" s="825"/>
      <c r="AP131" s="823">
        <f>AP130+AN130+AM130+AL130</f>
        <v>13</v>
      </c>
      <c r="AQ131" s="823">
        <f>AQ130+AP130+AN130+AM130</f>
        <v>28</v>
      </c>
      <c r="AR131" s="823">
        <f>AR130+AQ130+AP130+AN130</f>
        <v>45.018999999999998</v>
      </c>
      <c r="AS131" s="823">
        <f>AS130+AR130+AQ130+AP130</f>
        <v>61.881999999999998</v>
      </c>
      <c r="AT131" s="825"/>
      <c r="AU131" s="823">
        <f>AU130+AS130+AR130+AQ130</f>
        <v>63.512999999999998</v>
      </c>
      <c r="AV131" s="823">
        <f>AV130+AU130+AS130+AR130</f>
        <v>62.869</v>
      </c>
      <c r="AW131" s="823">
        <f>AW130+AV130+AU130+AS130</f>
        <v>60.075000000000003</v>
      </c>
      <c r="AX131" s="823">
        <f>AX130+AW130+AV130+AU130</f>
        <v>64.246000000000009</v>
      </c>
      <c r="AY131" s="825"/>
      <c r="AZ131" s="823">
        <f>AZ130+AX130+AW130+AV130</f>
        <v>65.316000000000003</v>
      </c>
      <c r="BA131" s="823">
        <f>BA130+AZ130+AX130+AW130</f>
        <v>67.167999999999992</v>
      </c>
      <c r="BB131" s="823">
        <f>BB130+BA130+AZ130+AX130</f>
        <v>77.942999999999998</v>
      </c>
      <c r="BC131" s="823">
        <f>BC130+BB130+BA130+AZ130</f>
        <v>79.699999999999989</v>
      </c>
      <c r="BD131" s="825"/>
      <c r="BE131" s="823">
        <f>BE130+BC130+BB130+BA130</f>
        <v>86.561000000000007</v>
      </c>
      <c r="BF131" s="823">
        <f>BF130+BE130+BC130+BB130</f>
        <v>95.94</v>
      </c>
      <c r="BG131" s="823">
        <f>BG130+BF130+BE130+BC130</f>
        <v>95.878999999999991</v>
      </c>
      <c r="BH131" s="823">
        <f>BH130+BG130+BF130+BE130</f>
        <v>97.981999999999999</v>
      </c>
      <c r="BI131" s="825"/>
      <c r="BJ131" s="823">
        <f>BJ130+BH130+BG130+BF130</f>
        <v>101.286</v>
      </c>
      <c r="BK131" s="823">
        <f>BK130+BJ130+BH130+BG130</f>
        <v>100.64400000000001</v>
      </c>
      <c r="BL131" s="823">
        <f>BL130+BK130+BJ130+BH130</f>
        <v>100.642</v>
      </c>
      <c r="BM131" s="823">
        <f>BM130+BL130+BK130+BJ130</f>
        <v>101.42</v>
      </c>
      <c r="BN131" s="825"/>
      <c r="BO131" s="823">
        <f>BO130+BM130+BL130+BK130</f>
        <v>100.351</v>
      </c>
      <c r="BP131" s="823">
        <f>BP130+BO130+BM130+BL130</f>
        <v>101.38499999999999</v>
      </c>
      <c r="BQ131" s="823">
        <f>BQ130+BP130+BO130+BM130</f>
        <v>99.706999999999994</v>
      </c>
      <c r="BR131" s="823">
        <f>BR130+BQ130+BP130+BO130</f>
        <v>97.954999999999998</v>
      </c>
      <c r="BS131" s="825"/>
      <c r="BT131" s="823">
        <f>BT130+BR130+BQ130+BP130</f>
        <v>96.512</v>
      </c>
      <c r="BU131" s="823">
        <f>BU130+BT130+BR130+BQ130</f>
        <v>94.903980384842342</v>
      </c>
      <c r="BV131" s="823">
        <f>BV130+BU130+BT130+BR130</f>
        <v>96.480807695746449</v>
      </c>
      <c r="BW131" s="823">
        <f>BW130+BV130+BU130+BT130</f>
        <v>98.067453377195676</v>
      </c>
      <c r="BX131" s="825"/>
      <c r="BY131" s="823">
        <f>BY130+BW130+BV130+BU130</f>
        <v>100.15950871673262</v>
      </c>
      <c r="BZ131" s="823">
        <f>BZ130+BY130+BW130+BV130</f>
        <v>101.64335714521002</v>
      </c>
      <c r="CA131" s="823">
        <f>CA130+BZ130+BY130+BW130</f>
        <v>102.59614216387907</v>
      </c>
      <c r="CB131" s="823">
        <f>CB130+CA130+BZ130+BY130</f>
        <v>102.98847380905798</v>
      </c>
      <c r="CC131" s="825"/>
      <c r="CD131" s="823">
        <f>CD130+CB130+CA130+BZ130</f>
        <v>103.19582451227815</v>
      </c>
      <c r="CE131" s="823">
        <f>CE130+CD130+CB130+CA130</f>
        <v>103.48921386491284</v>
      </c>
      <c r="CF131" s="823">
        <f>CF130+CE130+CD130+CB130</f>
        <v>103.88727841117475</v>
      </c>
      <c r="CG131" s="823">
        <f>CG130+CF130+CE130+CD130</f>
        <v>104.39418972216274</v>
      </c>
      <c r="CH131" s="825"/>
      <c r="CI131" s="823">
        <f>CI130+CG130+CF130+CE130</f>
        <v>78.740783679405638</v>
      </c>
      <c r="CJ131" s="823">
        <f>CJ130+CI130+CG130+CF130</f>
        <v>52.592565513451184</v>
      </c>
      <c r="CK131" s="823">
        <f>CK130+CJ130+CI130+CG130</f>
        <v>26.405888637616123</v>
      </c>
      <c r="CL131" s="823">
        <f>CL130+CK130+CJ130+CI130</f>
        <v>0</v>
      </c>
      <c r="CM131" s="825"/>
      <c r="CN131" s="823">
        <f>CN130+CL130+CK130+CJ130</f>
        <v>0</v>
      </c>
      <c r="CO131" s="823">
        <f>CO130+CN130+CL130+CK130</f>
        <v>0</v>
      </c>
      <c r="CP131" s="823">
        <f>CP130+CO130+CN130+CL130</f>
        <v>0</v>
      </c>
      <c r="CQ131" s="823">
        <f>CQ130+CP130+CO130+CN130</f>
        <v>0</v>
      </c>
      <c r="CR131" s="825"/>
      <c r="CT131" s="831"/>
      <c r="CU131" s="831"/>
      <c r="CW131" s="725"/>
      <c r="CX131" s="725"/>
      <c r="CY131" s="725"/>
      <c r="CZ131" s="725"/>
      <c r="DA131" s="725"/>
      <c r="DB131" s="725"/>
      <c r="DC131" s="725"/>
      <c r="DD131" s="725"/>
      <c r="DE131" s="725"/>
      <c r="DF131" s="725"/>
      <c r="DG131" s="725"/>
      <c r="DH131" s="725"/>
      <c r="DI131" s="725"/>
    </row>
    <row r="132" spans="1:113" ht="12" customHeight="1">
      <c r="A132" s="726" t="s">
        <v>931</v>
      </c>
      <c r="B132" s="761"/>
      <c r="C132" s="761"/>
      <c r="D132" s="761"/>
      <c r="E132" s="761"/>
      <c r="F132" s="763"/>
      <c r="G132" s="832"/>
      <c r="H132" s="833"/>
      <c r="I132" s="833"/>
      <c r="J132" s="833"/>
      <c r="K132" s="834"/>
      <c r="L132" s="833"/>
      <c r="M132" s="833"/>
      <c r="N132" s="833"/>
      <c r="O132" s="833"/>
      <c r="P132" s="834"/>
      <c r="Q132" s="833"/>
      <c r="R132" s="833"/>
      <c r="S132" s="833"/>
      <c r="T132" s="833"/>
      <c r="U132" s="834"/>
      <c r="V132" s="833"/>
      <c r="W132" s="833"/>
      <c r="X132" s="833"/>
      <c r="Y132" s="833"/>
      <c r="Z132" s="834"/>
      <c r="AA132" s="833"/>
      <c r="AB132" s="833"/>
      <c r="AC132" s="833"/>
      <c r="AD132" s="833"/>
      <c r="AE132" s="834"/>
      <c r="AF132" s="833"/>
      <c r="AG132" s="833"/>
      <c r="AH132" s="833"/>
      <c r="AI132" s="833"/>
      <c r="AJ132" s="834"/>
      <c r="AK132" s="833"/>
      <c r="AL132" s="833"/>
      <c r="AM132" s="833"/>
      <c r="AN132" s="833"/>
      <c r="AO132" s="834" t="e">
        <f>AO130/AO127</f>
        <v>#DIV/0!</v>
      </c>
      <c r="AP132" s="833" t="e">
        <f>AP131/AP127</f>
        <v>#DIV/0!</v>
      </c>
      <c r="AQ132" s="833" t="e">
        <f>AQ131/AQ127</f>
        <v>#DIV/0!</v>
      </c>
      <c r="AR132" s="833" t="e">
        <f>AR131/AR127</f>
        <v>#DIV/0!</v>
      </c>
      <c r="AS132" s="833" t="e">
        <f>AS131/AS127</f>
        <v>#DIV/0!</v>
      </c>
      <c r="AT132" s="834">
        <f>AT130/AT127</f>
        <v>0.68493696525617886</v>
      </c>
      <c r="AU132" s="833">
        <f>AU131/AU127</f>
        <v>0.8968735878897417</v>
      </c>
      <c r="AV132" s="833">
        <f>AV131/AV127</f>
        <v>1.8201795020266363</v>
      </c>
      <c r="AW132" s="833">
        <f>AW131/AW127</f>
        <v>0.38615560640732266</v>
      </c>
      <c r="AX132" s="833">
        <f>AX131/AX127</f>
        <v>0.37607708157722236</v>
      </c>
      <c r="AY132" s="834">
        <f>AY130/AY127</f>
        <v>0.37607708157722236</v>
      </c>
      <c r="AZ132" s="833">
        <f>AZ131/AZ127</f>
        <v>0.32702475366498446</v>
      </c>
      <c r="BA132" s="833">
        <f>BA131/BA127</f>
        <v>0.32234657247614834</v>
      </c>
      <c r="BB132" s="833">
        <f>BB131/BB127</f>
        <v>1.0102001140546424</v>
      </c>
      <c r="BC132" s="833">
        <f>BC131/BC127</f>
        <v>1.0082991751429571</v>
      </c>
      <c r="BD132" s="834">
        <f>BD130/BD127</f>
        <v>1.0082991751429571</v>
      </c>
      <c r="BE132" s="833">
        <f>BE131/BE127</f>
        <v>1.729697865878028</v>
      </c>
      <c r="BF132" s="833">
        <f>BF131/BF127</f>
        <v>2.2858095873439415</v>
      </c>
      <c r="BG132" s="833">
        <f>BG131/BG127</f>
        <v>2.3919519010078862</v>
      </c>
      <c r="BH132" s="833">
        <f>BH131/BH127</f>
        <v>4.4135081763997732</v>
      </c>
      <c r="BI132" s="834">
        <f>BI130/BI127</f>
        <v>4.4135081763997732</v>
      </c>
      <c r="BJ132" s="833">
        <f>BJ131/BJ127</f>
        <v>6.3193635090854254</v>
      </c>
      <c r="BK132" s="833">
        <f>BK131/BK127</f>
        <v>14.25019539435681</v>
      </c>
      <c r="BL132" s="833">
        <f>BL131/BL127</f>
        <v>-7.3741207502931312</v>
      </c>
      <c r="BM132" s="833">
        <f>BM131/BM127</f>
        <v>-21.78040064598104</v>
      </c>
      <c r="BN132" s="834">
        <f>BN130/BN127</f>
        <v>-21.78040064598104</v>
      </c>
      <c r="BO132" s="833">
        <f>BO131/BO127</f>
        <v>-7.2424011478026875</v>
      </c>
      <c r="BP132" s="833">
        <f>BP131/BP127</f>
        <v>-8.0535617261002557</v>
      </c>
      <c r="BQ132" s="833">
        <f>BQ131/BQ127</f>
        <v>-31.473169191919126</v>
      </c>
      <c r="BR132" s="833">
        <f>BR131/BR127</f>
        <v>-18.059550147492697</v>
      </c>
      <c r="BS132" s="834">
        <f>BS130/BS127</f>
        <v>-18.059550147492697</v>
      </c>
      <c r="BT132" s="833">
        <f>BT131/BT127</f>
        <v>16.624636542780969</v>
      </c>
      <c r="BU132" s="833">
        <f>BU131/BU127</f>
        <v>21.829147805028711</v>
      </c>
      <c r="BV132" s="833">
        <f>BV131/BV127</f>
        <v>13.78253148695619</v>
      </c>
      <c r="BW132" s="833">
        <f>BW131/BW127</f>
        <v>13.620479635721535</v>
      </c>
      <c r="BX132" s="834">
        <f>BX130/BX127</f>
        <v>13.620479635721535</v>
      </c>
      <c r="BY132" s="833">
        <f>BY131/BY127</f>
        <v>5.2447285013352172</v>
      </c>
      <c r="BZ132" s="833">
        <f>BZ131/BZ127</f>
        <v>9.7079174194238913</v>
      </c>
      <c r="CA132" s="833">
        <f>CA131/CA127</f>
        <v>6.7073668624354887</v>
      </c>
      <c r="CB132" s="833">
        <f>CB131/CB127</f>
        <v>5.6143111073891774</v>
      </c>
      <c r="CC132" s="834">
        <f>CC130/CC127</f>
        <v>5.6143111073891774</v>
      </c>
      <c r="CD132" s="833">
        <f>CD131/CD127</f>
        <v>2.923876942618044</v>
      </c>
      <c r="CE132" s="833">
        <f>CE131/CE127</f>
        <v>4.6885133464703062</v>
      </c>
      <c r="CF132" s="833">
        <f>CF131/CF127</f>
        <v>4.2514468710679605</v>
      </c>
      <c r="CG132" s="833">
        <f>CG131/CG127</f>
        <v>4.1687311708682744</v>
      </c>
      <c r="CH132" s="834">
        <f>CH130/CH127</f>
        <v>4.1687311708682744</v>
      </c>
      <c r="CI132" s="833">
        <f>CI131/CI127</f>
        <v>2.009029368264093</v>
      </c>
      <c r="CJ132" s="833">
        <f>CJ131/CJ127</f>
        <v>2.2251924092334652</v>
      </c>
      <c r="CK132" s="833">
        <f>CK131/CK127</f>
        <v>1.0009203697929892</v>
      </c>
      <c r="CL132" s="833">
        <f>CL131/CL127</f>
        <v>0</v>
      </c>
      <c r="CM132" s="834">
        <f>CM130/CM127</f>
        <v>0</v>
      </c>
      <c r="CN132" s="833">
        <f>CN131/CN127</f>
        <v>0</v>
      </c>
      <c r="CO132" s="833">
        <f>CO131/CO127</f>
        <v>0</v>
      </c>
      <c r="CP132" s="833">
        <f>CP131/CP127</f>
        <v>0</v>
      </c>
      <c r="CQ132" s="833">
        <f>CQ131/CQ127</f>
        <v>0</v>
      </c>
      <c r="CR132" s="834">
        <f>CR130/CR127</f>
        <v>0</v>
      </c>
      <c r="CT132" s="763"/>
      <c r="CU132" s="763"/>
      <c r="CW132" s="725"/>
      <c r="CX132" s="725"/>
      <c r="CY132" s="725"/>
      <c r="CZ132" s="725"/>
      <c r="DA132" s="725"/>
      <c r="DB132" s="725"/>
      <c r="DC132" s="725"/>
      <c r="DD132" s="725"/>
      <c r="DE132" s="725"/>
      <c r="DF132" s="725"/>
      <c r="DG132" s="725"/>
      <c r="DH132" s="725"/>
      <c r="DI132" s="725"/>
    </row>
    <row r="133" spans="1:113" ht="12" customHeight="1">
      <c r="A133" s="835"/>
      <c r="B133" s="734"/>
      <c r="C133" s="734"/>
      <c r="D133" s="734"/>
      <c r="E133" s="734"/>
      <c r="F133" s="735"/>
      <c r="G133" s="836"/>
      <c r="H133" s="837"/>
      <c r="I133" s="837"/>
      <c r="J133" s="837"/>
      <c r="K133" s="838"/>
      <c r="L133" s="839"/>
      <c r="M133" s="839"/>
      <c r="N133" s="839"/>
      <c r="O133" s="839"/>
      <c r="P133" s="840"/>
      <c r="Q133" s="839"/>
      <c r="R133" s="839"/>
      <c r="S133" s="839"/>
      <c r="T133" s="839"/>
      <c r="U133" s="840"/>
      <c r="V133" s="839"/>
      <c r="W133" s="839"/>
      <c r="X133" s="839"/>
      <c r="Y133" s="839"/>
      <c r="Z133" s="840"/>
      <c r="AA133" s="839"/>
      <c r="AB133" s="839"/>
      <c r="AC133" s="839"/>
      <c r="AD133" s="839"/>
      <c r="AE133" s="840"/>
      <c r="AF133" s="839"/>
      <c r="AG133" s="839"/>
      <c r="AH133" s="839"/>
      <c r="AI133" s="839"/>
      <c r="AJ133" s="840"/>
      <c r="AK133" s="839"/>
      <c r="AL133" s="839"/>
      <c r="AM133" s="839"/>
      <c r="AN133" s="839"/>
      <c r="AO133" s="840"/>
      <c r="AP133" s="839"/>
      <c r="AQ133" s="839"/>
      <c r="AR133" s="839"/>
      <c r="AS133" s="839"/>
      <c r="AT133" s="840"/>
      <c r="AU133" s="839"/>
      <c r="AV133" s="839"/>
      <c r="AW133" s="839"/>
      <c r="AX133" s="839"/>
      <c r="AY133" s="840"/>
      <c r="AZ133" s="839"/>
      <c r="BA133" s="839"/>
      <c r="BB133" s="839"/>
      <c r="BC133" s="839"/>
      <c r="BD133" s="840"/>
      <c r="BE133" s="839"/>
      <c r="BF133" s="839"/>
      <c r="BG133" s="839"/>
      <c r="BH133" s="839"/>
      <c r="BI133" s="840"/>
      <c r="BJ133" s="839"/>
      <c r="BK133" s="839"/>
      <c r="BL133" s="839"/>
      <c r="BM133" s="839"/>
      <c r="BN133" s="840"/>
      <c r="BO133" s="839"/>
      <c r="BP133" s="839"/>
      <c r="BQ133" s="839"/>
      <c r="BR133" s="839"/>
      <c r="BS133" s="840"/>
      <c r="BT133" s="839"/>
      <c r="BU133" s="839"/>
      <c r="BV133" s="839"/>
      <c r="BW133" s="839"/>
      <c r="BX133" s="840"/>
      <c r="BY133" s="839"/>
      <c r="BZ133" s="839"/>
      <c r="CA133" s="839"/>
      <c r="CB133" s="839"/>
      <c r="CC133" s="840"/>
      <c r="CD133" s="839"/>
      <c r="CE133" s="839"/>
      <c r="CF133" s="839"/>
      <c r="CG133" s="839"/>
      <c r="CH133" s="840"/>
      <c r="CI133" s="839"/>
      <c r="CJ133" s="839"/>
      <c r="CK133" s="839"/>
      <c r="CL133" s="839"/>
      <c r="CM133" s="840"/>
      <c r="CN133" s="839"/>
      <c r="CO133" s="839"/>
      <c r="CP133" s="839"/>
      <c r="CQ133" s="839"/>
      <c r="CR133" s="840"/>
      <c r="CT133" s="841"/>
      <c r="CU133" s="841"/>
      <c r="CW133" s="725"/>
      <c r="CX133" s="725"/>
      <c r="CY133" s="725"/>
      <c r="CZ133" s="725"/>
      <c r="DA133" s="725"/>
      <c r="DB133" s="725"/>
      <c r="DC133" s="725"/>
      <c r="DD133" s="725"/>
      <c r="DE133" s="725"/>
      <c r="DF133" s="725"/>
      <c r="DG133" s="725"/>
      <c r="DH133" s="725"/>
      <c r="DI133" s="725"/>
    </row>
    <row r="134" spans="1:113" ht="12" customHeight="1">
      <c r="A134" s="842" t="s">
        <v>932</v>
      </c>
      <c r="B134" s="731"/>
      <c r="C134" s="731"/>
      <c r="D134" s="731"/>
      <c r="E134" s="731"/>
      <c r="F134" s="729"/>
      <c r="G134" s="822"/>
      <c r="H134" s="823"/>
      <c r="I134" s="823"/>
      <c r="J134" s="823"/>
      <c r="K134" s="825"/>
      <c r="L134" s="823"/>
      <c r="M134" s="823"/>
      <c r="N134" s="823"/>
      <c r="O134" s="823"/>
      <c r="P134" s="825"/>
      <c r="Q134" s="823"/>
      <c r="R134" s="823"/>
      <c r="S134" s="823"/>
      <c r="T134" s="823"/>
      <c r="U134" s="825"/>
      <c r="V134" s="823"/>
      <c r="W134" s="823"/>
      <c r="X134" s="823"/>
      <c r="Y134" s="823"/>
      <c r="Z134" s="825"/>
      <c r="AA134" s="823"/>
      <c r="AB134" s="823"/>
      <c r="AC134" s="823"/>
      <c r="AD134" s="823"/>
      <c r="AE134" s="825"/>
      <c r="AF134" s="823"/>
      <c r="AG134" s="823"/>
      <c r="AH134" s="823"/>
      <c r="AI134" s="823"/>
      <c r="AJ134" s="825"/>
      <c r="AK134" s="823"/>
      <c r="AL134" s="823"/>
      <c r="AM134" s="823"/>
      <c r="AN134" s="823"/>
      <c r="AO134" s="825">
        <v>42.083000000000006</v>
      </c>
      <c r="AP134" s="823">
        <v>13</v>
      </c>
      <c r="AQ134" s="823">
        <v>15</v>
      </c>
      <c r="AR134" s="823">
        <v>17.018999999999998</v>
      </c>
      <c r="AS134" s="823">
        <v>16.863</v>
      </c>
      <c r="AT134" s="825">
        <v>61.881999999999998</v>
      </c>
      <c r="AU134" s="823">
        <v>14.462</v>
      </c>
      <c r="AV134" s="823">
        <v>14.233000000000001</v>
      </c>
      <c r="AW134" s="823">
        <v>13.959999999999999</v>
      </c>
      <c r="AX134" s="823">
        <v>15.867999999999999</v>
      </c>
      <c r="AY134" s="825">
        <v>58.52300000000001</v>
      </c>
      <c r="AZ134" s="823">
        <v>13.501000000000001</v>
      </c>
      <c r="BA134" s="823">
        <v>14.007999999999999</v>
      </c>
      <c r="BB134" s="823">
        <v>22.3</v>
      </c>
      <c r="BC134" s="823">
        <v>19.891000000000002</v>
      </c>
      <c r="BD134" s="825">
        <v>69.7</v>
      </c>
      <c r="BE134" s="823">
        <v>19.762</v>
      </c>
      <c r="BF134" s="823">
        <v>21.487000000000002</v>
      </c>
      <c r="BG134" s="823">
        <v>20.939</v>
      </c>
      <c r="BH134" s="823">
        <v>20.293999999999997</v>
      </c>
      <c r="BI134" s="825">
        <v>82.481999999999999</v>
      </c>
      <c r="BJ134" s="823">
        <v>21.065999999999999</v>
      </c>
      <c r="BK134" s="823">
        <v>18.945</v>
      </c>
      <c r="BL134" s="823">
        <v>18.737000000000002</v>
      </c>
      <c r="BM134" s="823">
        <v>19.572000000000003</v>
      </c>
      <c r="BN134" s="825">
        <v>78.319999999999993</v>
      </c>
      <c r="BO134" s="823">
        <v>18.297000000000001</v>
      </c>
      <c r="BP134" s="823">
        <v>18.279</v>
      </c>
      <c r="BQ134" s="823">
        <v>17.158999999999999</v>
      </c>
      <c r="BR134" s="823">
        <v>18.020000000000003</v>
      </c>
      <c r="BS134" s="825">
        <v>71.754999999999995</v>
      </c>
      <c r="BT134" s="823">
        <v>17.553999999999998</v>
      </c>
      <c r="BU134" s="823">
        <v>18.256159999999998</v>
      </c>
      <c r="BV134" s="823">
        <v>18.9864064</v>
      </c>
      <c r="BW134" s="823">
        <v>19.745862656</v>
      </c>
      <c r="BX134" s="825">
        <v>74.542429055999989</v>
      </c>
      <c r="BY134" s="823">
        <v>19.54840402944</v>
      </c>
      <c r="BZ134" s="823">
        <v>19.7438880697344</v>
      </c>
      <c r="CA134" s="823">
        <v>19.941326950431744</v>
      </c>
      <c r="CB134" s="823">
        <v>20.140740219936063</v>
      </c>
      <c r="CC134" s="825">
        <v>79.374359269542197</v>
      </c>
      <c r="CD134" s="823">
        <v>20.442851323235104</v>
      </c>
      <c r="CE134" s="823">
        <v>20.749494093083626</v>
      </c>
      <c r="CF134" s="823">
        <v>21.06073650447988</v>
      </c>
      <c r="CG134" s="823">
        <v>21.376647552047075</v>
      </c>
      <c r="CH134" s="825">
        <v>83.629729472845696</v>
      </c>
      <c r="CI134" s="823">
        <v>0</v>
      </c>
      <c r="CJ134" s="823">
        <v>4.4674115166276618E-3</v>
      </c>
      <c r="CK134" s="823">
        <v>2.4073846863439163E-2</v>
      </c>
      <c r="CL134" s="823">
        <v>0</v>
      </c>
      <c r="CM134" s="825">
        <v>0</v>
      </c>
      <c r="CN134" s="823">
        <v>42.082999999999998</v>
      </c>
      <c r="CO134" s="823">
        <v>0</v>
      </c>
      <c r="CP134" s="823">
        <v>0</v>
      </c>
      <c r="CQ134" s="823">
        <v>0</v>
      </c>
      <c r="CR134" s="825">
        <v>0</v>
      </c>
      <c r="CT134" s="843"/>
      <c r="CU134" s="843"/>
      <c r="CW134" s="725">
        <f>+AJ134-SUM(AF134:AI134)</f>
        <v>0</v>
      </c>
      <c r="CX134" s="725">
        <f>+AO134-SUM(AK134:AN134)</f>
        <v>42.083000000000006</v>
      </c>
      <c r="CY134" s="725">
        <f>+AT134-SUM(AP134:AS134)</f>
        <v>0</v>
      </c>
      <c r="CZ134" s="725">
        <f>+AY134-SUM(AU134:AX134)</f>
        <v>0</v>
      </c>
      <c r="DA134" s="725">
        <f>+BD134-SUM(AZ134:BC134)</f>
        <v>0</v>
      </c>
      <c r="DB134" s="725">
        <f>+BI134-SUM(BE134:BH134)</f>
        <v>0</v>
      </c>
      <c r="DC134" s="725">
        <f>+BN134-SUM(BJ134:BM134)</f>
        <v>0</v>
      </c>
      <c r="DD134" s="725">
        <f>+BS134-SUM(BO134:BR134)</f>
        <v>0</v>
      </c>
      <c r="DE134" s="725">
        <f>+BX134-SUM(BT134:BW134)</f>
        <v>0</v>
      </c>
      <c r="DF134" s="725">
        <f>+CC134-SUM(BY134:CB134)</f>
        <v>0</v>
      </c>
      <c r="DG134" s="725">
        <f>+CH134-SUM(CD134:CG134)</f>
        <v>0</v>
      </c>
      <c r="DH134" s="725">
        <f>+CM134-SUM(CI134:CL134)</f>
        <v>-2.8541258380066825E-2</v>
      </c>
      <c r="DI134" s="725">
        <f>+CR134-SUM(CN134:CQ134)</f>
        <v>-42.082999999999998</v>
      </c>
    </row>
    <row r="135" spans="1:113" ht="12" customHeight="1">
      <c r="A135" s="844" t="s">
        <v>930</v>
      </c>
      <c r="B135" s="845"/>
      <c r="C135" s="845"/>
      <c r="D135" s="845"/>
      <c r="E135" s="845"/>
      <c r="F135" s="763"/>
      <c r="G135" s="822"/>
      <c r="H135" s="823"/>
      <c r="I135" s="823"/>
      <c r="J135" s="823"/>
      <c r="K135" s="825"/>
      <c r="L135" s="823"/>
      <c r="M135" s="823"/>
      <c r="N135" s="823"/>
      <c r="O135" s="823"/>
      <c r="P135" s="825"/>
      <c r="Q135" s="823"/>
      <c r="R135" s="823"/>
      <c r="S135" s="823"/>
      <c r="T135" s="823"/>
      <c r="U135" s="825"/>
      <c r="V135" s="823"/>
      <c r="W135" s="823"/>
      <c r="X135" s="823"/>
      <c r="Y135" s="823"/>
      <c r="Z135" s="825"/>
      <c r="AA135" s="823"/>
      <c r="AB135" s="823"/>
      <c r="AC135" s="823"/>
      <c r="AD135" s="823"/>
      <c r="AE135" s="825"/>
      <c r="AF135" s="823"/>
      <c r="AG135" s="823"/>
      <c r="AH135" s="823"/>
      <c r="AI135" s="823"/>
      <c r="AJ135" s="825"/>
      <c r="AK135" s="823"/>
      <c r="AL135" s="823"/>
      <c r="AM135" s="823"/>
      <c r="AN135" s="823"/>
      <c r="AO135" s="825"/>
      <c r="AP135" s="823">
        <f>AP134+AN134+AM134+AL134</f>
        <v>13</v>
      </c>
      <c r="AQ135" s="823">
        <f>AQ134+AP134+AN134+AM134</f>
        <v>28</v>
      </c>
      <c r="AR135" s="823">
        <f>AR134+AQ134+AP134+AN134</f>
        <v>45.018999999999998</v>
      </c>
      <c r="AS135" s="823">
        <f>AS134+AR134+AQ134+AP134</f>
        <v>61.881999999999998</v>
      </c>
      <c r="AT135" s="825"/>
      <c r="AU135" s="823">
        <f>AU134+AS134+AR134+AQ134</f>
        <v>63.343999999999994</v>
      </c>
      <c r="AV135" s="823">
        <f>AV134+AU134+AS134+AR134</f>
        <v>62.576999999999998</v>
      </c>
      <c r="AW135" s="823">
        <f>AW134+AV134+AU134+AS134</f>
        <v>59.518000000000001</v>
      </c>
      <c r="AX135" s="823">
        <f>AX134+AW134+AV134+AU134</f>
        <v>58.522999999999996</v>
      </c>
      <c r="AY135" s="825"/>
      <c r="AZ135" s="823">
        <f>AZ134+AX134+AW134+AV134</f>
        <v>57.561999999999998</v>
      </c>
      <c r="BA135" s="823">
        <f>BA134+AZ134+AX134+AW134</f>
        <v>57.336999999999996</v>
      </c>
      <c r="BB135" s="823">
        <f>BB134+BA134+AZ134+AX134</f>
        <v>65.676999999999992</v>
      </c>
      <c r="BC135" s="823">
        <f>BC134+BB134+BA134+AZ134</f>
        <v>69.7</v>
      </c>
      <c r="BD135" s="825"/>
      <c r="BE135" s="823">
        <f>BE134+BC134+BB134+BA134</f>
        <v>75.960999999999999</v>
      </c>
      <c r="BF135" s="823">
        <f>BF134+BE134+BC134+BB134</f>
        <v>83.44</v>
      </c>
      <c r="BG135" s="823">
        <f>BG134+BF134+BE134+BC134</f>
        <v>82.079000000000008</v>
      </c>
      <c r="BH135" s="823">
        <f>BH134+BG134+BF134+BE134</f>
        <v>82.481999999999999</v>
      </c>
      <c r="BI135" s="825"/>
      <c r="BJ135" s="823">
        <f>BJ134+BH134+BG134+BF134</f>
        <v>83.786000000000001</v>
      </c>
      <c r="BK135" s="823">
        <f>BK134+BJ134+BH134+BG134</f>
        <v>81.244</v>
      </c>
      <c r="BL135" s="823">
        <f>BL134+BK134+BJ134+BH134</f>
        <v>79.042000000000002</v>
      </c>
      <c r="BM135" s="823">
        <f>BM134+BL134+BK134+BJ134</f>
        <v>78.320000000000007</v>
      </c>
      <c r="BN135" s="825"/>
      <c r="BO135" s="823">
        <f>BO134+BM134+BL134+BK134</f>
        <v>75.551000000000002</v>
      </c>
      <c r="BP135" s="823">
        <f>BP134+BO134+BM134+BL134</f>
        <v>74.885000000000005</v>
      </c>
      <c r="BQ135" s="823">
        <f>BQ134+BP134+BO134+BM134</f>
        <v>73.307000000000002</v>
      </c>
      <c r="BR135" s="823">
        <f>BR134+BQ134+BP134+BO134</f>
        <v>71.754999999999995</v>
      </c>
      <c r="BS135" s="825"/>
      <c r="BT135" s="823">
        <f>BT134+BR134+BQ134+BP134</f>
        <v>71.012</v>
      </c>
      <c r="BU135" s="823">
        <f>BU134+BT134+BR134+BQ134</f>
        <v>70.989159999999998</v>
      </c>
      <c r="BV135" s="823">
        <f>BV134+BU134+BT134+BR134</f>
        <v>72.816566399999999</v>
      </c>
      <c r="BW135" s="823">
        <f>BW134+BV134+BU134+BT134</f>
        <v>74.542429056000003</v>
      </c>
      <c r="BX135" s="825"/>
      <c r="BY135" s="823">
        <f>BY134+BW134+BV134+BU134</f>
        <v>76.536833085439994</v>
      </c>
      <c r="BZ135" s="823">
        <f>BZ134+BY134+BW134+BV134</f>
        <v>78.02456115517441</v>
      </c>
      <c r="CA135" s="823">
        <f>CA134+BZ134+BY134+BW134</f>
        <v>78.979481705606133</v>
      </c>
      <c r="CB135" s="823">
        <f>CB134+CA134+BZ134+BY134</f>
        <v>79.374359269542197</v>
      </c>
      <c r="CC135" s="825"/>
      <c r="CD135" s="823">
        <f>CD134+CB134+CA134+BZ134</f>
        <v>80.268806563337307</v>
      </c>
      <c r="CE135" s="823">
        <f>CE134+CD134+CB134+CA134</f>
        <v>81.274412586686537</v>
      </c>
      <c r="CF135" s="823">
        <f>CF134+CE134+CD134+CB134</f>
        <v>82.39382214073467</v>
      </c>
      <c r="CG135" s="823">
        <f>CG134+CF134+CE134+CD134</f>
        <v>83.629729472845682</v>
      </c>
      <c r="CH135" s="825"/>
      <c r="CI135" s="823">
        <f>CI134+CG134+CF134+CE134</f>
        <v>63.186878149610578</v>
      </c>
      <c r="CJ135" s="823">
        <f>CJ134+CI134+CG134+CF134</f>
        <v>42.441851468043581</v>
      </c>
      <c r="CK135" s="823">
        <f>CK134+CJ134+CI134+CG134</f>
        <v>21.405188810427141</v>
      </c>
      <c r="CL135" s="823">
        <f>CL134+CK134+CJ134+CI134</f>
        <v>2.8541258380066825E-2</v>
      </c>
      <c r="CM135" s="825"/>
      <c r="CN135" s="823">
        <f>CN134+CL134+CK134+CJ134</f>
        <v>42.111541258380065</v>
      </c>
      <c r="CO135" s="823">
        <f>CO134+CN134+CL134+CK134</f>
        <v>42.107073846863436</v>
      </c>
      <c r="CP135" s="823">
        <f>CP134+CO134+CN134+CL134</f>
        <v>42.082999999999998</v>
      </c>
      <c r="CQ135" s="823">
        <f>CQ134+CP134+CO134+CN134</f>
        <v>42.082999999999998</v>
      </c>
      <c r="CR135" s="825"/>
      <c r="CT135" s="828"/>
      <c r="CU135" s="828"/>
      <c r="CW135" s="725"/>
      <c r="CX135" s="725"/>
      <c r="CY135" s="725"/>
      <c r="CZ135" s="725"/>
      <c r="DA135" s="725"/>
      <c r="DB135" s="725"/>
      <c r="DC135" s="725"/>
      <c r="DD135" s="725"/>
      <c r="DE135" s="725"/>
      <c r="DF135" s="725"/>
      <c r="DG135" s="725"/>
      <c r="DH135" s="725"/>
      <c r="DI135" s="725"/>
    </row>
    <row r="136" spans="1:113" ht="12" customHeight="1">
      <c r="A136" s="846" t="s">
        <v>933</v>
      </c>
      <c r="B136" s="845"/>
      <c r="C136" s="845"/>
      <c r="D136" s="845"/>
      <c r="E136" s="845"/>
      <c r="F136" s="818"/>
      <c r="G136" s="832"/>
      <c r="H136" s="833"/>
      <c r="I136" s="833"/>
      <c r="J136" s="833"/>
      <c r="K136" s="834"/>
      <c r="L136" s="833"/>
      <c r="M136" s="833"/>
      <c r="N136" s="833"/>
      <c r="O136" s="833"/>
      <c r="P136" s="834"/>
      <c r="Q136" s="833"/>
      <c r="R136" s="833"/>
      <c r="S136" s="833"/>
      <c r="T136" s="833"/>
      <c r="U136" s="834"/>
      <c r="V136" s="833"/>
      <c r="W136" s="833"/>
      <c r="X136" s="833"/>
      <c r="Y136" s="833"/>
      <c r="Z136" s="834"/>
      <c r="AA136" s="833"/>
      <c r="AB136" s="833"/>
      <c r="AC136" s="833"/>
      <c r="AD136" s="833"/>
      <c r="AE136" s="834"/>
      <c r="AF136" s="833"/>
      <c r="AG136" s="833"/>
      <c r="AH136" s="833"/>
      <c r="AI136" s="833"/>
      <c r="AJ136" s="834"/>
      <c r="AK136" s="833"/>
      <c r="AL136" s="833"/>
      <c r="AM136" s="833"/>
      <c r="AN136" s="833"/>
      <c r="AO136" s="834" t="e">
        <f>AO134/AO127</f>
        <v>#DIV/0!</v>
      </c>
      <c r="AP136" s="833" t="e">
        <f>AP135/AP127</f>
        <v>#DIV/0!</v>
      </c>
      <c r="AQ136" s="833" t="e">
        <f>AQ135/AQ127</f>
        <v>#DIV/0!</v>
      </c>
      <c r="AR136" s="833" t="e">
        <f>AR135/AR127</f>
        <v>#DIV/0!</v>
      </c>
      <c r="AS136" s="833" t="e">
        <f>AS135/AS127</f>
        <v>#DIV/0!</v>
      </c>
      <c r="AT136" s="834">
        <f>AT134/AT127</f>
        <v>0.68493696525617886</v>
      </c>
      <c r="AU136" s="833">
        <f>AU135/AU127</f>
        <v>0.89448712155445009</v>
      </c>
      <c r="AV136" s="833">
        <f>AV135/AV127</f>
        <v>1.8117255356108863</v>
      </c>
      <c r="AW136" s="833">
        <f>AW135/AW127</f>
        <v>0.38257527061424934</v>
      </c>
      <c r="AX136" s="833">
        <f>AX135/AX127</f>
        <v>0.3425763323030816</v>
      </c>
      <c r="AY136" s="834">
        <f>AY134/AY127</f>
        <v>0.34257633230308171</v>
      </c>
      <c r="AZ136" s="833">
        <f>AZ135/AZ127</f>
        <v>0.28820195465833537</v>
      </c>
      <c r="BA136" s="833">
        <f>BA135/BA127</f>
        <v>0.27516652909220046</v>
      </c>
      <c r="BB136" s="833">
        <f>BB135/BB127</f>
        <v>0.85122349525636354</v>
      </c>
      <c r="BC136" s="833">
        <f>BC135/BC127</f>
        <v>0.88178735893932392</v>
      </c>
      <c r="BD136" s="834">
        <f>BD134/BD127</f>
        <v>0.88178735893932392</v>
      </c>
      <c r="BE136" s="833">
        <f>BE135/BE127</f>
        <v>1.5178842618495729</v>
      </c>
      <c r="BF136" s="833">
        <f>BF135/BF127</f>
        <v>1.9879919946631068</v>
      </c>
      <c r="BG136" s="833">
        <f>BG135/BG127</f>
        <v>2.0476748827462359</v>
      </c>
      <c r="BH136" s="833">
        <f>BH135/BH127</f>
        <v>3.7153250740524388</v>
      </c>
      <c r="BI136" s="834">
        <f>BI134/BI127</f>
        <v>3.7153250740524388</v>
      </c>
      <c r="BJ136" s="833">
        <f>BJ135/BJ127</f>
        <v>5.2275160532771707</v>
      </c>
      <c r="BK136" s="833">
        <f>BK135/BK127</f>
        <v>11.503347190285806</v>
      </c>
      <c r="BL136" s="833">
        <f>BL135/BL127</f>
        <v>-5.7914712778429456</v>
      </c>
      <c r="BM136" s="833">
        <f>BM135/BM127</f>
        <v>-16.819571865443059</v>
      </c>
      <c r="BN136" s="834">
        <f>BN134/BN127</f>
        <v>-16.819571865443056</v>
      </c>
      <c r="BO136" s="833">
        <f>BO135/BO127</f>
        <v>-5.4525679775751197</v>
      </c>
      <c r="BP136" s="833">
        <f>BP135/BP127</f>
        <v>-5.9485226597526042</v>
      </c>
      <c r="BQ136" s="833">
        <f>BQ135/BQ127</f>
        <v>-23.139835858585812</v>
      </c>
      <c r="BR136" s="833">
        <f>BR135/BR127</f>
        <v>-13.229166666666719</v>
      </c>
      <c r="BS136" s="834">
        <f>BS134/BS127</f>
        <v>-13.229166666666719</v>
      </c>
      <c r="BT136" s="833">
        <f>BT135/BT127</f>
        <v>12.232144087532765</v>
      </c>
      <c r="BU136" s="833">
        <f>BU135/BU127</f>
        <v>16.328428585513077</v>
      </c>
      <c r="BV136" s="833">
        <f>BV135/BV127</f>
        <v>10.402033763490993</v>
      </c>
      <c r="BW136" s="833">
        <f>BW135/BW127</f>
        <v>10.353115146666601</v>
      </c>
      <c r="BX136" s="834">
        <f>BX134/BX127</f>
        <v>10.3531151466666</v>
      </c>
      <c r="BY136" s="833">
        <f>BY135/BY127</f>
        <v>4.0077563780829841</v>
      </c>
      <c r="BZ136" s="833">
        <f>BZ135/BZ127</f>
        <v>7.4520954212394175</v>
      </c>
      <c r="CA136" s="833">
        <f>CA135/CA127</f>
        <v>5.1633945217778292</v>
      </c>
      <c r="CB136" s="833">
        <f>CB135/CB127</f>
        <v>4.3270118529486927</v>
      </c>
      <c r="CC136" s="834">
        <f>CC134/CC127</f>
        <v>4.3270118529486927</v>
      </c>
      <c r="CD136" s="833">
        <f>CD135/CD127</f>
        <v>2.2742791564603073</v>
      </c>
      <c r="CE136" s="833">
        <f>CE135/CE127</f>
        <v>3.6820858320231959</v>
      </c>
      <c r="CF136" s="833">
        <f>CF135/CF127</f>
        <v>3.3718561376604206</v>
      </c>
      <c r="CG136" s="833">
        <f>CG135/CG127</f>
        <v>3.3395523351690848</v>
      </c>
      <c r="CH136" s="834">
        <f>CH134/CH127</f>
        <v>3.3395523351690857</v>
      </c>
      <c r="CI136" s="833">
        <f>CI135/CI127</f>
        <v>1.6121797111944947</v>
      </c>
      <c r="CJ136" s="833">
        <f>CJ135/CJ127</f>
        <v>1.7957155122305315</v>
      </c>
      <c r="CK136" s="833">
        <f>CK135/CK127</f>
        <v>0.81136786546546957</v>
      </c>
      <c r="CL136" s="833">
        <f>CL135/CL127</f>
        <v>1.0554862033349329E-3</v>
      </c>
      <c r="CM136" s="834">
        <f>CM134/CM127</f>
        <v>0</v>
      </c>
      <c r="CN136" s="833">
        <f>CN135/CN127</f>
        <v>1.0005976915896508</v>
      </c>
      <c r="CO136" s="833">
        <f>CO135/CO127</f>
        <v>1.7599356225568641</v>
      </c>
      <c r="CP136" s="833">
        <f>CP135/CP127</f>
        <v>1.4730939820345128</v>
      </c>
      <c r="CQ136" s="833">
        <f>CQ135/CQ127</f>
        <v>1.4369370570000017</v>
      </c>
      <c r="CR136" s="834">
        <f>CR134/CR127</f>
        <v>0</v>
      </c>
      <c r="CT136" s="828"/>
      <c r="CU136" s="828"/>
      <c r="CW136" s="725"/>
      <c r="CX136" s="725"/>
      <c r="CY136" s="725"/>
      <c r="CZ136" s="725"/>
      <c r="DA136" s="725"/>
      <c r="DB136" s="725"/>
      <c r="DC136" s="725"/>
      <c r="DD136" s="725"/>
      <c r="DE136" s="725"/>
      <c r="DF136" s="725"/>
      <c r="DG136" s="725"/>
      <c r="DH136" s="725"/>
      <c r="DI136" s="725"/>
    </row>
    <row r="137" spans="1:113" ht="12" customHeight="1">
      <c r="A137" s="847"/>
      <c r="B137" s="848"/>
      <c r="C137" s="848"/>
      <c r="D137" s="848"/>
      <c r="E137" s="848"/>
      <c r="F137" s="849"/>
      <c r="G137" s="848"/>
      <c r="H137" s="848"/>
      <c r="I137" s="848"/>
      <c r="J137" s="848"/>
      <c r="K137" s="849"/>
      <c r="L137" s="850"/>
      <c r="M137" s="850"/>
      <c r="N137" s="850"/>
      <c r="O137" s="850"/>
      <c r="P137" s="851"/>
      <c r="Q137" s="848"/>
      <c r="R137" s="848"/>
      <c r="S137" s="848"/>
      <c r="T137" s="848"/>
      <c r="U137" s="849"/>
      <c r="V137" s="848"/>
      <c r="W137" s="848"/>
      <c r="X137" s="848"/>
      <c r="Y137" s="848"/>
      <c r="Z137" s="849"/>
      <c r="AA137" s="850"/>
      <c r="AB137" s="850"/>
      <c r="AC137" s="850"/>
      <c r="AD137" s="850"/>
      <c r="AE137" s="851"/>
      <c r="AF137" s="850"/>
      <c r="AG137" s="850"/>
      <c r="AH137" s="850"/>
      <c r="AI137" s="850"/>
      <c r="AJ137" s="849"/>
      <c r="AK137" s="850"/>
      <c r="AL137" s="850"/>
      <c r="AM137" s="850"/>
      <c r="AN137" s="850"/>
      <c r="AO137" s="849"/>
      <c r="AP137" s="850"/>
      <c r="AQ137" s="850"/>
      <c r="AR137" s="850"/>
      <c r="AS137" s="850"/>
      <c r="AT137" s="849"/>
      <c r="AU137" s="850"/>
      <c r="AV137" s="850"/>
      <c r="AW137" s="850"/>
      <c r="AX137" s="850"/>
      <c r="AY137" s="849"/>
      <c r="AZ137" s="850"/>
      <c r="BA137" s="850"/>
      <c r="BB137" s="850"/>
      <c r="BC137" s="850"/>
      <c r="BD137" s="849"/>
      <c r="BE137" s="850"/>
      <c r="BF137" s="850"/>
      <c r="BG137" s="850"/>
      <c r="BH137" s="850"/>
      <c r="BI137" s="849"/>
      <c r="BJ137" s="850"/>
      <c r="BK137" s="850"/>
      <c r="BL137" s="850"/>
      <c r="BM137" s="850"/>
      <c r="BN137" s="849"/>
      <c r="BO137" s="850"/>
      <c r="BP137" s="850"/>
      <c r="BQ137" s="850"/>
      <c r="BR137" s="850"/>
      <c r="BS137" s="849"/>
      <c r="BT137" s="850"/>
      <c r="BU137" s="850"/>
      <c r="BV137" s="850"/>
      <c r="BW137" s="850"/>
      <c r="BX137" s="849"/>
      <c r="BY137" s="850"/>
      <c r="BZ137" s="850"/>
      <c r="CA137" s="850"/>
      <c r="CB137" s="850"/>
      <c r="CC137" s="849"/>
      <c r="CD137" s="850"/>
      <c r="CE137" s="850"/>
      <c r="CF137" s="850"/>
      <c r="CG137" s="850"/>
      <c r="CH137" s="849"/>
      <c r="CI137" s="850"/>
      <c r="CJ137" s="850"/>
      <c r="CK137" s="850"/>
      <c r="CL137" s="850"/>
      <c r="CM137" s="849"/>
      <c r="CN137" s="850"/>
      <c r="CO137" s="850"/>
      <c r="CP137" s="850"/>
      <c r="CQ137" s="850"/>
      <c r="CR137" s="849"/>
      <c r="CT137" s="852"/>
      <c r="CU137" s="852"/>
      <c r="CW137" s="725"/>
      <c r="CX137" s="725"/>
      <c r="CY137" s="725"/>
      <c r="CZ137" s="725"/>
      <c r="DA137" s="725"/>
      <c r="DB137" s="725"/>
      <c r="DC137" s="725"/>
      <c r="DD137" s="725"/>
      <c r="DE137" s="725"/>
      <c r="DF137" s="725"/>
      <c r="DG137" s="725"/>
      <c r="DH137" s="725"/>
      <c r="DI137" s="725"/>
    </row>
    <row r="138" spans="1:113" ht="12" customHeight="1">
      <c r="A138" s="774" t="s">
        <v>934</v>
      </c>
      <c r="B138" s="775"/>
      <c r="C138" s="776"/>
      <c r="D138" s="776"/>
      <c r="E138" s="776"/>
      <c r="F138" s="777"/>
      <c r="G138" s="775"/>
      <c r="H138" s="776"/>
      <c r="I138" s="776"/>
      <c r="J138" s="776"/>
      <c r="K138" s="777"/>
      <c r="L138" s="776"/>
      <c r="M138" s="776"/>
      <c r="N138" s="776"/>
      <c r="O138" s="776"/>
      <c r="P138" s="777"/>
      <c r="Q138" s="778"/>
      <c r="R138" s="776"/>
      <c r="S138" s="776"/>
      <c r="T138" s="776"/>
      <c r="U138" s="777"/>
      <c r="V138" s="778"/>
      <c r="W138" s="776"/>
      <c r="X138" s="776"/>
      <c r="Y138" s="776"/>
      <c r="Z138" s="777"/>
      <c r="AA138" s="776"/>
      <c r="AB138" s="776"/>
      <c r="AC138" s="776"/>
      <c r="AD138" s="776"/>
      <c r="AE138" s="777"/>
      <c r="AF138" s="776"/>
      <c r="AG138" s="776"/>
      <c r="AH138" s="776"/>
      <c r="AI138" s="776"/>
      <c r="AJ138" s="777"/>
      <c r="AK138" s="776"/>
      <c r="AL138" s="776"/>
      <c r="AM138" s="776"/>
      <c r="AN138" s="776"/>
      <c r="AO138" s="779"/>
      <c r="AP138" s="776"/>
      <c r="AQ138" s="776"/>
      <c r="AR138" s="776"/>
      <c r="AS138" s="776"/>
      <c r="AT138" s="779"/>
      <c r="AU138" s="776"/>
      <c r="AV138" s="776"/>
      <c r="AW138" s="776"/>
      <c r="AX138" s="776"/>
      <c r="AY138" s="779"/>
      <c r="AZ138" s="776"/>
      <c r="BA138" s="776"/>
      <c r="BB138" s="776"/>
      <c r="BC138" s="776"/>
      <c r="BD138" s="779"/>
      <c r="BE138" s="776"/>
      <c r="BF138" s="776"/>
      <c r="BG138" s="776"/>
      <c r="BH138" s="776"/>
      <c r="BI138" s="779"/>
      <c r="BJ138" s="776"/>
      <c r="BK138" s="776"/>
      <c r="BL138" s="776"/>
      <c r="BM138" s="776"/>
      <c r="BN138" s="779"/>
      <c r="BO138" s="776"/>
      <c r="BP138" s="776"/>
      <c r="BQ138" s="776"/>
      <c r="BR138" s="776"/>
      <c r="BS138" s="779"/>
      <c r="BT138" s="776"/>
      <c r="BU138" s="776"/>
      <c r="BV138" s="776"/>
      <c r="BW138" s="776"/>
      <c r="BX138" s="779"/>
      <c r="BY138" s="776"/>
      <c r="BZ138" s="776"/>
      <c r="CA138" s="776"/>
      <c r="CB138" s="776"/>
      <c r="CC138" s="779"/>
      <c r="CD138" s="776"/>
      <c r="CE138" s="776"/>
      <c r="CF138" s="776"/>
      <c r="CG138" s="776"/>
      <c r="CH138" s="779"/>
      <c r="CI138" s="776"/>
      <c r="CJ138" s="776"/>
      <c r="CK138" s="776"/>
      <c r="CL138" s="776"/>
      <c r="CM138" s="779"/>
      <c r="CN138" s="776"/>
      <c r="CO138" s="776"/>
      <c r="CP138" s="776"/>
      <c r="CQ138" s="776"/>
      <c r="CR138" s="779"/>
      <c r="CT138" s="779"/>
      <c r="CU138" s="779"/>
      <c r="CW138" s="725"/>
      <c r="CX138" s="725"/>
      <c r="CY138" s="725"/>
      <c r="CZ138" s="725"/>
      <c r="DA138" s="725"/>
      <c r="DB138" s="725"/>
      <c r="DC138" s="725"/>
      <c r="DD138" s="725"/>
      <c r="DE138" s="725"/>
      <c r="DF138" s="725"/>
      <c r="DG138" s="725"/>
      <c r="DH138" s="725"/>
      <c r="DI138" s="725"/>
    </row>
    <row r="139" spans="1:113" ht="12" customHeight="1">
      <c r="A139" s="847"/>
      <c r="B139" s="848"/>
      <c r="C139" s="848"/>
      <c r="D139" s="848"/>
      <c r="E139" s="848"/>
      <c r="F139" s="849"/>
      <c r="G139" s="848"/>
      <c r="H139" s="848"/>
      <c r="I139" s="848"/>
      <c r="J139" s="848"/>
      <c r="K139" s="849"/>
      <c r="L139" s="850"/>
      <c r="M139" s="850"/>
      <c r="N139" s="850"/>
      <c r="O139" s="850"/>
      <c r="P139" s="851"/>
      <c r="Q139" s="848"/>
      <c r="R139" s="848"/>
      <c r="S139" s="848"/>
      <c r="T139" s="848"/>
      <c r="U139" s="853"/>
      <c r="V139" s="848"/>
      <c r="W139" s="848"/>
      <c r="X139" s="848"/>
      <c r="Y139" s="848"/>
      <c r="Z139" s="853"/>
      <c r="AA139" s="850"/>
      <c r="AB139" s="848"/>
      <c r="AC139" s="848"/>
      <c r="AD139" s="848"/>
      <c r="AE139" s="853"/>
      <c r="AF139" s="850"/>
      <c r="AG139" s="850"/>
      <c r="AH139" s="850"/>
      <c r="AI139" s="850"/>
      <c r="AJ139" s="854"/>
      <c r="AK139" s="850"/>
      <c r="AL139" s="850"/>
      <c r="AM139" s="850"/>
      <c r="AN139" s="850"/>
      <c r="AO139" s="849"/>
      <c r="AP139" s="850"/>
      <c r="AQ139" s="850"/>
      <c r="AR139" s="850"/>
      <c r="AS139" s="850"/>
      <c r="AT139" s="849"/>
      <c r="AU139" s="850"/>
      <c r="AV139" s="850"/>
      <c r="AW139" s="850"/>
      <c r="AX139" s="850"/>
      <c r="AY139" s="849"/>
      <c r="AZ139" s="850"/>
      <c r="BA139" s="850"/>
      <c r="BB139" s="850"/>
      <c r="BC139" s="850"/>
      <c r="BD139" s="849"/>
      <c r="BE139" s="850"/>
      <c r="BF139" s="850"/>
      <c r="BG139" s="850"/>
      <c r="BH139" s="850"/>
      <c r="BI139" s="849"/>
      <c r="BJ139" s="850"/>
      <c r="BK139" s="850"/>
      <c r="BL139" s="850"/>
      <c r="BM139" s="850"/>
      <c r="BN139" s="849"/>
      <c r="BO139" s="850"/>
      <c r="BP139" s="850"/>
      <c r="BQ139" s="850"/>
      <c r="BR139" s="850"/>
      <c r="BS139" s="849"/>
      <c r="BT139" s="850"/>
      <c r="BU139" s="850"/>
      <c r="BV139" s="850"/>
      <c r="BW139" s="850"/>
      <c r="BX139" s="849"/>
      <c r="BY139" s="850"/>
      <c r="BZ139" s="850"/>
      <c r="CA139" s="850"/>
      <c r="CB139" s="850"/>
      <c r="CC139" s="849"/>
      <c r="CD139" s="850"/>
      <c r="CE139" s="850"/>
      <c r="CF139" s="850"/>
      <c r="CG139" s="850"/>
      <c r="CH139" s="849"/>
      <c r="CI139" s="850"/>
      <c r="CJ139" s="850"/>
      <c r="CK139" s="850"/>
      <c r="CL139" s="850"/>
      <c r="CM139" s="849"/>
      <c r="CN139" s="850"/>
      <c r="CO139" s="850"/>
      <c r="CP139" s="850"/>
      <c r="CQ139" s="850"/>
      <c r="CR139" s="849"/>
      <c r="CT139" s="852"/>
      <c r="CU139" s="852"/>
      <c r="CW139" s="725"/>
      <c r="CX139" s="725"/>
      <c r="CY139" s="725"/>
      <c r="CZ139" s="725"/>
      <c r="DA139" s="725"/>
      <c r="DB139" s="725"/>
      <c r="DC139" s="725"/>
      <c r="DD139" s="725"/>
      <c r="DE139" s="725"/>
      <c r="DF139" s="725"/>
      <c r="DG139" s="725"/>
      <c r="DH139" s="725"/>
      <c r="DI139" s="725"/>
    </row>
    <row r="140" spans="1:113" ht="12" customHeight="1">
      <c r="A140" s="855" t="s">
        <v>935</v>
      </c>
      <c r="B140" s="848"/>
      <c r="C140" s="848"/>
      <c r="D140" s="848"/>
      <c r="E140" s="848"/>
      <c r="F140" s="849"/>
      <c r="G140" s="848"/>
      <c r="H140" s="848"/>
      <c r="I140" s="848"/>
      <c r="J140" s="848"/>
      <c r="K140" s="849"/>
      <c r="L140" s="850"/>
      <c r="M140" s="850"/>
      <c r="N140" s="850"/>
      <c r="O140" s="850"/>
      <c r="P140" s="851"/>
      <c r="Q140" s="848"/>
      <c r="R140" s="848"/>
      <c r="S140" s="848"/>
      <c r="T140" s="848"/>
      <c r="U140" s="853"/>
      <c r="V140" s="848"/>
      <c r="W140" s="848"/>
      <c r="X140" s="848"/>
      <c r="Y140" s="848"/>
      <c r="Z140" s="853"/>
      <c r="AA140" s="850"/>
      <c r="AB140" s="848"/>
      <c r="AC140" s="848"/>
      <c r="AD140" s="848"/>
      <c r="AE140" s="853"/>
      <c r="AF140" s="850"/>
      <c r="AG140" s="850"/>
      <c r="AH140" s="850"/>
      <c r="AI140" s="850"/>
      <c r="AJ140" s="854"/>
      <c r="AK140" s="850"/>
      <c r="AL140" s="850"/>
      <c r="AM140" s="850"/>
      <c r="AN140" s="850"/>
      <c r="AO140" s="849"/>
      <c r="AP140" s="850"/>
      <c r="AQ140" s="850"/>
      <c r="AR140" s="850"/>
      <c r="AS140" s="850"/>
      <c r="AT140" s="849"/>
      <c r="AU140" s="850"/>
      <c r="AV140" s="850"/>
      <c r="AW140" s="856"/>
      <c r="AX140" s="856" t="s">
        <v>936</v>
      </c>
      <c r="AY140" s="849" t="str">
        <f>+AX140</f>
        <v>&gt;1,200</v>
      </c>
      <c r="AZ140" s="850"/>
      <c r="BA140" s="850"/>
      <c r="BB140" s="850"/>
      <c r="BC140" s="856" t="s">
        <v>937</v>
      </c>
      <c r="BD140" s="849" t="str">
        <f>+BC140</f>
        <v>~6,000</v>
      </c>
      <c r="BE140" s="850"/>
      <c r="BF140" s="850"/>
      <c r="BG140" s="850"/>
      <c r="BH140" s="856"/>
      <c r="BI140" s="849"/>
      <c r="BJ140" s="850"/>
      <c r="BK140" s="850"/>
      <c r="BL140" s="850"/>
      <c r="BM140" s="856" t="s">
        <v>938</v>
      </c>
      <c r="BN140" s="849" t="str">
        <f>BM140</f>
        <v>~5800</v>
      </c>
      <c r="BO140" s="850"/>
      <c r="BP140" s="850"/>
      <c r="BQ140" s="850"/>
      <c r="BR140" s="850"/>
      <c r="BS140" s="849"/>
      <c r="BT140" s="850"/>
      <c r="BU140" s="850"/>
      <c r="BV140" s="850"/>
      <c r="BW140" s="850"/>
      <c r="BX140" s="849"/>
      <c r="BY140" s="850"/>
      <c r="BZ140" s="850"/>
      <c r="CA140" s="850"/>
      <c r="CB140" s="850"/>
      <c r="CC140" s="849"/>
      <c r="CD140" s="850"/>
      <c r="CE140" s="850"/>
      <c r="CF140" s="850"/>
      <c r="CG140" s="850"/>
      <c r="CH140" s="849"/>
      <c r="CI140" s="850"/>
      <c r="CJ140" s="850"/>
      <c r="CK140" s="850"/>
      <c r="CL140" s="850"/>
      <c r="CM140" s="849"/>
      <c r="CN140" s="850"/>
      <c r="CO140" s="850"/>
      <c r="CP140" s="850"/>
      <c r="CQ140" s="850"/>
      <c r="CR140" s="849"/>
      <c r="CT140" s="852"/>
      <c r="CU140" s="852"/>
      <c r="CW140" s="725"/>
      <c r="CX140" s="725"/>
      <c r="CY140" s="725"/>
      <c r="CZ140" s="725"/>
      <c r="DA140" s="725"/>
      <c r="DB140" s="725"/>
      <c r="DC140" s="725"/>
      <c r="DD140" s="725"/>
      <c r="DE140" s="725"/>
      <c r="DF140" s="725"/>
      <c r="DG140" s="725"/>
      <c r="DH140" s="725"/>
      <c r="DI140" s="725"/>
    </row>
    <row r="141" spans="1:113" ht="12" customHeight="1">
      <c r="A141" s="847"/>
      <c r="B141" s="848"/>
      <c r="C141" s="848"/>
      <c r="D141" s="848"/>
      <c r="E141" s="848"/>
      <c r="F141" s="849"/>
      <c r="G141" s="848"/>
      <c r="H141" s="848"/>
      <c r="I141" s="848"/>
      <c r="J141" s="848"/>
      <c r="K141" s="849"/>
      <c r="L141" s="850"/>
      <c r="M141" s="850"/>
      <c r="N141" s="850"/>
      <c r="O141" s="850"/>
      <c r="P141" s="851"/>
      <c r="Q141" s="848"/>
      <c r="R141" s="848"/>
      <c r="S141" s="848"/>
      <c r="T141" s="848"/>
      <c r="U141" s="853"/>
      <c r="V141" s="848"/>
      <c r="W141" s="848"/>
      <c r="X141" s="848"/>
      <c r="Y141" s="848"/>
      <c r="Z141" s="853"/>
      <c r="AA141" s="850"/>
      <c r="AB141" s="848"/>
      <c r="AC141" s="848"/>
      <c r="AD141" s="848"/>
      <c r="AE141" s="853"/>
      <c r="AF141" s="850"/>
      <c r="AG141" s="850"/>
      <c r="AH141" s="850"/>
      <c r="AI141" s="850"/>
      <c r="AJ141" s="854"/>
      <c r="AK141" s="850"/>
      <c r="AL141" s="850"/>
      <c r="AM141" s="850"/>
      <c r="AN141" s="850"/>
      <c r="AO141" s="849"/>
      <c r="AP141" s="850"/>
      <c r="AQ141" s="850"/>
      <c r="AR141" s="850"/>
      <c r="AS141" s="850"/>
      <c r="AT141" s="849"/>
      <c r="AU141" s="850"/>
      <c r="AV141" s="850"/>
      <c r="AW141" s="850"/>
      <c r="AX141" s="850"/>
      <c r="AY141" s="849"/>
      <c r="AZ141" s="850"/>
      <c r="BA141" s="850"/>
      <c r="BB141" s="850"/>
      <c r="BC141" s="850"/>
      <c r="BD141" s="849"/>
      <c r="BE141" s="850"/>
      <c r="BF141" s="850"/>
      <c r="BG141" s="850"/>
      <c r="BH141" s="850"/>
      <c r="BI141" s="849"/>
      <c r="BJ141" s="850"/>
      <c r="BK141" s="850"/>
      <c r="BL141" s="850"/>
      <c r="BM141" s="850"/>
      <c r="BN141" s="849"/>
      <c r="BO141" s="850"/>
      <c r="BP141" s="850"/>
      <c r="BQ141" s="850"/>
      <c r="BR141" s="850"/>
      <c r="BS141" s="849"/>
      <c r="BT141" s="850"/>
      <c r="BU141" s="850"/>
      <c r="BV141" s="850"/>
      <c r="BW141" s="850"/>
      <c r="BX141" s="849"/>
      <c r="BY141" s="850"/>
      <c r="BZ141" s="850"/>
      <c r="CA141" s="850"/>
      <c r="CB141" s="850"/>
      <c r="CC141" s="849"/>
      <c r="CD141" s="850"/>
      <c r="CE141" s="850"/>
      <c r="CF141" s="850"/>
      <c r="CG141" s="850"/>
      <c r="CH141" s="849"/>
      <c r="CI141" s="850"/>
      <c r="CJ141" s="850"/>
      <c r="CK141" s="850"/>
      <c r="CL141" s="850"/>
      <c r="CM141" s="849"/>
      <c r="CN141" s="850"/>
      <c r="CO141" s="850"/>
      <c r="CP141" s="850"/>
      <c r="CQ141" s="850"/>
      <c r="CR141" s="849"/>
      <c r="CT141" s="852"/>
      <c r="CU141" s="852"/>
      <c r="CW141" s="725"/>
      <c r="CX141" s="725"/>
      <c r="CY141" s="725"/>
      <c r="CZ141" s="725"/>
      <c r="DA141" s="725"/>
      <c r="DB141" s="725"/>
      <c r="DC141" s="725"/>
      <c r="DD141" s="725"/>
      <c r="DE141" s="725"/>
      <c r="DF141" s="725"/>
      <c r="DG141" s="725"/>
      <c r="DH141" s="725"/>
      <c r="DI141" s="725"/>
    </row>
    <row r="142" spans="1:113" ht="12" customHeight="1">
      <c r="A142" s="847"/>
      <c r="B142" s="848"/>
      <c r="C142" s="848"/>
      <c r="D142" s="848"/>
      <c r="E142" s="848"/>
      <c r="F142" s="849"/>
      <c r="G142" s="848"/>
      <c r="H142" s="848"/>
      <c r="I142" s="848"/>
      <c r="J142" s="848"/>
      <c r="K142" s="849"/>
      <c r="L142" s="850"/>
      <c r="M142" s="850"/>
      <c r="N142" s="850"/>
      <c r="O142" s="850"/>
      <c r="P142" s="851"/>
      <c r="Q142" s="848"/>
      <c r="R142" s="848"/>
      <c r="S142" s="848"/>
      <c r="T142" s="848"/>
      <c r="U142" s="853"/>
      <c r="V142" s="848"/>
      <c r="W142" s="848"/>
      <c r="X142" s="848"/>
      <c r="Y142" s="848"/>
      <c r="Z142" s="853"/>
      <c r="AA142" s="850"/>
      <c r="AB142" s="848"/>
      <c r="AC142" s="848"/>
      <c r="AD142" s="848"/>
      <c r="AE142" s="853"/>
      <c r="AF142" s="850"/>
      <c r="AG142" s="850"/>
      <c r="AH142" s="850"/>
      <c r="AI142" s="850"/>
      <c r="AJ142" s="854"/>
      <c r="AK142" s="850"/>
      <c r="AL142" s="850"/>
      <c r="AM142" s="850"/>
      <c r="AN142" s="850"/>
      <c r="AO142" s="849"/>
      <c r="AP142" s="850"/>
      <c r="AQ142" s="850"/>
      <c r="AR142" s="850"/>
      <c r="AS142" s="850"/>
      <c r="AT142" s="849"/>
      <c r="AU142" s="850"/>
      <c r="AV142" s="850"/>
      <c r="AW142" s="850"/>
      <c r="AX142" s="850"/>
      <c r="AY142" s="849"/>
      <c r="AZ142" s="850"/>
      <c r="BA142" s="850"/>
      <c r="BB142" s="850"/>
      <c r="BC142" s="850"/>
      <c r="BD142" s="849"/>
      <c r="BE142" s="850"/>
      <c r="BF142" s="850"/>
      <c r="BG142" s="850"/>
      <c r="BH142" s="850"/>
      <c r="BI142" s="849"/>
      <c r="BJ142" s="850"/>
      <c r="BK142" s="850"/>
      <c r="BL142" s="850"/>
      <c r="BM142" s="850"/>
      <c r="BN142" s="849"/>
      <c r="BO142" s="850"/>
      <c r="BP142" s="850"/>
      <c r="BQ142" s="850"/>
      <c r="BR142" s="850"/>
      <c r="BS142" s="849"/>
      <c r="BT142" s="850"/>
      <c r="BU142" s="850"/>
      <c r="BV142" s="850"/>
      <c r="BW142" s="850"/>
      <c r="BX142" s="849"/>
      <c r="BY142" s="850"/>
      <c r="BZ142" s="850"/>
      <c r="CA142" s="850"/>
      <c r="CB142" s="850"/>
      <c r="CC142" s="849"/>
      <c r="CD142" s="850"/>
      <c r="CE142" s="850"/>
      <c r="CF142" s="850"/>
      <c r="CG142" s="850"/>
      <c r="CH142" s="849"/>
      <c r="CI142" s="850"/>
      <c r="CJ142" s="850"/>
      <c r="CK142" s="850"/>
      <c r="CL142" s="850"/>
      <c r="CM142" s="849"/>
      <c r="CN142" s="850"/>
      <c r="CO142" s="850"/>
      <c r="CP142" s="850"/>
      <c r="CQ142" s="850"/>
      <c r="CR142" s="849"/>
      <c r="CT142" s="852"/>
      <c r="CU142" s="852"/>
      <c r="CW142" s="725"/>
      <c r="CX142" s="725"/>
      <c r="CY142" s="725"/>
      <c r="CZ142" s="725"/>
      <c r="DA142" s="725"/>
      <c r="DB142" s="725"/>
      <c r="DC142" s="725"/>
      <c r="DD142" s="725"/>
      <c r="DE142" s="725"/>
      <c r="DF142" s="725"/>
      <c r="DG142" s="725"/>
      <c r="DH142" s="725"/>
      <c r="DI142" s="725"/>
    </row>
    <row r="143" spans="1:113" ht="12" customHeight="1">
      <c r="A143" s="855" t="s">
        <v>939</v>
      </c>
      <c r="B143" s="848"/>
      <c r="C143" s="848"/>
      <c r="D143" s="848"/>
      <c r="E143" s="848"/>
      <c r="F143" s="849"/>
      <c r="G143" s="848"/>
      <c r="H143" s="848"/>
      <c r="I143" s="848"/>
      <c r="J143" s="857"/>
      <c r="K143" s="858"/>
      <c r="L143" s="859"/>
      <c r="M143" s="859"/>
      <c r="N143" s="859"/>
      <c r="O143" s="857"/>
      <c r="P143" s="858"/>
      <c r="Q143" s="859"/>
      <c r="R143" s="859"/>
      <c r="S143" s="859"/>
      <c r="T143" s="857"/>
      <c r="U143" s="858"/>
      <c r="V143" s="859"/>
      <c r="W143" s="857"/>
      <c r="X143" s="857"/>
      <c r="Y143" s="857"/>
      <c r="Z143" s="858"/>
      <c r="AA143" s="857"/>
      <c r="AB143" s="860"/>
      <c r="AC143" s="860"/>
      <c r="AD143" s="857"/>
      <c r="AE143" s="858"/>
      <c r="AF143" s="860"/>
      <c r="AG143" s="860"/>
      <c r="AH143" s="860"/>
      <c r="AI143" s="860"/>
      <c r="AJ143" s="858"/>
      <c r="AK143" s="861"/>
      <c r="AL143" s="861"/>
      <c r="AM143" s="861"/>
      <c r="AN143" s="860"/>
      <c r="AO143" s="858"/>
      <c r="AP143" s="861"/>
      <c r="AQ143" s="861"/>
      <c r="AR143" s="861"/>
      <c r="AS143" s="860"/>
      <c r="AT143" s="858"/>
      <c r="AU143" s="861"/>
      <c r="AV143" s="861"/>
      <c r="AW143" s="861">
        <f>+SUM(AW146:AW148)</f>
        <v>2406</v>
      </c>
      <c r="AX143" s="861">
        <f>+SUM(AX146:AX148)</f>
        <v>2436</v>
      </c>
      <c r="AY143" s="858">
        <f>+AX143</f>
        <v>2436</v>
      </c>
      <c r="AZ143" s="860"/>
      <c r="BA143" s="860"/>
      <c r="BB143" s="860"/>
      <c r="BC143" s="861">
        <f>+SUM(BC146:BC148)</f>
        <v>3682</v>
      </c>
      <c r="BD143" s="858">
        <f>+BC143</f>
        <v>3682</v>
      </c>
      <c r="BE143" s="860"/>
      <c r="BF143" s="861"/>
      <c r="BG143" s="861"/>
      <c r="BH143" s="861">
        <f>+SUM(BH146:BH148)</f>
        <v>4017</v>
      </c>
      <c r="BI143" s="858">
        <f>+BH143</f>
        <v>4017</v>
      </c>
      <c r="BJ143" s="850"/>
      <c r="BK143" s="850"/>
      <c r="BL143" s="861"/>
      <c r="BM143" s="861">
        <f>+SUM(BM146:BM148)</f>
        <v>3916</v>
      </c>
      <c r="BN143" s="858">
        <f>+BM143</f>
        <v>3916</v>
      </c>
      <c r="BO143" s="850"/>
      <c r="BP143" s="850"/>
      <c r="BQ143" s="861"/>
      <c r="BR143" s="850"/>
      <c r="BS143" s="849"/>
      <c r="BT143" s="850"/>
      <c r="BU143" s="850"/>
      <c r="BV143" s="850"/>
      <c r="BW143" s="850"/>
      <c r="BX143" s="849"/>
      <c r="BY143" s="850"/>
      <c r="BZ143" s="850"/>
      <c r="CA143" s="850"/>
      <c r="CB143" s="850"/>
      <c r="CC143" s="849"/>
      <c r="CD143" s="850"/>
      <c r="CE143" s="850"/>
      <c r="CF143" s="850"/>
      <c r="CG143" s="850"/>
      <c r="CH143" s="849"/>
      <c r="CI143" s="850"/>
      <c r="CJ143" s="850"/>
      <c r="CK143" s="850"/>
      <c r="CL143" s="850"/>
      <c r="CM143" s="849"/>
      <c r="CN143" s="850"/>
      <c r="CO143" s="850"/>
      <c r="CP143" s="850"/>
      <c r="CQ143" s="850"/>
      <c r="CR143" s="849"/>
      <c r="CT143" s="852"/>
      <c r="CU143" s="852"/>
      <c r="CW143" s="725"/>
      <c r="CX143" s="725"/>
      <c r="CY143" s="725"/>
      <c r="CZ143" s="725"/>
      <c r="DA143" s="725"/>
      <c r="DB143" s="725"/>
      <c r="DC143" s="725"/>
      <c r="DD143" s="725"/>
      <c r="DE143" s="725"/>
      <c r="DF143" s="725"/>
      <c r="DG143" s="725"/>
      <c r="DH143" s="725"/>
      <c r="DI143" s="725"/>
    </row>
    <row r="144" spans="1:113" ht="12" customHeight="1">
      <c r="A144" s="733" t="s">
        <v>881</v>
      </c>
      <c r="B144" s="848"/>
      <c r="C144" s="848"/>
      <c r="D144" s="848"/>
      <c r="E144" s="848"/>
      <c r="F144" s="849"/>
      <c r="G144" s="848"/>
      <c r="H144" s="848"/>
      <c r="I144" s="848"/>
      <c r="J144" s="862"/>
      <c r="K144" s="863"/>
      <c r="L144" s="862"/>
      <c r="M144" s="862"/>
      <c r="N144" s="862"/>
      <c r="O144" s="862"/>
      <c r="P144" s="863"/>
      <c r="Q144" s="862"/>
      <c r="R144" s="862"/>
      <c r="S144" s="862"/>
      <c r="T144" s="862"/>
      <c r="U144" s="863"/>
      <c r="V144" s="862"/>
      <c r="W144" s="862"/>
      <c r="X144" s="862"/>
      <c r="Y144" s="862"/>
      <c r="Z144" s="863"/>
      <c r="AA144" s="862"/>
      <c r="AB144" s="862"/>
      <c r="AC144" s="862"/>
      <c r="AD144" s="862"/>
      <c r="AE144" s="863"/>
      <c r="AF144" s="862"/>
      <c r="AG144" s="862"/>
      <c r="AH144" s="862"/>
      <c r="AI144" s="862"/>
      <c r="AJ144" s="863"/>
      <c r="AK144" s="862"/>
      <c r="AL144" s="862"/>
      <c r="AM144" s="862"/>
      <c r="AN144" s="862"/>
      <c r="AO144" s="863"/>
      <c r="AP144" s="862"/>
      <c r="AQ144" s="862"/>
      <c r="AR144" s="862"/>
      <c r="AS144" s="862"/>
      <c r="AT144" s="863"/>
      <c r="AU144" s="862"/>
      <c r="AV144" s="862"/>
      <c r="AW144" s="862"/>
      <c r="AX144" s="862"/>
      <c r="AY144" s="863"/>
      <c r="AZ144" s="862"/>
      <c r="BA144" s="862"/>
      <c r="BB144" s="862"/>
      <c r="BC144" s="864">
        <f>+BC143/AX143-1</f>
        <v>0.51149425287356332</v>
      </c>
      <c r="BD144" s="865">
        <f>+BD143/AY143-1</f>
        <v>0.51149425287356332</v>
      </c>
      <c r="BE144" s="862"/>
      <c r="BF144" s="862"/>
      <c r="BG144" s="862"/>
      <c r="BH144" s="864">
        <f>+BH143/BC143-1</f>
        <v>9.0983161325366657E-2</v>
      </c>
      <c r="BI144" s="865">
        <f>+BI143/BD143-1</f>
        <v>9.0983161325366657E-2</v>
      </c>
      <c r="BJ144" s="850"/>
      <c r="BK144" s="850"/>
      <c r="BL144" s="862"/>
      <c r="BM144" s="864">
        <f>+BM143/BH143-1</f>
        <v>-2.5143141647996026E-2</v>
      </c>
      <c r="BN144" s="865">
        <f>+BN143/BI143-1</f>
        <v>-2.5143141647996026E-2</v>
      </c>
      <c r="BO144" s="850"/>
      <c r="BP144" s="850"/>
      <c r="BQ144" s="862"/>
      <c r="BR144" s="850"/>
      <c r="BS144" s="849"/>
      <c r="BT144" s="850"/>
      <c r="BU144" s="850"/>
      <c r="BV144" s="850"/>
      <c r="BW144" s="850"/>
      <c r="BX144" s="849"/>
      <c r="BY144" s="850"/>
      <c r="BZ144" s="850"/>
      <c r="CA144" s="850"/>
      <c r="CB144" s="850"/>
      <c r="CC144" s="849"/>
      <c r="CD144" s="850"/>
      <c r="CE144" s="850"/>
      <c r="CF144" s="850"/>
      <c r="CG144" s="850"/>
      <c r="CH144" s="849"/>
      <c r="CI144" s="850"/>
      <c r="CJ144" s="850"/>
      <c r="CK144" s="850"/>
      <c r="CL144" s="850"/>
      <c r="CM144" s="849"/>
      <c r="CN144" s="850"/>
      <c r="CO144" s="850"/>
      <c r="CP144" s="850"/>
      <c r="CQ144" s="850"/>
      <c r="CR144" s="849"/>
      <c r="CT144" s="852"/>
      <c r="CU144" s="852"/>
      <c r="CW144" s="725"/>
      <c r="CX144" s="725"/>
      <c r="CY144" s="725"/>
      <c r="CZ144" s="725"/>
      <c r="DA144" s="725"/>
      <c r="DB144" s="725"/>
      <c r="DC144" s="725"/>
      <c r="DD144" s="725"/>
      <c r="DE144" s="725"/>
      <c r="DF144" s="725"/>
      <c r="DG144" s="725"/>
      <c r="DH144" s="725"/>
      <c r="DI144" s="725"/>
    </row>
    <row r="145" spans="1:113" ht="12" customHeight="1">
      <c r="A145" s="733" t="s">
        <v>883</v>
      </c>
      <c r="B145" s="848"/>
      <c r="C145" s="848"/>
      <c r="D145" s="848"/>
      <c r="E145" s="848"/>
      <c r="F145" s="849"/>
      <c r="G145" s="848"/>
      <c r="H145" s="848"/>
      <c r="I145" s="848"/>
      <c r="J145" s="862"/>
      <c r="K145" s="858"/>
      <c r="L145" s="862"/>
      <c r="M145" s="862"/>
      <c r="N145" s="862"/>
      <c r="O145" s="862"/>
      <c r="P145" s="858"/>
      <c r="Q145" s="862"/>
      <c r="R145" s="862"/>
      <c r="S145" s="862"/>
      <c r="T145" s="862"/>
      <c r="U145" s="866"/>
      <c r="V145" s="862"/>
      <c r="W145" s="862"/>
      <c r="X145" s="867"/>
      <c r="Y145" s="868"/>
      <c r="Z145" s="866"/>
      <c r="AA145" s="862"/>
      <c r="AB145" s="862"/>
      <c r="AC145" s="862"/>
      <c r="AD145" s="862"/>
      <c r="AE145" s="866"/>
      <c r="AF145" s="862"/>
      <c r="AG145" s="862"/>
      <c r="AH145" s="862"/>
      <c r="AI145" s="862"/>
      <c r="AJ145" s="866"/>
      <c r="AK145" s="869"/>
      <c r="AL145" s="869"/>
      <c r="AM145" s="869"/>
      <c r="AN145" s="862"/>
      <c r="AO145" s="866"/>
      <c r="AP145" s="869"/>
      <c r="AQ145" s="869"/>
      <c r="AR145" s="869"/>
      <c r="AS145" s="862"/>
      <c r="AT145" s="866"/>
      <c r="AU145" s="869"/>
      <c r="AV145" s="869"/>
      <c r="AW145" s="869"/>
      <c r="AX145" s="862"/>
      <c r="AY145" s="866"/>
      <c r="AZ145" s="862"/>
      <c r="BA145" s="862"/>
      <c r="BB145" s="862"/>
      <c r="BC145" s="862"/>
      <c r="BD145" s="866"/>
      <c r="BE145" s="862"/>
      <c r="BF145" s="867"/>
      <c r="BG145" s="867"/>
      <c r="BH145" s="862"/>
      <c r="BI145" s="866"/>
      <c r="BJ145" s="850"/>
      <c r="BK145" s="850"/>
      <c r="BL145" s="867"/>
      <c r="BM145" s="862"/>
      <c r="BN145" s="849"/>
      <c r="BO145" s="850"/>
      <c r="BP145" s="850"/>
      <c r="BQ145" s="867"/>
      <c r="BR145" s="850"/>
      <c r="BS145" s="849"/>
      <c r="BT145" s="850"/>
      <c r="BU145" s="850"/>
      <c r="BV145" s="850"/>
      <c r="BW145" s="850"/>
      <c r="BX145" s="849"/>
      <c r="BY145" s="850"/>
      <c r="BZ145" s="850"/>
      <c r="CA145" s="850"/>
      <c r="CB145" s="850"/>
      <c r="CC145" s="849"/>
      <c r="CD145" s="850"/>
      <c r="CE145" s="850"/>
      <c r="CF145" s="850"/>
      <c r="CG145" s="850"/>
      <c r="CH145" s="849"/>
      <c r="CI145" s="850"/>
      <c r="CJ145" s="850"/>
      <c r="CK145" s="850"/>
      <c r="CL145" s="850"/>
      <c r="CM145" s="849"/>
      <c r="CN145" s="850"/>
      <c r="CO145" s="850"/>
      <c r="CP145" s="850"/>
      <c r="CQ145" s="850"/>
      <c r="CR145" s="849"/>
      <c r="CT145" s="852"/>
      <c r="CU145" s="852"/>
      <c r="CW145" s="725"/>
      <c r="CX145" s="725"/>
      <c r="CY145" s="725"/>
      <c r="CZ145" s="725"/>
      <c r="DA145" s="725"/>
      <c r="DB145" s="725"/>
      <c r="DC145" s="725"/>
      <c r="DD145" s="725"/>
      <c r="DE145" s="725"/>
      <c r="DF145" s="725"/>
      <c r="DG145" s="725"/>
      <c r="DH145" s="725"/>
      <c r="DI145" s="725"/>
    </row>
    <row r="146" spans="1:113" ht="12" customHeight="1">
      <c r="A146" s="786" t="s">
        <v>940</v>
      </c>
      <c r="B146" s="848"/>
      <c r="C146" s="848"/>
      <c r="D146" s="848"/>
      <c r="E146" s="848"/>
      <c r="F146" s="849"/>
      <c r="G146" s="848"/>
      <c r="H146" s="848"/>
      <c r="I146" s="848"/>
      <c r="J146" s="862"/>
      <c r="K146" s="858"/>
      <c r="L146" s="862"/>
      <c r="M146" s="862"/>
      <c r="N146" s="862"/>
      <c r="O146" s="862"/>
      <c r="P146" s="858"/>
      <c r="Q146" s="862"/>
      <c r="R146" s="862"/>
      <c r="S146" s="862"/>
      <c r="T146" s="862"/>
      <c r="U146" s="866"/>
      <c r="V146" s="862"/>
      <c r="W146" s="862"/>
      <c r="X146" s="867"/>
      <c r="Y146" s="868"/>
      <c r="Z146" s="866"/>
      <c r="AA146" s="862"/>
      <c r="AB146" s="862"/>
      <c r="AC146" s="862"/>
      <c r="AD146" s="862"/>
      <c r="AE146" s="866"/>
      <c r="AF146" s="862"/>
      <c r="AG146" s="862"/>
      <c r="AH146" s="862"/>
      <c r="AI146" s="862"/>
      <c r="AJ146" s="866"/>
      <c r="AK146" s="869"/>
      <c r="AL146" s="869"/>
      <c r="AM146" s="869"/>
      <c r="AN146" s="862"/>
      <c r="AO146" s="866"/>
      <c r="AP146" s="869"/>
      <c r="AQ146" s="869"/>
      <c r="AR146" s="869"/>
      <c r="AS146" s="862"/>
      <c r="AT146" s="866"/>
      <c r="AU146" s="869"/>
      <c r="AV146" s="869"/>
      <c r="AW146" s="860">
        <v>651</v>
      </c>
      <c r="AX146" s="860">
        <v>650</v>
      </c>
      <c r="AY146" s="858">
        <f>+AX146</f>
        <v>650</v>
      </c>
      <c r="AZ146" s="862"/>
      <c r="BA146" s="862"/>
      <c r="BB146" s="862"/>
      <c r="BC146" s="860">
        <v>1088</v>
      </c>
      <c r="BD146" s="858">
        <f>+BC146</f>
        <v>1088</v>
      </c>
      <c r="BE146" s="862"/>
      <c r="BF146" s="867"/>
      <c r="BG146" s="867"/>
      <c r="BH146" s="860">
        <v>1235</v>
      </c>
      <c r="BI146" s="858">
        <f>+BH146</f>
        <v>1235</v>
      </c>
      <c r="BJ146" s="850"/>
      <c r="BK146" s="850"/>
      <c r="BL146" s="867"/>
      <c r="BM146" s="860">
        <v>1182</v>
      </c>
      <c r="BN146" s="858">
        <f>+BM146</f>
        <v>1182</v>
      </c>
      <c r="BO146" s="850"/>
      <c r="BP146" s="850"/>
      <c r="BQ146" s="867"/>
      <c r="BR146" s="850"/>
      <c r="BS146" s="849"/>
      <c r="BT146" s="850"/>
      <c r="BU146" s="850"/>
      <c r="BV146" s="850"/>
      <c r="BW146" s="850"/>
      <c r="BX146" s="849"/>
      <c r="BY146" s="850"/>
      <c r="BZ146" s="850"/>
      <c r="CA146" s="850"/>
      <c r="CB146" s="850"/>
      <c r="CC146" s="849"/>
      <c r="CD146" s="850"/>
      <c r="CE146" s="850"/>
      <c r="CF146" s="850"/>
      <c r="CG146" s="850"/>
      <c r="CH146" s="849"/>
      <c r="CI146" s="850"/>
      <c r="CJ146" s="850"/>
      <c r="CK146" s="850"/>
      <c r="CL146" s="850"/>
      <c r="CM146" s="849"/>
      <c r="CN146" s="850"/>
      <c r="CO146" s="850"/>
      <c r="CP146" s="850"/>
      <c r="CQ146" s="850"/>
      <c r="CR146" s="849"/>
      <c r="CT146" s="852"/>
      <c r="CU146" s="852"/>
      <c r="CW146" s="725"/>
      <c r="CX146" s="725"/>
      <c r="CY146" s="725"/>
      <c r="CZ146" s="725"/>
      <c r="DA146" s="725"/>
      <c r="DB146" s="725"/>
      <c r="DC146" s="725"/>
      <c r="DD146" s="725"/>
      <c r="DE146" s="725"/>
      <c r="DF146" s="725"/>
      <c r="DG146" s="725"/>
      <c r="DH146" s="725"/>
      <c r="DI146" s="725"/>
    </row>
    <row r="147" spans="1:113" ht="12" customHeight="1">
      <c r="A147" s="786" t="s">
        <v>451</v>
      </c>
      <c r="B147" s="848"/>
      <c r="C147" s="848"/>
      <c r="D147" s="848"/>
      <c r="E147" s="848"/>
      <c r="F147" s="849"/>
      <c r="G147" s="848"/>
      <c r="H147" s="848"/>
      <c r="I147" s="848"/>
      <c r="J147" s="862"/>
      <c r="K147" s="858"/>
      <c r="L147" s="862"/>
      <c r="M147" s="862"/>
      <c r="N147" s="862"/>
      <c r="O147" s="862"/>
      <c r="P147" s="858"/>
      <c r="Q147" s="862"/>
      <c r="R147" s="862"/>
      <c r="S147" s="862"/>
      <c r="T147" s="862"/>
      <c r="U147" s="866"/>
      <c r="V147" s="862"/>
      <c r="W147" s="862"/>
      <c r="X147" s="867"/>
      <c r="Y147" s="868"/>
      <c r="Z147" s="866"/>
      <c r="AA147" s="862"/>
      <c r="AB147" s="862"/>
      <c r="AC147" s="862"/>
      <c r="AD147" s="862"/>
      <c r="AE147" s="866"/>
      <c r="AF147" s="862"/>
      <c r="AG147" s="862"/>
      <c r="AH147" s="862"/>
      <c r="AI147" s="862"/>
      <c r="AJ147" s="866"/>
      <c r="AK147" s="869"/>
      <c r="AL147" s="869"/>
      <c r="AM147" s="869"/>
      <c r="AN147" s="862"/>
      <c r="AO147" s="866"/>
      <c r="AP147" s="869"/>
      <c r="AQ147" s="869"/>
      <c r="AR147" s="869"/>
      <c r="AS147" s="862"/>
      <c r="AT147" s="866"/>
      <c r="AU147" s="869"/>
      <c r="AV147" s="869"/>
      <c r="AW147" s="860">
        <v>199</v>
      </c>
      <c r="AX147" s="860">
        <v>207</v>
      </c>
      <c r="AY147" s="858">
        <f>+AX147</f>
        <v>207</v>
      </c>
      <c r="AZ147" s="862"/>
      <c r="BA147" s="862"/>
      <c r="BB147" s="862"/>
      <c r="BC147" s="860">
        <v>508</v>
      </c>
      <c r="BD147" s="858">
        <f>+BC147</f>
        <v>508</v>
      </c>
      <c r="BE147" s="862"/>
      <c r="BF147" s="867"/>
      <c r="BG147" s="867"/>
      <c r="BH147" s="860">
        <v>533</v>
      </c>
      <c r="BI147" s="858">
        <f>+BH147</f>
        <v>533</v>
      </c>
      <c r="BJ147" s="850"/>
      <c r="BK147" s="850"/>
      <c r="BL147" s="867"/>
      <c r="BM147" s="860">
        <v>484</v>
      </c>
      <c r="BN147" s="858">
        <f>+BM147</f>
        <v>484</v>
      </c>
      <c r="BO147" s="850"/>
      <c r="BP147" s="850"/>
      <c r="BQ147" s="867"/>
      <c r="BR147" s="850"/>
      <c r="BS147" s="849"/>
      <c r="BT147" s="850"/>
      <c r="BU147" s="850"/>
      <c r="BV147" s="850"/>
      <c r="BW147" s="850"/>
      <c r="BX147" s="849"/>
      <c r="BY147" s="850"/>
      <c r="BZ147" s="850"/>
      <c r="CA147" s="850"/>
      <c r="CB147" s="850"/>
      <c r="CC147" s="849"/>
      <c r="CD147" s="850"/>
      <c r="CE147" s="850"/>
      <c r="CF147" s="850"/>
      <c r="CG147" s="850"/>
      <c r="CH147" s="849"/>
      <c r="CI147" s="850"/>
      <c r="CJ147" s="850"/>
      <c r="CK147" s="850"/>
      <c r="CL147" s="850"/>
      <c r="CM147" s="849"/>
      <c r="CN147" s="850"/>
      <c r="CO147" s="850"/>
      <c r="CP147" s="850"/>
      <c r="CQ147" s="850"/>
      <c r="CR147" s="849"/>
      <c r="CT147" s="852"/>
      <c r="CU147" s="852"/>
      <c r="CW147" s="725"/>
      <c r="CX147" s="725"/>
      <c r="CY147" s="725"/>
      <c r="CZ147" s="725"/>
      <c r="DA147" s="725"/>
      <c r="DB147" s="725"/>
      <c r="DC147" s="725"/>
      <c r="DD147" s="725"/>
      <c r="DE147" s="725"/>
      <c r="DF147" s="725"/>
      <c r="DG147" s="725"/>
      <c r="DH147" s="725"/>
      <c r="DI147" s="725"/>
    </row>
    <row r="148" spans="1:113" ht="12" customHeight="1">
      <c r="A148" s="786" t="s">
        <v>941</v>
      </c>
      <c r="B148" s="848"/>
      <c r="C148" s="848"/>
      <c r="D148" s="848"/>
      <c r="E148" s="848"/>
      <c r="F148" s="849"/>
      <c r="G148" s="848"/>
      <c r="H148" s="848"/>
      <c r="I148" s="848"/>
      <c r="J148" s="862"/>
      <c r="K148" s="858"/>
      <c r="L148" s="862"/>
      <c r="M148" s="862"/>
      <c r="N148" s="862"/>
      <c r="O148" s="862"/>
      <c r="P148" s="858"/>
      <c r="Q148" s="862"/>
      <c r="R148" s="862"/>
      <c r="S148" s="862"/>
      <c r="T148" s="862"/>
      <c r="U148" s="866"/>
      <c r="V148" s="862"/>
      <c r="W148" s="862"/>
      <c r="X148" s="867"/>
      <c r="Y148" s="868"/>
      <c r="Z148" s="866"/>
      <c r="AA148" s="862"/>
      <c r="AB148" s="862"/>
      <c r="AC148" s="862"/>
      <c r="AD148" s="862"/>
      <c r="AE148" s="866"/>
      <c r="AF148" s="862"/>
      <c r="AG148" s="862"/>
      <c r="AH148" s="862"/>
      <c r="AI148" s="862"/>
      <c r="AJ148" s="866"/>
      <c r="AK148" s="869"/>
      <c r="AL148" s="869"/>
      <c r="AM148" s="869"/>
      <c r="AN148" s="862"/>
      <c r="AO148" s="866"/>
      <c r="AP148" s="869"/>
      <c r="AQ148" s="869"/>
      <c r="AR148" s="869"/>
      <c r="AS148" s="862"/>
      <c r="AT148" s="866"/>
      <c r="AU148" s="869"/>
      <c r="AV148" s="869"/>
      <c r="AW148" s="860">
        <v>1556</v>
      </c>
      <c r="AX148" s="860">
        <v>1579</v>
      </c>
      <c r="AY148" s="858">
        <f>+AX148</f>
        <v>1579</v>
      </c>
      <c r="AZ148" s="862"/>
      <c r="BA148" s="862"/>
      <c r="BB148" s="862"/>
      <c r="BC148" s="860">
        <v>2086</v>
      </c>
      <c r="BD148" s="858">
        <f>+BC148</f>
        <v>2086</v>
      </c>
      <c r="BE148" s="862"/>
      <c r="BF148" s="867"/>
      <c r="BG148" s="867"/>
      <c r="BH148" s="860">
        <v>2249</v>
      </c>
      <c r="BI148" s="858">
        <f>+BH148</f>
        <v>2249</v>
      </c>
      <c r="BJ148" s="850"/>
      <c r="BK148" s="850"/>
      <c r="BL148" s="867"/>
      <c r="BM148" s="860">
        <v>2250</v>
      </c>
      <c r="BN148" s="858">
        <f>+BM148</f>
        <v>2250</v>
      </c>
      <c r="BO148" s="850"/>
      <c r="BP148" s="850"/>
      <c r="BQ148" s="867"/>
      <c r="BR148" s="850"/>
      <c r="BS148" s="849"/>
      <c r="BT148" s="850"/>
      <c r="BU148" s="850"/>
      <c r="BV148" s="850"/>
      <c r="BW148" s="850"/>
      <c r="BX148" s="849"/>
      <c r="BY148" s="850"/>
      <c r="BZ148" s="850"/>
      <c r="CA148" s="850"/>
      <c r="CB148" s="850"/>
      <c r="CC148" s="849"/>
      <c r="CD148" s="850"/>
      <c r="CE148" s="850"/>
      <c r="CF148" s="850"/>
      <c r="CG148" s="850"/>
      <c r="CH148" s="849"/>
      <c r="CI148" s="850"/>
      <c r="CJ148" s="850"/>
      <c r="CK148" s="850"/>
      <c r="CL148" s="850"/>
      <c r="CM148" s="849"/>
      <c r="CN148" s="850"/>
      <c r="CO148" s="850"/>
      <c r="CP148" s="850"/>
      <c r="CQ148" s="850"/>
      <c r="CR148" s="849"/>
      <c r="CT148" s="852"/>
      <c r="CU148" s="852"/>
      <c r="CW148" s="725"/>
      <c r="CX148" s="725"/>
      <c r="CY148" s="725"/>
      <c r="CZ148" s="725"/>
      <c r="DA148" s="725"/>
      <c r="DB148" s="725"/>
      <c r="DC148" s="725"/>
      <c r="DD148" s="725"/>
      <c r="DE148" s="725"/>
      <c r="DF148" s="725"/>
      <c r="DG148" s="725"/>
      <c r="DH148" s="725"/>
      <c r="DI148" s="725"/>
    </row>
    <row r="149" spans="1:113" ht="12" customHeight="1">
      <c r="A149" s="786"/>
      <c r="B149" s="848"/>
      <c r="C149" s="848"/>
      <c r="D149" s="848"/>
      <c r="E149" s="848"/>
      <c r="F149" s="849"/>
      <c r="G149" s="848"/>
      <c r="H149" s="848"/>
      <c r="I149" s="848"/>
      <c r="J149" s="862"/>
      <c r="K149" s="858"/>
      <c r="L149" s="862"/>
      <c r="M149" s="862"/>
      <c r="N149" s="862"/>
      <c r="O149" s="862"/>
      <c r="P149" s="858"/>
      <c r="Q149" s="862"/>
      <c r="R149" s="862"/>
      <c r="S149" s="862"/>
      <c r="T149" s="862"/>
      <c r="U149" s="866"/>
      <c r="V149" s="862"/>
      <c r="W149" s="862"/>
      <c r="X149" s="867"/>
      <c r="Y149" s="868"/>
      <c r="Z149" s="866"/>
      <c r="AA149" s="862"/>
      <c r="AB149" s="862"/>
      <c r="AC149" s="862"/>
      <c r="AD149" s="862"/>
      <c r="AE149" s="866"/>
      <c r="AF149" s="862"/>
      <c r="AG149" s="862"/>
      <c r="AH149" s="862"/>
      <c r="AI149" s="862"/>
      <c r="AJ149" s="866"/>
      <c r="AK149" s="869"/>
      <c r="AL149" s="869"/>
      <c r="AM149" s="869"/>
      <c r="AN149" s="862"/>
      <c r="AO149" s="866"/>
      <c r="AP149" s="869"/>
      <c r="AQ149" s="869"/>
      <c r="AR149" s="869"/>
      <c r="AS149" s="862"/>
      <c r="AT149" s="866"/>
      <c r="AU149" s="869"/>
      <c r="AV149" s="869"/>
      <c r="AW149" s="869"/>
      <c r="AX149" s="860"/>
      <c r="AY149" s="858"/>
      <c r="AZ149" s="862"/>
      <c r="BA149" s="862"/>
      <c r="BB149" s="862"/>
      <c r="BC149" s="860"/>
      <c r="BD149" s="858"/>
      <c r="BE149" s="862"/>
      <c r="BF149" s="867"/>
      <c r="BG149" s="867"/>
      <c r="BH149" s="867"/>
      <c r="BI149" s="866"/>
      <c r="BJ149" s="850"/>
      <c r="BK149" s="850"/>
      <c r="BL149" s="867"/>
      <c r="BM149" s="850"/>
      <c r="BN149" s="849"/>
      <c r="BO149" s="850"/>
      <c r="BP149" s="850"/>
      <c r="BQ149" s="867"/>
      <c r="BR149" s="850"/>
      <c r="BS149" s="849"/>
      <c r="BT149" s="850"/>
      <c r="BU149" s="850"/>
      <c r="BV149" s="850"/>
      <c r="BW149" s="850"/>
      <c r="BX149" s="849"/>
      <c r="BY149" s="850"/>
      <c r="BZ149" s="850"/>
      <c r="CA149" s="850"/>
      <c r="CB149" s="850"/>
      <c r="CC149" s="849"/>
      <c r="CD149" s="850"/>
      <c r="CE149" s="850"/>
      <c r="CF149" s="850"/>
      <c r="CG149" s="850"/>
      <c r="CH149" s="849"/>
      <c r="CI149" s="850"/>
      <c r="CJ149" s="850"/>
      <c r="CK149" s="850"/>
      <c r="CL149" s="850"/>
      <c r="CM149" s="849"/>
      <c r="CN149" s="850"/>
      <c r="CO149" s="850"/>
      <c r="CP149" s="850"/>
      <c r="CQ149" s="850"/>
      <c r="CR149" s="849"/>
      <c r="CT149" s="852"/>
      <c r="CU149" s="852"/>
      <c r="CW149" s="725"/>
      <c r="CX149" s="725"/>
      <c r="CY149" s="725"/>
      <c r="CZ149" s="725"/>
      <c r="DA149" s="725"/>
      <c r="DB149" s="725"/>
      <c r="DC149" s="725"/>
      <c r="DD149" s="725"/>
      <c r="DE149" s="725"/>
      <c r="DF149" s="725"/>
      <c r="DG149" s="725"/>
      <c r="DH149" s="725"/>
      <c r="DI149" s="725"/>
    </row>
    <row r="150" spans="1:113" ht="12" customHeight="1">
      <c r="A150" s="786" t="s">
        <v>942</v>
      </c>
      <c r="B150" s="848"/>
      <c r="C150" s="848"/>
      <c r="D150" s="848"/>
      <c r="E150" s="848"/>
      <c r="F150" s="849"/>
      <c r="G150" s="848"/>
      <c r="H150" s="848"/>
      <c r="I150" s="848"/>
      <c r="J150" s="862"/>
      <c r="K150" s="858"/>
      <c r="L150" s="862"/>
      <c r="M150" s="862"/>
      <c r="N150" s="862"/>
      <c r="O150" s="862"/>
      <c r="P150" s="858"/>
      <c r="Q150" s="862"/>
      <c r="R150" s="862"/>
      <c r="S150" s="862"/>
      <c r="T150" s="862"/>
      <c r="U150" s="866"/>
      <c r="V150" s="862"/>
      <c r="W150" s="862"/>
      <c r="X150" s="867"/>
      <c r="Y150" s="868"/>
      <c r="Z150" s="866"/>
      <c r="AA150" s="862"/>
      <c r="AB150" s="862"/>
      <c r="AC150" s="862"/>
      <c r="AD150" s="862"/>
      <c r="AE150" s="866"/>
      <c r="AF150" s="862"/>
      <c r="AG150" s="862"/>
      <c r="AH150" s="862"/>
      <c r="AI150" s="862"/>
      <c r="AJ150" s="866"/>
      <c r="AK150" s="869"/>
      <c r="AL150" s="869"/>
      <c r="AM150" s="869"/>
      <c r="AN150" s="862"/>
      <c r="AO150" s="866"/>
      <c r="AP150" s="869"/>
      <c r="AQ150" s="869"/>
      <c r="AR150" s="869"/>
      <c r="AS150" s="862"/>
      <c r="AT150" s="866"/>
      <c r="AU150" s="869"/>
      <c r="AV150" s="869"/>
      <c r="AW150" s="870">
        <f>198/AW$143</f>
        <v>8.2294264339152115E-2</v>
      </c>
      <c r="AX150" s="860"/>
      <c r="AY150" s="858"/>
      <c r="AZ150" s="862"/>
      <c r="BA150" s="862"/>
      <c r="BB150" s="862"/>
      <c r="BC150" s="860"/>
      <c r="BD150" s="858"/>
      <c r="BE150" s="862"/>
      <c r="BF150" s="867"/>
      <c r="BG150" s="867"/>
      <c r="BH150" s="867"/>
      <c r="BI150" s="866"/>
      <c r="BJ150" s="850"/>
      <c r="BK150" s="850"/>
      <c r="BL150" s="867"/>
      <c r="BM150" s="850"/>
      <c r="BN150" s="849"/>
      <c r="BO150" s="850"/>
      <c r="BP150" s="850"/>
      <c r="BQ150" s="867"/>
      <c r="BR150" s="850"/>
      <c r="BS150" s="849"/>
      <c r="BT150" s="850"/>
      <c r="BU150" s="850"/>
      <c r="BV150" s="850"/>
      <c r="BW150" s="850"/>
      <c r="BX150" s="849"/>
      <c r="BY150" s="850"/>
      <c r="BZ150" s="850"/>
      <c r="CA150" s="850"/>
      <c r="CB150" s="850"/>
      <c r="CC150" s="849"/>
      <c r="CD150" s="850"/>
      <c r="CE150" s="850"/>
      <c r="CF150" s="850"/>
      <c r="CG150" s="850"/>
      <c r="CH150" s="849"/>
      <c r="CI150" s="850"/>
      <c r="CJ150" s="850"/>
      <c r="CK150" s="850"/>
      <c r="CL150" s="850"/>
      <c r="CM150" s="849"/>
      <c r="CN150" s="850"/>
      <c r="CO150" s="850"/>
      <c r="CP150" s="850"/>
      <c r="CQ150" s="850"/>
      <c r="CR150" s="849"/>
      <c r="CT150" s="852"/>
      <c r="CU150" s="852"/>
      <c r="CW150" s="725"/>
      <c r="CX150" s="725"/>
      <c r="CY150" s="725"/>
      <c r="CZ150" s="725"/>
      <c r="DA150" s="725"/>
      <c r="DB150" s="725"/>
      <c r="DC150" s="725"/>
      <c r="DD150" s="725"/>
      <c r="DE150" s="725"/>
      <c r="DF150" s="725"/>
      <c r="DG150" s="725"/>
      <c r="DH150" s="725"/>
      <c r="DI150" s="725"/>
    </row>
    <row r="151" spans="1:113" ht="12" customHeight="1">
      <c r="A151" s="786" t="s">
        <v>943</v>
      </c>
      <c r="B151" s="848"/>
      <c r="C151" s="848"/>
      <c r="D151" s="848"/>
      <c r="E151" s="848"/>
      <c r="F151" s="849"/>
      <c r="G151" s="848"/>
      <c r="H151" s="848"/>
      <c r="I151" s="848"/>
      <c r="J151" s="862"/>
      <c r="K151" s="858"/>
      <c r="L151" s="862"/>
      <c r="M151" s="862"/>
      <c r="N151" s="862"/>
      <c r="O151" s="862"/>
      <c r="P151" s="858"/>
      <c r="Q151" s="862"/>
      <c r="R151" s="862"/>
      <c r="S151" s="862"/>
      <c r="T151" s="862"/>
      <c r="U151" s="866"/>
      <c r="V151" s="862"/>
      <c r="W151" s="862"/>
      <c r="X151" s="867"/>
      <c r="Y151" s="868"/>
      <c r="Z151" s="866"/>
      <c r="AA151" s="862"/>
      <c r="AB151" s="862"/>
      <c r="AC151" s="862"/>
      <c r="AD151" s="862"/>
      <c r="AE151" s="866"/>
      <c r="AF151" s="862"/>
      <c r="AG151" s="862"/>
      <c r="AH151" s="862"/>
      <c r="AI151" s="862"/>
      <c r="AJ151" s="866"/>
      <c r="AK151" s="869"/>
      <c r="AL151" s="869"/>
      <c r="AM151" s="869"/>
      <c r="AN151" s="862"/>
      <c r="AO151" s="866"/>
      <c r="AP151" s="869"/>
      <c r="AQ151" s="869"/>
      <c r="AR151" s="869"/>
      <c r="AS151" s="862"/>
      <c r="AT151" s="866"/>
      <c r="AU151" s="869"/>
      <c r="AV151" s="869"/>
      <c r="AW151" s="870">
        <f>671/AW$143</f>
        <v>0.27888611803823776</v>
      </c>
      <c r="AX151" s="860"/>
      <c r="AY151" s="858"/>
      <c r="AZ151" s="862"/>
      <c r="BA151" s="862"/>
      <c r="BB151" s="862"/>
      <c r="BC151" s="860"/>
      <c r="BD151" s="858"/>
      <c r="BE151" s="862"/>
      <c r="BF151" s="867"/>
      <c r="BG151" s="867"/>
      <c r="BH151" s="867"/>
      <c r="BI151" s="866"/>
      <c r="BJ151" s="850"/>
      <c r="BK151" s="850"/>
      <c r="BL151" s="867"/>
      <c r="BM151" s="850"/>
      <c r="BN151" s="849"/>
      <c r="BO151" s="850"/>
      <c r="BP151" s="850"/>
      <c r="BQ151" s="867"/>
      <c r="BR151" s="850"/>
      <c r="BS151" s="849"/>
      <c r="BT151" s="850"/>
      <c r="BU151" s="850"/>
      <c r="BV151" s="850"/>
      <c r="BW151" s="850"/>
      <c r="BX151" s="849"/>
      <c r="BY151" s="850"/>
      <c r="BZ151" s="850"/>
      <c r="CA151" s="850"/>
      <c r="CB151" s="850"/>
      <c r="CC151" s="849"/>
      <c r="CD151" s="850"/>
      <c r="CE151" s="850"/>
      <c r="CF151" s="850"/>
      <c r="CG151" s="850"/>
      <c r="CH151" s="849"/>
      <c r="CI151" s="850"/>
      <c r="CJ151" s="850"/>
      <c r="CK151" s="850"/>
      <c r="CL151" s="850"/>
      <c r="CM151" s="849"/>
      <c r="CN151" s="850"/>
      <c r="CO151" s="850"/>
      <c r="CP151" s="850"/>
      <c r="CQ151" s="850"/>
      <c r="CR151" s="849"/>
      <c r="CT151" s="852"/>
      <c r="CU151" s="852"/>
      <c r="CW151" s="725"/>
      <c r="CX151" s="725"/>
      <c r="CY151" s="725"/>
      <c r="CZ151" s="725"/>
      <c r="DA151" s="725"/>
      <c r="DB151" s="725"/>
      <c r="DC151" s="725"/>
      <c r="DD151" s="725"/>
      <c r="DE151" s="725"/>
      <c r="DF151" s="725"/>
      <c r="DG151" s="725"/>
      <c r="DH151" s="725"/>
      <c r="DI151" s="725"/>
    </row>
    <row r="152" spans="1:113" ht="12" customHeight="1">
      <c r="A152" s="786" t="s">
        <v>944</v>
      </c>
      <c r="B152" s="848"/>
      <c r="C152" s="848"/>
      <c r="D152" s="848"/>
      <c r="E152" s="848"/>
      <c r="F152" s="849"/>
      <c r="G152" s="848"/>
      <c r="H152" s="848"/>
      <c r="I152" s="848"/>
      <c r="J152" s="862"/>
      <c r="K152" s="858"/>
      <c r="L152" s="862"/>
      <c r="M152" s="862"/>
      <c r="N152" s="862"/>
      <c r="O152" s="862"/>
      <c r="P152" s="858"/>
      <c r="Q152" s="862"/>
      <c r="R152" s="862"/>
      <c r="S152" s="862"/>
      <c r="T152" s="862"/>
      <c r="U152" s="866"/>
      <c r="V152" s="862"/>
      <c r="W152" s="862"/>
      <c r="X152" s="867"/>
      <c r="Y152" s="868"/>
      <c r="Z152" s="866"/>
      <c r="AA152" s="862"/>
      <c r="AB152" s="862"/>
      <c r="AC152" s="862"/>
      <c r="AD152" s="862"/>
      <c r="AE152" s="866"/>
      <c r="AF152" s="862"/>
      <c r="AG152" s="862"/>
      <c r="AH152" s="862"/>
      <c r="AI152" s="862"/>
      <c r="AJ152" s="866"/>
      <c r="AK152" s="869"/>
      <c r="AL152" s="869"/>
      <c r="AM152" s="869"/>
      <c r="AN152" s="862"/>
      <c r="AO152" s="866"/>
      <c r="AP152" s="869"/>
      <c r="AQ152" s="869"/>
      <c r="AR152" s="869"/>
      <c r="AS152" s="862"/>
      <c r="AT152" s="866"/>
      <c r="AU152" s="869"/>
      <c r="AV152" s="869"/>
      <c r="AW152" s="870">
        <f>387/AW$143</f>
        <v>0.16084788029925187</v>
      </c>
      <c r="AX152" s="860"/>
      <c r="AY152" s="858"/>
      <c r="AZ152" s="862"/>
      <c r="BA152" s="862"/>
      <c r="BB152" s="862"/>
      <c r="BC152" s="860"/>
      <c r="BD152" s="858"/>
      <c r="BE152" s="862"/>
      <c r="BF152" s="867"/>
      <c r="BG152" s="867"/>
      <c r="BH152" s="867"/>
      <c r="BI152" s="866"/>
      <c r="BJ152" s="850"/>
      <c r="BK152" s="850"/>
      <c r="BL152" s="867"/>
      <c r="BM152" s="850"/>
      <c r="BN152" s="849"/>
      <c r="BO152" s="850"/>
      <c r="BP152" s="850"/>
      <c r="BQ152" s="867"/>
      <c r="BR152" s="850"/>
      <c r="BS152" s="849"/>
      <c r="BT152" s="850"/>
      <c r="BU152" s="850"/>
      <c r="BV152" s="850"/>
      <c r="BW152" s="850"/>
      <c r="BX152" s="849"/>
      <c r="BY152" s="850"/>
      <c r="BZ152" s="850"/>
      <c r="CA152" s="850"/>
      <c r="CB152" s="850"/>
      <c r="CC152" s="849"/>
      <c r="CD152" s="850"/>
      <c r="CE152" s="850"/>
      <c r="CF152" s="850"/>
      <c r="CG152" s="850"/>
      <c r="CH152" s="849"/>
      <c r="CI152" s="850"/>
      <c r="CJ152" s="850"/>
      <c r="CK152" s="850"/>
      <c r="CL152" s="850"/>
      <c r="CM152" s="849"/>
      <c r="CN152" s="850"/>
      <c r="CO152" s="850"/>
      <c r="CP152" s="850"/>
      <c r="CQ152" s="850"/>
      <c r="CR152" s="849"/>
      <c r="CT152" s="852"/>
      <c r="CU152" s="852"/>
      <c r="CW152" s="725"/>
      <c r="CX152" s="725"/>
      <c r="CY152" s="725"/>
      <c r="CZ152" s="725"/>
      <c r="DA152" s="725"/>
      <c r="DB152" s="725"/>
      <c r="DC152" s="725"/>
      <c r="DD152" s="725"/>
      <c r="DE152" s="725"/>
      <c r="DF152" s="725"/>
      <c r="DG152" s="725"/>
      <c r="DH152" s="725"/>
      <c r="DI152" s="725"/>
    </row>
    <row r="153" spans="1:113" ht="12" customHeight="1">
      <c r="A153" s="786" t="s">
        <v>945</v>
      </c>
      <c r="B153" s="848"/>
      <c r="C153" s="848"/>
      <c r="D153" s="848"/>
      <c r="E153" s="848"/>
      <c r="F153" s="849"/>
      <c r="G153" s="848"/>
      <c r="H153" s="848"/>
      <c r="I153" s="848"/>
      <c r="J153" s="862"/>
      <c r="K153" s="858"/>
      <c r="L153" s="862"/>
      <c r="M153" s="862"/>
      <c r="N153" s="862"/>
      <c r="O153" s="862"/>
      <c r="P153" s="858"/>
      <c r="Q153" s="862"/>
      <c r="R153" s="862"/>
      <c r="S153" s="862"/>
      <c r="T153" s="862"/>
      <c r="U153" s="866"/>
      <c r="V153" s="862"/>
      <c r="W153" s="862"/>
      <c r="X153" s="867"/>
      <c r="Y153" s="868"/>
      <c r="Z153" s="866"/>
      <c r="AA153" s="862"/>
      <c r="AB153" s="862"/>
      <c r="AC153" s="862"/>
      <c r="AD153" s="862"/>
      <c r="AE153" s="866"/>
      <c r="AF153" s="862"/>
      <c r="AG153" s="862"/>
      <c r="AH153" s="862"/>
      <c r="AI153" s="862"/>
      <c r="AJ153" s="866"/>
      <c r="AK153" s="869"/>
      <c r="AL153" s="869"/>
      <c r="AM153" s="869"/>
      <c r="AN153" s="862"/>
      <c r="AO153" s="866"/>
      <c r="AP153" s="869"/>
      <c r="AQ153" s="869"/>
      <c r="AR153" s="869"/>
      <c r="AS153" s="862"/>
      <c r="AT153" s="866"/>
      <c r="AU153" s="869"/>
      <c r="AV153" s="869"/>
      <c r="AW153" s="870">
        <f>455/AW$143</f>
        <v>0.18911055694098089</v>
      </c>
      <c r="AX153" s="860"/>
      <c r="AY153" s="858"/>
      <c r="AZ153" s="862"/>
      <c r="BA153" s="862"/>
      <c r="BB153" s="862"/>
      <c r="BC153" s="860"/>
      <c r="BD153" s="858"/>
      <c r="BE153" s="862"/>
      <c r="BF153" s="867"/>
      <c r="BG153" s="867"/>
      <c r="BH153" s="867"/>
      <c r="BI153" s="866"/>
      <c r="BJ153" s="850"/>
      <c r="BK153" s="850"/>
      <c r="BL153" s="867"/>
      <c r="BM153" s="850"/>
      <c r="BN153" s="849"/>
      <c r="BO153" s="850"/>
      <c r="BP153" s="850"/>
      <c r="BQ153" s="867"/>
      <c r="BR153" s="850"/>
      <c r="BS153" s="849"/>
      <c r="BT153" s="850"/>
      <c r="BU153" s="850"/>
      <c r="BV153" s="850"/>
      <c r="BW153" s="850"/>
      <c r="BX153" s="849"/>
      <c r="BY153" s="850"/>
      <c r="BZ153" s="850"/>
      <c r="CA153" s="850"/>
      <c r="CB153" s="850"/>
      <c r="CC153" s="849"/>
      <c r="CD153" s="850"/>
      <c r="CE153" s="850"/>
      <c r="CF153" s="850"/>
      <c r="CG153" s="850"/>
      <c r="CH153" s="849"/>
      <c r="CI153" s="850"/>
      <c r="CJ153" s="850"/>
      <c r="CK153" s="850"/>
      <c r="CL153" s="850"/>
      <c r="CM153" s="849"/>
      <c r="CN153" s="850"/>
      <c r="CO153" s="850"/>
      <c r="CP153" s="850"/>
      <c r="CQ153" s="850"/>
      <c r="CR153" s="849"/>
      <c r="CT153" s="852"/>
      <c r="CU153" s="852"/>
      <c r="CW153" s="725"/>
      <c r="CX153" s="725"/>
      <c r="CY153" s="725"/>
      <c r="CZ153" s="725"/>
      <c r="DA153" s="725"/>
      <c r="DB153" s="725"/>
      <c r="DC153" s="725"/>
      <c r="DD153" s="725"/>
      <c r="DE153" s="725"/>
      <c r="DF153" s="725"/>
      <c r="DG153" s="725"/>
      <c r="DH153" s="725"/>
      <c r="DI153" s="725"/>
    </row>
    <row r="154" spans="1:113" ht="12" customHeight="1">
      <c r="A154" s="786" t="s">
        <v>946</v>
      </c>
      <c r="B154" s="848"/>
      <c r="C154" s="848"/>
      <c r="D154" s="848"/>
      <c r="E154" s="848"/>
      <c r="F154" s="849"/>
      <c r="G154" s="848"/>
      <c r="H154" s="848"/>
      <c r="I154" s="848"/>
      <c r="J154" s="862"/>
      <c r="K154" s="858"/>
      <c r="L154" s="862"/>
      <c r="M154" s="862"/>
      <c r="N154" s="862"/>
      <c r="O154" s="862"/>
      <c r="P154" s="858"/>
      <c r="Q154" s="862"/>
      <c r="R154" s="862"/>
      <c r="S154" s="862"/>
      <c r="T154" s="862"/>
      <c r="U154" s="866"/>
      <c r="V154" s="862"/>
      <c r="W154" s="862"/>
      <c r="X154" s="867"/>
      <c r="Y154" s="868"/>
      <c r="Z154" s="866"/>
      <c r="AA154" s="862"/>
      <c r="AB154" s="862"/>
      <c r="AC154" s="862"/>
      <c r="AD154" s="862"/>
      <c r="AE154" s="866"/>
      <c r="AF154" s="862"/>
      <c r="AG154" s="862"/>
      <c r="AH154" s="862"/>
      <c r="AI154" s="862"/>
      <c r="AJ154" s="866"/>
      <c r="AK154" s="869"/>
      <c r="AL154" s="869"/>
      <c r="AM154" s="869"/>
      <c r="AN154" s="862"/>
      <c r="AO154" s="866"/>
      <c r="AP154" s="869"/>
      <c r="AQ154" s="869"/>
      <c r="AR154" s="869"/>
      <c r="AS154" s="862"/>
      <c r="AT154" s="866"/>
      <c r="AU154" s="869"/>
      <c r="AV154" s="869"/>
      <c r="AW154" s="870">
        <f>459/AW$143</f>
        <v>0.19077306733167082</v>
      </c>
      <c r="AX154" s="860"/>
      <c r="AY154" s="858"/>
      <c r="AZ154" s="862"/>
      <c r="BA154" s="862"/>
      <c r="BB154" s="862"/>
      <c r="BC154" s="860"/>
      <c r="BD154" s="858"/>
      <c r="BE154" s="862"/>
      <c r="BF154" s="867"/>
      <c r="BG154" s="867"/>
      <c r="BH154" s="867"/>
      <c r="BI154" s="866"/>
      <c r="BJ154" s="850"/>
      <c r="BK154" s="850"/>
      <c r="BL154" s="867"/>
      <c r="BM154" s="850"/>
      <c r="BN154" s="849"/>
      <c r="BO154" s="850"/>
      <c r="BP154" s="850"/>
      <c r="BQ154" s="867"/>
      <c r="BR154" s="850"/>
      <c r="BS154" s="849"/>
      <c r="BT154" s="850"/>
      <c r="BU154" s="850"/>
      <c r="BV154" s="850"/>
      <c r="BW154" s="850"/>
      <c r="BX154" s="849"/>
      <c r="BY154" s="850"/>
      <c r="BZ154" s="850"/>
      <c r="CA154" s="850"/>
      <c r="CB154" s="850"/>
      <c r="CC154" s="849"/>
      <c r="CD154" s="850"/>
      <c r="CE154" s="850"/>
      <c r="CF154" s="850"/>
      <c r="CG154" s="850"/>
      <c r="CH154" s="849"/>
      <c r="CI154" s="850"/>
      <c r="CJ154" s="850"/>
      <c r="CK154" s="850"/>
      <c r="CL154" s="850"/>
      <c r="CM154" s="849"/>
      <c r="CN154" s="850"/>
      <c r="CO154" s="850"/>
      <c r="CP154" s="850"/>
      <c r="CQ154" s="850"/>
      <c r="CR154" s="849"/>
      <c r="CT154" s="852"/>
      <c r="CU154" s="852"/>
      <c r="CW154" s="725"/>
      <c r="CX154" s="725"/>
      <c r="CY154" s="725"/>
      <c r="CZ154" s="725"/>
      <c r="DA154" s="725"/>
      <c r="DB154" s="725"/>
      <c r="DC154" s="725"/>
      <c r="DD154" s="725"/>
      <c r="DE154" s="725"/>
      <c r="DF154" s="725"/>
      <c r="DG154" s="725"/>
      <c r="DH154" s="725"/>
      <c r="DI154" s="725"/>
    </row>
    <row r="155" spans="1:113" ht="12" customHeight="1">
      <c r="A155" s="786" t="s">
        <v>947</v>
      </c>
      <c r="B155" s="848"/>
      <c r="C155" s="848"/>
      <c r="D155" s="848"/>
      <c r="E155" s="848"/>
      <c r="F155" s="849"/>
      <c r="G155" s="848"/>
      <c r="H155" s="848"/>
      <c r="I155" s="848"/>
      <c r="J155" s="862"/>
      <c r="K155" s="858"/>
      <c r="L155" s="862"/>
      <c r="M155" s="862"/>
      <c r="N155" s="862"/>
      <c r="O155" s="862"/>
      <c r="P155" s="858"/>
      <c r="Q155" s="862"/>
      <c r="R155" s="862"/>
      <c r="S155" s="862"/>
      <c r="T155" s="862"/>
      <c r="U155" s="866"/>
      <c r="V155" s="862"/>
      <c r="W155" s="862"/>
      <c r="X155" s="867"/>
      <c r="Y155" s="868"/>
      <c r="Z155" s="866"/>
      <c r="AA155" s="862"/>
      <c r="AB155" s="862"/>
      <c r="AC155" s="862"/>
      <c r="AD155" s="862"/>
      <c r="AE155" s="866"/>
      <c r="AF155" s="862"/>
      <c r="AG155" s="862"/>
      <c r="AH155" s="862"/>
      <c r="AI155" s="862"/>
      <c r="AJ155" s="866"/>
      <c r="AK155" s="869"/>
      <c r="AL155" s="869"/>
      <c r="AM155" s="869"/>
      <c r="AN155" s="862"/>
      <c r="AO155" s="866"/>
      <c r="AP155" s="869"/>
      <c r="AQ155" s="869"/>
      <c r="AR155" s="869"/>
      <c r="AS155" s="862"/>
      <c r="AT155" s="866"/>
      <c r="AU155" s="869"/>
      <c r="AV155" s="869"/>
      <c r="AW155" s="870">
        <f>236/AW$143</f>
        <v>9.8088113050706568E-2</v>
      </c>
      <c r="AX155" s="860"/>
      <c r="AY155" s="858"/>
      <c r="AZ155" s="862"/>
      <c r="BA155" s="862"/>
      <c r="BB155" s="862"/>
      <c r="BC155" s="860"/>
      <c r="BD155" s="858"/>
      <c r="BE155" s="862"/>
      <c r="BF155" s="867"/>
      <c r="BG155" s="867"/>
      <c r="BH155" s="867"/>
      <c r="BI155" s="866"/>
      <c r="BJ155" s="850"/>
      <c r="BK155" s="850"/>
      <c r="BL155" s="867"/>
      <c r="BM155" s="850"/>
      <c r="BN155" s="849"/>
      <c r="BO155" s="850"/>
      <c r="BP155" s="850"/>
      <c r="BQ155" s="867"/>
      <c r="BR155" s="850"/>
      <c r="BS155" s="849"/>
      <c r="BT155" s="850"/>
      <c r="BU155" s="850"/>
      <c r="BV155" s="850"/>
      <c r="BW155" s="850"/>
      <c r="BX155" s="849"/>
      <c r="BY155" s="850"/>
      <c r="BZ155" s="850"/>
      <c r="CA155" s="850"/>
      <c r="CB155" s="850"/>
      <c r="CC155" s="849"/>
      <c r="CD155" s="850"/>
      <c r="CE155" s="850"/>
      <c r="CF155" s="850"/>
      <c r="CG155" s="850"/>
      <c r="CH155" s="849"/>
      <c r="CI155" s="850"/>
      <c r="CJ155" s="850"/>
      <c r="CK155" s="850"/>
      <c r="CL155" s="850"/>
      <c r="CM155" s="849"/>
      <c r="CN155" s="850"/>
      <c r="CO155" s="850"/>
      <c r="CP155" s="850"/>
      <c r="CQ155" s="850"/>
      <c r="CR155" s="849"/>
      <c r="CT155" s="852"/>
      <c r="CU155" s="852"/>
      <c r="CW155" s="725"/>
      <c r="CX155" s="725"/>
      <c r="CY155" s="725"/>
      <c r="CZ155" s="725"/>
      <c r="DA155" s="725"/>
      <c r="DB155" s="725"/>
      <c r="DC155" s="725"/>
      <c r="DD155" s="725"/>
      <c r="DE155" s="725"/>
      <c r="DF155" s="725"/>
      <c r="DG155" s="725"/>
      <c r="DH155" s="725"/>
      <c r="DI155" s="725"/>
    </row>
    <row r="156" spans="1:113" ht="12" customHeight="1">
      <c r="A156" s="847"/>
      <c r="B156" s="848"/>
      <c r="C156" s="848"/>
      <c r="D156" s="848"/>
      <c r="E156" s="848"/>
      <c r="F156" s="849"/>
      <c r="G156" s="848"/>
      <c r="H156" s="848"/>
      <c r="I156" s="848"/>
      <c r="J156" s="848"/>
      <c r="K156" s="849"/>
      <c r="L156" s="850"/>
      <c r="M156" s="850"/>
      <c r="N156" s="850"/>
      <c r="O156" s="850"/>
      <c r="P156" s="851"/>
      <c r="Q156" s="848"/>
      <c r="R156" s="848"/>
      <c r="S156" s="848"/>
      <c r="T156" s="848"/>
      <c r="U156" s="849"/>
      <c r="V156" s="848"/>
      <c r="W156" s="848"/>
      <c r="X156" s="848"/>
      <c r="Y156" s="848"/>
      <c r="Z156" s="849"/>
      <c r="AA156" s="850"/>
      <c r="AB156" s="850"/>
      <c r="AC156" s="850"/>
      <c r="AD156" s="850"/>
      <c r="AE156" s="851"/>
      <c r="AF156" s="850"/>
      <c r="AG156" s="850"/>
      <c r="AH156" s="850"/>
      <c r="AI156" s="850"/>
      <c r="AJ156" s="849"/>
      <c r="AK156" s="850"/>
      <c r="AL156" s="850"/>
      <c r="AM156" s="850"/>
      <c r="AN156" s="850"/>
      <c r="AO156" s="849"/>
      <c r="AP156" s="850"/>
      <c r="AQ156" s="850"/>
      <c r="AR156" s="850"/>
      <c r="AS156" s="850"/>
      <c r="AT156" s="849"/>
      <c r="AU156" s="850"/>
      <c r="AV156" s="850"/>
      <c r="AW156" s="850"/>
      <c r="AX156" s="850"/>
      <c r="AY156" s="849"/>
      <c r="AZ156" s="850"/>
      <c r="BA156" s="850"/>
      <c r="BB156" s="850"/>
      <c r="BC156" s="850"/>
      <c r="BD156" s="849"/>
      <c r="BE156" s="850"/>
      <c r="BF156" s="850"/>
      <c r="BG156" s="850"/>
      <c r="BH156" s="850"/>
      <c r="BI156" s="849"/>
      <c r="BJ156" s="850"/>
      <c r="BK156" s="850"/>
      <c r="BL156" s="850"/>
      <c r="BM156" s="850"/>
      <c r="BN156" s="849"/>
      <c r="BO156" s="850"/>
      <c r="BP156" s="850"/>
      <c r="BQ156" s="850"/>
      <c r="BR156" s="850"/>
      <c r="BS156" s="849"/>
      <c r="BT156" s="850"/>
      <c r="BU156" s="850"/>
      <c r="BV156" s="850"/>
      <c r="BW156" s="850"/>
      <c r="BX156" s="849"/>
      <c r="BY156" s="850"/>
      <c r="BZ156" s="850"/>
      <c r="CA156" s="850"/>
      <c r="CB156" s="850"/>
      <c r="CC156" s="849"/>
      <c r="CD156" s="850"/>
      <c r="CE156" s="850"/>
      <c r="CF156" s="850"/>
      <c r="CG156" s="850"/>
      <c r="CH156" s="849"/>
      <c r="CI156" s="850"/>
      <c r="CJ156" s="850"/>
      <c r="CK156" s="850"/>
      <c r="CL156" s="850"/>
      <c r="CM156" s="849"/>
      <c r="CN156" s="850"/>
      <c r="CO156" s="850"/>
      <c r="CP156" s="850"/>
      <c r="CQ156" s="850"/>
      <c r="CR156" s="849"/>
      <c r="CT156" s="852"/>
      <c r="CU156" s="852"/>
      <c r="CW156" s="725"/>
      <c r="CX156" s="725"/>
      <c r="CY156" s="725"/>
      <c r="CZ156" s="725"/>
      <c r="DA156" s="725"/>
      <c r="DB156" s="725"/>
      <c r="DC156" s="725"/>
      <c r="DD156" s="725"/>
      <c r="DE156" s="725"/>
      <c r="DF156" s="725"/>
      <c r="DG156" s="725"/>
      <c r="DH156" s="725"/>
      <c r="DI156" s="725"/>
    </row>
    <row r="157" spans="1:113" ht="12" customHeight="1">
      <c r="A157" s="774" t="s">
        <v>948</v>
      </c>
      <c r="B157" s="775"/>
      <c r="C157" s="776"/>
      <c r="D157" s="776"/>
      <c r="E157" s="776"/>
      <c r="F157" s="777"/>
      <c r="G157" s="775"/>
      <c r="H157" s="776"/>
      <c r="I157" s="776"/>
      <c r="J157" s="776"/>
      <c r="K157" s="777"/>
      <c r="L157" s="776"/>
      <c r="M157" s="776"/>
      <c r="N157" s="776"/>
      <c r="O157" s="776"/>
      <c r="P157" s="777"/>
      <c r="Q157" s="778"/>
      <c r="R157" s="776"/>
      <c r="S157" s="776"/>
      <c r="T157" s="776"/>
      <c r="U157" s="777"/>
      <c r="V157" s="778"/>
      <c r="W157" s="776"/>
      <c r="X157" s="776"/>
      <c r="Y157" s="776"/>
      <c r="Z157" s="777"/>
      <c r="AA157" s="776"/>
      <c r="AB157" s="776"/>
      <c r="AC157" s="776"/>
      <c r="AD157" s="776"/>
      <c r="AE157" s="777"/>
      <c r="AF157" s="776"/>
      <c r="AG157" s="776"/>
      <c r="AH157" s="776"/>
      <c r="AI157" s="776"/>
      <c r="AJ157" s="777"/>
      <c r="AK157" s="776"/>
      <c r="AL157" s="776"/>
      <c r="AM157" s="776"/>
      <c r="AN157" s="776"/>
      <c r="AO157" s="779"/>
      <c r="AP157" s="776"/>
      <c r="AQ157" s="776"/>
      <c r="AR157" s="776"/>
      <c r="AS157" s="776"/>
      <c r="AT157" s="779"/>
      <c r="AU157" s="776"/>
      <c r="AV157" s="776"/>
      <c r="AW157" s="776"/>
      <c r="AX157" s="776"/>
      <c r="AY157" s="779"/>
      <c r="AZ157" s="776"/>
      <c r="BA157" s="776"/>
      <c r="BB157" s="776"/>
      <c r="BC157" s="776"/>
      <c r="BD157" s="779"/>
      <c r="BE157" s="776"/>
      <c r="BF157" s="776"/>
      <c r="BG157" s="776"/>
      <c r="BH157" s="776"/>
      <c r="BI157" s="779"/>
      <c r="BJ157" s="776"/>
      <c r="BK157" s="776"/>
      <c r="BL157" s="776"/>
      <c r="BM157" s="776"/>
      <c r="BN157" s="779"/>
      <c r="BO157" s="776"/>
      <c r="BP157" s="776"/>
      <c r="BQ157" s="776"/>
      <c r="BR157" s="776"/>
      <c r="BS157" s="779"/>
      <c r="BT157" s="776"/>
      <c r="BU157" s="776"/>
      <c r="BV157" s="776"/>
      <c r="BW157" s="776"/>
      <c r="BX157" s="779"/>
      <c r="BY157" s="776"/>
      <c r="BZ157" s="776"/>
      <c r="CA157" s="776"/>
      <c r="CB157" s="776"/>
      <c r="CC157" s="779"/>
      <c r="CD157" s="776"/>
      <c r="CE157" s="776"/>
      <c r="CF157" s="776"/>
      <c r="CG157" s="776"/>
      <c r="CH157" s="779"/>
      <c r="CI157" s="776"/>
      <c r="CJ157" s="776"/>
      <c r="CK157" s="776"/>
      <c r="CL157" s="776"/>
      <c r="CM157" s="779"/>
      <c r="CN157" s="776"/>
      <c r="CO157" s="776"/>
      <c r="CP157" s="776"/>
      <c r="CQ157" s="776"/>
      <c r="CR157" s="779"/>
      <c r="CT157" s="779"/>
      <c r="CU157" s="779"/>
      <c r="CW157" s="725"/>
      <c r="CX157" s="725"/>
      <c r="CY157" s="725"/>
      <c r="CZ157" s="725"/>
      <c r="DA157" s="725"/>
      <c r="DB157" s="725"/>
      <c r="DC157" s="725"/>
      <c r="DD157" s="725"/>
      <c r="DE157" s="725"/>
      <c r="DF157" s="725"/>
      <c r="DG157" s="725"/>
      <c r="DH157" s="725"/>
      <c r="DI157" s="725"/>
    </row>
    <row r="158" spans="1:113" ht="12" customHeight="1">
      <c r="A158" s="719"/>
      <c r="B158" s="720"/>
      <c r="C158" s="871"/>
      <c r="D158" s="871"/>
      <c r="E158" s="871"/>
      <c r="F158" s="722"/>
      <c r="G158" s="720"/>
      <c r="H158" s="871"/>
      <c r="I158" s="871"/>
      <c r="J158" s="871"/>
      <c r="K158" s="722"/>
      <c r="L158" s="871"/>
      <c r="M158" s="871"/>
      <c r="N158" s="871"/>
      <c r="O158" s="871"/>
      <c r="P158" s="722"/>
      <c r="Q158" s="720"/>
      <c r="R158" s="871"/>
      <c r="S158" s="871"/>
      <c r="T158" s="871"/>
      <c r="U158" s="722"/>
      <c r="V158" s="720"/>
      <c r="W158" s="871"/>
      <c r="X158" s="871"/>
      <c r="Y158" s="871"/>
      <c r="Z158" s="722"/>
      <c r="AA158" s="871"/>
      <c r="AB158" s="871"/>
      <c r="AC158" s="871"/>
      <c r="AD158" s="871"/>
      <c r="AE158" s="722"/>
      <c r="AF158" s="871"/>
      <c r="AG158" s="871"/>
      <c r="AH158" s="871"/>
      <c r="AI158" s="871"/>
      <c r="AJ158" s="722"/>
      <c r="AK158" s="871"/>
      <c r="AL158" s="871"/>
      <c r="AM158" s="871"/>
      <c r="AN158" s="871"/>
      <c r="AO158" s="723"/>
      <c r="AP158" s="871"/>
      <c r="AQ158" s="871"/>
      <c r="AR158" s="871"/>
      <c r="AS158" s="871"/>
      <c r="AT158" s="723"/>
      <c r="AU158" s="871"/>
      <c r="AV158" s="871"/>
      <c r="AW158" s="871"/>
      <c r="AX158" s="871"/>
      <c r="AY158" s="723"/>
      <c r="AZ158" s="871"/>
      <c r="BA158" s="871"/>
      <c r="BB158" s="871"/>
      <c r="BC158" s="871"/>
      <c r="BD158" s="723"/>
      <c r="BE158" s="871"/>
      <c r="BF158" s="871"/>
      <c r="BG158" s="871"/>
      <c r="BH158" s="871"/>
      <c r="BI158" s="723"/>
      <c r="BJ158" s="871"/>
      <c r="BK158" s="871"/>
      <c r="BL158" s="871"/>
      <c r="BM158" s="871"/>
      <c r="BN158" s="723"/>
      <c r="BO158" s="871"/>
      <c r="BP158" s="871"/>
      <c r="BQ158" s="871"/>
      <c r="BR158" s="871"/>
      <c r="BS158" s="723"/>
      <c r="BT158" s="871"/>
      <c r="BU158" s="871"/>
      <c r="BV158" s="871"/>
      <c r="BW158" s="871"/>
      <c r="BX158" s="723"/>
      <c r="BY158" s="871"/>
      <c r="BZ158" s="871"/>
      <c r="CA158" s="871"/>
      <c r="CB158" s="871"/>
      <c r="CC158" s="723"/>
      <c r="CD158" s="871"/>
      <c r="CE158" s="871"/>
      <c r="CF158" s="871"/>
      <c r="CG158" s="871"/>
      <c r="CH158" s="723"/>
      <c r="CI158" s="871"/>
      <c r="CJ158" s="871"/>
      <c r="CK158" s="871"/>
      <c r="CL158" s="871"/>
      <c r="CM158" s="723"/>
      <c r="CN158" s="871"/>
      <c r="CO158" s="871"/>
      <c r="CP158" s="871"/>
      <c r="CQ158" s="871"/>
      <c r="CR158" s="723"/>
      <c r="CT158" s="723"/>
      <c r="CU158" s="723"/>
      <c r="CW158" s="725"/>
      <c r="CX158" s="725"/>
      <c r="CY158" s="725"/>
      <c r="CZ158" s="725"/>
      <c r="DA158" s="725"/>
      <c r="DB158" s="725"/>
      <c r="DC158" s="725"/>
      <c r="DD158" s="725"/>
      <c r="DE158" s="725"/>
      <c r="DF158" s="725"/>
      <c r="DG158" s="725"/>
      <c r="DH158" s="725"/>
      <c r="DI158" s="725"/>
    </row>
    <row r="159" spans="1:113" ht="12" customHeight="1">
      <c r="A159" s="872" t="s">
        <v>949</v>
      </c>
      <c r="B159" s="720"/>
      <c r="C159" s="871"/>
      <c r="D159" s="871"/>
      <c r="E159" s="871"/>
      <c r="F159" s="722"/>
      <c r="G159" s="720"/>
      <c r="H159" s="871"/>
      <c r="I159" s="871"/>
      <c r="J159" s="871"/>
      <c r="K159" s="722"/>
      <c r="L159" s="871"/>
      <c r="M159" s="871"/>
      <c r="N159" s="871"/>
      <c r="O159" s="871"/>
      <c r="P159" s="873"/>
      <c r="Q159" s="874"/>
      <c r="R159" s="874"/>
      <c r="S159" s="874"/>
      <c r="T159" s="875"/>
      <c r="U159" s="873"/>
      <c r="V159" s="876"/>
      <c r="W159" s="876"/>
      <c r="X159" s="876"/>
      <c r="Y159" s="876"/>
      <c r="Z159" s="873"/>
      <c r="AA159" s="877"/>
      <c r="AB159" s="878"/>
      <c r="AC159" s="878"/>
      <c r="AD159" s="879"/>
      <c r="AE159" s="880"/>
      <c r="AF159" s="877"/>
      <c r="AG159" s="877"/>
      <c r="AH159" s="877"/>
      <c r="AI159" s="879"/>
      <c r="AJ159" s="880"/>
      <c r="AK159" s="877"/>
      <c r="AL159" s="877"/>
      <c r="AM159" s="877"/>
      <c r="AN159" s="879"/>
      <c r="AO159" s="880">
        <v>197.245</v>
      </c>
      <c r="AP159" s="877"/>
      <c r="AQ159" s="877"/>
      <c r="AR159" s="877"/>
      <c r="AS159" s="879"/>
      <c r="AT159" s="880">
        <v>293.75099999999998</v>
      </c>
      <c r="AU159" s="877"/>
      <c r="AV159" s="877">
        <v>77.741</v>
      </c>
      <c r="AW159" s="881">
        <v>81.768000000000001</v>
      </c>
      <c r="AX159" s="879"/>
      <c r="AY159" s="880">
        <f>295.923+20.403</f>
        <v>316.32600000000002</v>
      </c>
      <c r="AZ159" s="882">
        <v>63.317999999999998</v>
      </c>
      <c r="BA159" s="881">
        <v>74.902000000000001</v>
      </c>
      <c r="BB159" s="881">
        <v>110.69</v>
      </c>
      <c r="BC159" s="879">
        <f>+BD159-SUM(AZ159:BB159)</f>
        <v>118.07700000000003</v>
      </c>
      <c r="BD159" s="880">
        <v>366.98700000000002</v>
      </c>
      <c r="BE159" s="882">
        <v>134.83500000000001</v>
      </c>
      <c r="BF159" s="881">
        <v>135.797</v>
      </c>
      <c r="BG159" s="881">
        <v>139.46799999999999</v>
      </c>
      <c r="BH159" s="879">
        <f>+BI159-SUM(BE159:BG159)</f>
        <v>139.14599999999996</v>
      </c>
      <c r="BI159" s="880">
        <v>549.24599999999998</v>
      </c>
      <c r="BJ159" s="882">
        <v>135.46799999999999</v>
      </c>
      <c r="BK159" s="881">
        <v>133.35599999999999</v>
      </c>
      <c r="BL159" s="881">
        <v>133.018</v>
      </c>
      <c r="BM159" s="879">
        <f>+BN159-SUM(BJ159:BL159)</f>
        <v>134.47400000000005</v>
      </c>
      <c r="BN159" s="880">
        <v>536.31600000000003</v>
      </c>
      <c r="BO159" s="882">
        <v>128.63800000000001</v>
      </c>
      <c r="BP159" s="881">
        <v>130.39500000000001</v>
      </c>
      <c r="BQ159" s="881">
        <v>130.12100000000001</v>
      </c>
      <c r="BR159" s="879">
        <f>+BS159-SUM(BO159:BQ159)</f>
        <v>131.51999999999998</v>
      </c>
      <c r="BS159" s="880">
        <v>520.67399999999998</v>
      </c>
      <c r="BT159" s="882">
        <v>131.22399999999999</v>
      </c>
      <c r="BU159" s="871"/>
      <c r="BV159" s="871"/>
      <c r="BW159" s="871"/>
      <c r="BX159" s="723"/>
      <c r="BY159" s="871"/>
      <c r="BZ159" s="871"/>
      <c r="CA159" s="871"/>
      <c r="CB159" s="871"/>
      <c r="CC159" s="723"/>
      <c r="CD159" s="871"/>
      <c r="CE159" s="871"/>
      <c r="CF159" s="871"/>
      <c r="CG159" s="871"/>
      <c r="CH159" s="723"/>
      <c r="CI159" s="871"/>
      <c r="CJ159" s="871"/>
      <c r="CK159" s="871"/>
      <c r="CL159" s="871"/>
      <c r="CM159" s="723"/>
      <c r="CN159" s="871"/>
      <c r="CO159" s="871"/>
      <c r="CP159" s="871"/>
      <c r="CQ159" s="871"/>
      <c r="CR159" s="723"/>
      <c r="CT159" s="723"/>
      <c r="CU159" s="723"/>
      <c r="CW159" s="725"/>
      <c r="CX159" s="725"/>
      <c r="CY159" s="725"/>
      <c r="CZ159" s="725"/>
      <c r="DA159" s="725"/>
      <c r="DB159" s="725"/>
      <c r="DC159" s="725"/>
      <c r="DD159" s="725"/>
      <c r="DE159" s="725"/>
      <c r="DF159" s="725"/>
      <c r="DG159" s="725"/>
      <c r="DH159" s="725"/>
      <c r="DI159" s="725"/>
    </row>
    <row r="160" spans="1:113" ht="12" customHeight="1">
      <c r="A160" s="872" t="s">
        <v>451</v>
      </c>
      <c r="B160" s="720"/>
      <c r="C160" s="871"/>
      <c r="D160" s="871"/>
      <c r="E160" s="871"/>
      <c r="F160" s="722"/>
      <c r="G160" s="720"/>
      <c r="H160" s="871"/>
      <c r="I160" s="871"/>
      <c r="J160" s="871"/>
      <c r="K160" s="722"/>
      <c r="L160" s="871"/>
      <c r="M160" s="871"/>
      <c r="N160" s="871"/>
      <c r="O160" s="871"/>
      <c r="P160" s="873"/>
      <c r="Q160" s="874"/>
      <c r="R160" s="874"/>
      <c r="S160" s="874"/>
      <c r="T160" s="875"/>
      <c r="U160" s="873"/>
      <c r="V160" s="876"/>
      <c r="W160" s="876"/>
      <c r="X160" s="876"/>
      <c r="Y160" s="876"/>
      <c r="Z160" s="873"/>
      <c r="AA160" s="877"/>
      <c r="AB160" s="878"/>
      <c r="AC160" s="878"/>
      <c r="AD160" s="879"/>
      <c r="AE160" s="880"/>
      <c r="AF160" s="877"/>
      <c r="AG160" s="877"/>
      <c r="AH160" s="877"/>
      <c r="AI160" s="879"/>
      <c r="AJ160" s="880"/>
      <c r="AK160" s="877"/>
      <c r="AL160" s="877"/>
      <c r="AM160" s="877"/>
      <c r="AN160" s="879"/>
      <c r="AO160" s="880">
        <v>3.5939999999999999</v>
      </c>
      <c r="AP160" s="877"/>
      <c r="AQ160" s="877"/>
      <c r="AR160" s="877"/>
      <c r="AS160" s="879"/>
      <c r="AT160" s="880">
        <v>6.2709999999999999</v>
      </c>
      <c r="AU160" s="877"/>
      <c r="AV160" s="877">
        <v>1.373</v>
      </c>
      <c r="AW160" s="881">
        <v>1.607</v>
      </c>
      <c r="AX160" s="879"/>
      <c r="AY160" s="880">
        <f>6.226+0.463</f>
        <v>6.6890000000000001</v>
      </c>
      <c r="AZ160" s="882">
        <v>1.3240000000000001</v>
      </c>
      <c r="BA160" s="881">
        <v>1.298</v>
      </c>
      <c r="BB160" s="881">
        <v>20.367000000000001</v>
      </c>
      <c r="BC160" s="879">
        <f>+BD160-SUM(AZ160:BB160)</f>
        <v>20.440999999999999</v>
      </c>
      <c r="BD160" s="880">
        <v>43.43</v>
      </c>
      <c r="BE160" s="882">
        <v>19.943999999999999</v>
      </c>
      <c r="BF160" s="881">
        <v>18.984999999999999</v>
      </c>
      <c r="BG160" s="881">
        <v>20.12</v>
      </c>
      <c r="BH160" s="879">
        <f>+BI160-SUM(BE160:BG160)</f>
        <v>22.012999999999991</v>
      </c>
      <c r="BI160" s="880">
        <v>81.061999999999998</v>
      </c>
      <c r="BJ160" s="882">
        <v>19.254999999999999</v>
      </c>
      <c r="BK160" s="881">
        <v>20.018999999999998</v>
      </c>
      <c r="BL160" s="881">
        <v>19.404</v>
      </c>
      <c r="BM160" s="879">
        <f>+BN160-SUM(BJ160:BL160)</f>
        <v>19.179000000000002</v>
      </c>
      <c r="BN160" s="880">
        <v>77.856999999999999</v>
      </c>
      <c r="BO160" s="882">
        <v>17.951000000000001</v>
      </c>
      <c r="BP160" s="881">
        <v>16.553000000000001</v>
      </c>
      <c r="BQ160" s="881">
        <v>16.606999999999999</v>
      </c>
      <c r="BR160" s="879">
        <f>+BS160-SUM(BO160:BQ160)</f>
        <v>16.575000000000003</v>
      </c>
      <c r="BS160" s="880">
        <v>67.686000000000007</v>
      </c>
      <c r="BT160" s="882">
        <v>16.765999999999998</v>
      </c>
      <c r="BU160" s="871"/>
      <c r="BV160" s="871"/>
      <c r="BW160" s="871"/>
      <c r="BX160" s="723"/>
      <c r="BY160" s="871"/>
      <c r="BZ160" s="871"/>
      <c r="CA160" s="871"/>
      <c r="CB160" s="871"/>
      <c r="CC160" s="723"/>
      <c r="CD160" s="871"/>
      <c r="CE160" s="871"/>
      <c r="CF160" s="871"/>
      <c r="CG160" s="871"/>
      <c r="CH160" s="723"/>
      <c r="CI160" s="871"/>
      <c r="CJ160" s="871"/>
      <c r="CK160" s="871"/>
      <c r="CL160" s="871"/>
      <c r="CM160" s="723"/>
      <c r="CN160" s="871"/>
      <c r="CO160" s="871"/>
      <c r="CP160" s="871"/>
      <c r="CQ160" s="871"/>
      <c r="CR160" s="723"/>
      <c r="CT160" s="723"/>
      <c r="CU160" s="723"/>
      <c r="CW160" s="725"/>
      <c r="CX160" s="725"/>
      <c r="CY160" s="725"/>
      <c r="CZ160" s="725"/>
      <c r="DA160" s="725"/>
      <c r="DB160" s="725"/>
      <c r="DC160" s="725"/>
      <c r="DD160" s="725"/>
      <c r="DE160" s="725"/>
      <c r="DF160" s="725"/>
      <c r="DG160" s="725"/>
      <c r="DH160" s="725"/>
      <c r="DI160" s="725"/>
    </row>
    <row r="161" spans="1:117" ht="12" customHeight="1">
      <c r="A161" s="872" t="s">
        <v>950</v>
      </c>
      <c r="B161" s="720"/>
      <c r="C161" s="871"/>
      <c r="D161" s="871"/>
      <c r="E161" s="871"/>
      <c r="F161" s="722"/>
      <c r="G161" s="720"/>
      <c r="H161" s="871"/>
      <c r="I161" s="871"/>
      <c r="J161" s="871"/>
      <c r="K161" s="722"/>
      <c r="L161" s="871"/>
      <c r="M161" s="871"/>
      <c r="N161" s="871"/>
      <c r="O161" s="871"/>
      <c r="P161" s="873"/>
      <c r="Q161" s="874"/>
      <c r="R161" s="874"/>
      <c r="S161" s="874"/>
      <c r="T161" s="875"/>
      <c r="U161" s="873"/>
      <c r="V161" s="876"/>
      <c r="W161" s="876"/>
      <c r="X161" s="876"/>
      <c r="Y161" s="876"/>
      <c r="Z161" s="873"/>
      <c r="AA161" s="877"/>
      <c r="AB161" s="878"/>
      <c r="AC161" s="878"/>
      <c r="AD161" s="879"/>
      <c r="AE161" s="880"/>
      <c r="AF161" s="877"/>
      <c r="AG161" s="877"/>
      <c r="AH161" s="877"/>
      <c r="AI161" s="879"/>
      <c r="AJ161" s="880"/>
      <c r="AK161" s="877"/>
      <c r="AL161" s="877"/>
      <c r="AM161" s="877"/>
      <c r="AN161" s="879"/>
      <c r="AO161" s="880">
        <v>0.36799999999999999</v>
      </c>
      <c r="AP161" s="877"/>
      <c r="AQ161" s="877"/>
      <c r="AR161" s="877"/>
      <c r="AS161" s="879"/>
      <c r="AT161" s="880">
        <v>5.08</v>
      </c>
      <c r="AU161" s="877"/>
      <c r="AV161" s="877">
        <v>2.7029999999999998</v>
      </c>
      <c r="AW161" s="881">
        <v>0.70599999999999996</v>
      </c>
      <c r="AX161" s="879"/>
      <c r="AY161" s="880">
        <f>6.498+0.499</f>
        <v>6.9969999999999999</v>
      </c>
      <c r="AZ161" s="882">
        <v>1.6850000000000001</v>
      </c>
      <c r="BA161" s="881">
        <v>1.879</v>
      </c>
      <c r="BB161" s="881">
        <v>5.9450000000000003</v>
      </c>
      <c r="BC161" s="879">
        <f>+BD161-SUM(AZ161:BB161)</f>
        <v>5.6349999999999998</v>
      </c>
      <c r="BD161" s="880">
        <v>15.144</v>
      </c>
      <c r="BE161" s="882">
        <v>5.6020000000000003</v>
      </c>
      <c r="BF161" s="881">
        <v>5.984</v>
      </c>
      <c r="BG161" s="881">
        <v>5.3049999999999997</v>
      </c>
      <c r="BH161" s="879">
        <f>+BI161-SUM(BE161:BG161)</f>
        <v>5.0160000000000018</v>
      </c>
      <c r="BI161" s="880">
        <v>21.907</v>
      </c>
      <c r="BJ161" s="882">
        <v>5.3970000000000002</v>
      </c>
      <c r="BK161" s="881">
        <v>5.1130000000000004</v>
      </c>
      <c r="BL161" s="881">
        <v>5.0750000000000002</v>
      </c>
      <c r="BM161" s="879">
        <f>+BN161-SUM(BJ161:BL161)</f>
        <v>4.7959999999999994</v>
      </c>
      <c r="BN161" s="880">
        <v>20.381</v>
      </c>
      <c r="BO161" s="882">
        <v>4.5739999999999998</v>
      </c>
      <c r="BP161" s="881">
        <v>5.2439999999999998</v>
      </c>
      <c r="BQ161" s="881">
        <v>4.9269999999999996</v>
      </c>
      <c r="BR161" s="879">
        <f>+BS161-SUM(BO161:BQ161)</f>
        <v>4.5830000000000002</v>
      </c>
      <c r="BS161" s="880">
        <v>19.327999999999999</v>
      </c>
      <c r="BT161" s="882">
        <v>4.62</v>
      </c>
      <c r="BU161" s="871"/>
      <c r="BV161" s="871"/>
      <c r="BW161" s="871"/>
      <c r="BX161" s="723"/>
      <c r="BY161" s="871"/>
      <c r="BZ161" s="871"/>
      <c r="CA161" s="871"/>
      <c r="CB161" s="871"/>
      <c r="CC161" s="723"/>
      <c r="CD161" s="871"/>
      <c r="CE161" s="871"/>
      <c r="CF161" s="871"/>
      <c r="CG161" s="871"/>
      <c r="CH161" s="723"/>
      <c r="CI161" s="871"/>
      <c r="CJ161" s="871"/>
      <c r="CK161" s="871"/>
      <c r="CL161" s="871"/>
      <c r="CM161" s="723"/>
      <c r="CN161" s="871"/>
      <c r="CO161" s="871"/>
      <c r="CP161" s="871"/>
      <c r="CQ161" s="871"/>
      <c r="CR161" s="723"/>
      <c r="CT161" s="723"/>
      <c r="CU161" s="723"/>
      <c r="CW161" s="725"/>
      <c r="CX161" s="725"/>
      <c r="CY161" s="725"/>
      <c r="CZ161" s="725"/>
      <c r="DA161" s="725"/>
      <c r="DB161" s="725"/>
      <c r="DC161" s="725"/>
      <c r="DD161" s="725"/>
      <c r="DE161" s="725"/>
      <c r="DF161" s="725"/>
      <c r="DG161" s="725"/>
      <c r="DH161" s="725"/>
      <c r="DI161" s="725"/>
    </row>
    <row r="162" spans="1:117" ht="12" customHeight="1">
      <c r="A162" s="872"/>
      <c r="B162" s="720"/>
      <c r="C162" s="871"/>
      <c r="D162" s="871"/>
      <c r="E162" s="871"/>
      <c r="F162" s="722"/>
      <c r="G162" s="720"/>
      <c r="H162" s="871"/>
      <c r="I162" s="871"/>
      <c r="J162" s="871"/>
      <c r="K162" s="722"/>
      <c r="L162" s="871"/>
      <c r="M162" s="871"/>
      <c r="N162" s="871"/>
      <c r="O162" s="871"/>
      <c r="P162" s="866"/>
      <c r="Q162" s="874"/>
      <c r="R162" s="874"/>
      <c r="S162" s="874"/>
      <c r="T162" s="875"/>
      <c r="U162" s="883"/>
      <c r="V162" s="884"/>
      <c r="W162" s="884"/>
      <c r="X162" s="885"/>
      <c r="Y162" s="885"/>
      <c r="Z162" s="886"/>
      <c r="AA162" s="885"/>
      <c r="AB162" s="885"/>
      <c r="AC162" s="885"/>
      <c r="AD162" s="885"/>
      <c r="AE162" s="886"/>
      <c r="AF162" s="885"/>
      <c r="AG162" s="885"/>
      <c r="AH162" s="885"/>
      <c r="AI162" s="885"/>
      <c r="AJ162" s="886"/>
      <c r="AK162" s="885"/>
      <c r="AL162" s="885"/>
      <c r="AM162" s="885"/>
      <c r="AN162" s="885"/>
      <c r="AO162" s="886"/>
      <c r="AP162" s="885"/>
      <c r="AQ162" s="885"/>
      <c r="AR162" s="885"/>
      <c r="AS162" s="885"/>
      <c r="AT162" s="886"/>
      <c r="AU162" s="885"/>
      <c r="AV162" s="885"/>
      <c r="AW162" s="885"/>
      <c r="AX162" s="885"/>
      <c r="AY162" s="886"/>
      <c r="AZ162" s="887"/>
      <c r="BA162" s="885"/>
      <c r="BB162" s="885"/>
      <c r="BC162" s="885"/>
      <c r="BD162" s="886"/>
      <c r="BE162" s="887"/>
      <c r="BF162" s="885"/>
      <c r="BG162" s="885"/>
      <c r="BH162" s="885"/>
      <c r="BI162" s="886"/>
      <c r="BJ162" s="871"/>
      <c r="BK162" s="871"/>
      <c r="BL162" s="885"/>
      <c r="BM162" s="885"/>
      <c r="BN162" s="886"/>
      <c r="BO162" s="871"/>
      <c r="BP162" s="871"/>
      <c r="BQ162" s="885"/>
      <c r="BR162" s="885"/>
      <c r="BS162" s="886"/>
      <c r="BT162" s="871"/>
      <c r="BU162" s="871"/>
      <c r="BV162" s="871"/>
      <c r="BW162" s="871"/>
      <c r="BX162" s="723"/>
      <c r="BY162" s="871"/>
      <c r="BZ162" s="871"/>
      <c r="CA162" s="871"/>
      <c r="CB162" s="871"/>
      <c r="CC162" s="723"/>
      <c r="CD162" s="871"/>
      <c r="CE162" s="871"/>
      <c r="CF162" s="871"/>
      <c r="CG162" s="871"/>
      <c r="CH162" s="723"/>
      <c r="CI162" s="871"/>
      <c r="CJ162" s="871"/>
      <c r="CK162" s="871"/>
      <c r="CL162" s="871"/>
      <c r="CM162" s="723"/>
      <c r="CN162" s="871"/>
      <c r="CO162" s="871"/>
      <c r="CP162" s="871"/>
      <c r="CQ162" s="871"/>
      <c r="CR162" s="723"/>
      <c r="CT162" s="723"/>
      <c r="CU162" s="723"/>
      <c r="CW162" s="725"/>
      <c r="CX162" s="725"/>
      <c r="CY162" s="725"/>
      <c r="CZ162" s="725"/>
      <c r="DA162" s="725"/>
      <c r="DB162" s="725"/>
      <c r="DC162" s="725"/>
      <c r="DD162" s="725"/>
      <c r="DE162" s="725"/>
      <c r="DF162" s="725"/>
      <c r="DG162" s="725"/>
      <c r="DH162" s="725"/>
      <c r="DI162" s="725"/>
    </row>
    <row r="163" spans="1:117" ht="12" customHeight="1">
      <c r="A163" s="888" t="s">
        <v>699</v>
      </c>
      <c r="B163" s="720"/>
      <c r="C163" s="871"/>
      <c r="D163" s="871"/>
      <c r="E163" s="871"/>
      <c r="F163" s="722"/>
      <c r="G163" s="720"/>
      <c r="H163" s="871"/>
      <c r="I163" s="871"/>
      <c r="J163" s="871"/>
      <c r="K163" s="722"/>
      <c r="L163" s="871"/>
      <c r="M163" s="871"/>
      <c r="N163" s="871"/>
      <c r="O163" s="871"/>
      <c r="P163" s="886"/>
      <c r="Q163" s="889"/>
      <c r="R163" s="885"/>
      <c r="S163" s="885"/>
      <c r="T163" s="885"/>
      <c r="U163" s="886"/>
      <c r="V163" s="889"/>
      <c r="W163" s="885"/>
      <c r="X163" s="885"/>
      <c r="Y163" s="885"/>
      <c r="Z163" s="886"/>
      <c r="AA163" s="885"/>
      <c r="AB163" s="885"/>
      <c r="AC163" s="885"/>
      <c r="AD163" s="885"/>
      <c r="AE163" s="886"/>
      <c r="AF163" s="885"/>
      <c r="AG163" s="885"/>
      <c r="AH163" s="885"/>
      <c r="AI163" s="885"/>
      <c r="AJ163" s="886"/>
      <c r="AK163" s="885"/>
      <c r="AL163" s="885"/>
      <c r="AM163" s="885"/>
      <c r="AN163" s="885"/>
      <c r="AO163" s="886"/>
      <c r="AP163" s="885"/>
      <c r="AQ163" s="885"/>
      <c r="AR163" s="885"/>
      <c r="AS163" s="885"/>
      <c r="AT163" s="886"/>
      <c r="AU163" s="885"/>
      <c r="AV163" s="885"/>
      <c r="AW163" s="885"/>
      <c r="AX163" s="885"/>
      <c r="AY163" s="886"/>
      <c r="AZ163" s="887"/>
      <c r="BA163" s="885"/>
      <c r="BB163" s="885"/>
      <c r="BC163" s="885"/>
      <c r="BD163" s="886"/>
      <c r="BE163" s="887"/>
      <c r="BF163" s="885"/>
      <c r="BG163" s="885"/>
      <c r="BH163" s="885"/>
      <c r="BI163" s="886"/>
      <c r="BJ163" s="871"/>
      <c r="BK163" s="871"/>
      <c r="BL163" s="885"/>
      <c r="BM163" s="885"/>
      <c r="BN163" s="886"/>
      <c r="BO163" s="871"/>
      <c r="BP163" s="871"/>
      <c r="BQ163" s="885"/>
      <c r="BR163" s="885"/>
      <c r="BS163" s="886"/>
      <c r="BT163" s="871"/>
      <c r="BU163" s="871"/>
      <c r="BV163" s="871"/>
      <c r="BW163" s="871"/>
      <c r="BX163" s="723"/>
      <c r="BY163" s="871"/>
      <c r="BZ163" s="871"/>
      <c r="CA163" s="871"/>
      <c r="CB163" s="871"/>
      <c r="CC163" s="723"/>
      <c r="CD163" s="871"/>
      <c r="CE163" s="871"/>
      <c r="CF163" s="871"/>
      <c r="CG163" s="871"/>
      <c r="CH163" s="723"/>
      <c r="CI163" s="871"/>
      <c r="CJ163" s="871"/>
      <c r="CK163" s="871"/>
      <c r="CL163" s="871"/>
      <c r="CM163" s="723"/>
      <c r="CN163" s="871"/>
      <c r="CO163" s="871"/>
      <c r="CP163" s="871"/>
      <c r="CQ163" s="871"/>
      <c r="CR163" s="723"/>
      <c r="CT163" s="723"/>
      <c r="CU163" s="723"/>
      <c r="CW163" s="725"/>
      <c r="CX163" s="725"/>
      <c r="CY163" s="725"/>
      <c r="CZ163" s="725"/>
      <c r="DA163" s="725"/>
      <c r="DB163" s="725"/>
      <c r="DC163" s="725"/>
      <c r="DD163" s="725"/>
      <c r="DE163" s="725"/>
      <c r="DF163" s="725"/>
      <c r="DG163" s="725"/>
      <c r="DH163" s="725"/>
      <c r="DI163" s="725"/>
    </row>
    <row r="164" spans="1:117" ht="12" customHeight="1">
      <c r="A164" s="872" t="str">
        <f>A159</f>
        <v>Americas</v>
      </c>
      <c r="B164" s="720"/>
      <c r="C164" s="871"/>
      <c r="D164" s="871"/>
      <c r="E164" s="871"/>
      <c r="F164" s="722"/>
      <c r="G164" s="720"/>
      <c r="H164" s="871"/>
      <c r="I164" s="871"/>
      <c r="J164" s="871"/>
      <c r="K164" s="722"/>
      <c r="L164" s="871"/>
      <c r="M164" s="871"/>
      <c r="N164" s="871"/>
      <c r="O164" s="871"/>
      <c r="P164" s="865"/>
      <c r="Q164" s="885"/>
      <c r="R164" s="885"/>
      <c r="S164" s="889"/>
      <c r="T164" s="885"/>
      <c r="U164" s="865"/>
      <c r="V164" s="864"/>
      <c r="W164" s="864"/>
      <c r="X164" s="864"/>
      <c r="Y164" s="864"/>
      <c r="Z164" s="865"/>
      <c r="AA164" s="864"/>
      <c r="AB164" s="864"/>
      <c r="AC164" s="864"/>
      <c r="AD164" s="864"/>
      <c r="AE164" s="865"/>
      <c r="AF164" s="864"/>
      <c r="AG164" s="864"/>
      <c r="AH164" s="864"/>
      <c r="AI164" s="864"/>
      <c r="AJ164" s="865"/>
      <c r="AK164" s="864"/>
      <c r="AL164" s="864"/>
      <c r="AM164" s="864"/>
      <c r="AN164" s="864"/>
      <c r="AO164" s="865">
        <f>+AO159/AO$29</f>
        <v>0.9803088361736918</v>
      </c>
      <c r="AP164" s="864"/>
      <c r="AQ164" s="864"/>
      <c r="AR164" s="864"/>
      <c r="AS164" s="864"/>
      <c r="AT164" s="865">
        <f>+AT159/AT$29</f>
        <v>0.96279604853458844</v>
      </c>
      <c r="AU164" s="864"/>
      <c r="AV164" s="890">
        <f t="shared" ref="AV164:AW166" si="52">+AV159/AV$29</f>
        <v>0.95018150262170464</v>
      </c>
      <c r="AW164" s="890">
        <f t="shared" si="52"/>
        <v>0.97249081243087032</v>
      </c>
      <c r="AX164" s="864"/>
      <c r="AY164" s="865">
        <f t="shared" ref="AY164:BT166" si="53">+AY159/AY$29</f>
        <v>0.95852878077160841</v>
      </c>
      <c r="AZ164" s="891">
        <f t="shared" si="53"/>
        <v>0.95463385951422497</v>
      </c>
      <c r="BA164" s="890">
        <f t="shared" si="53"/>
        <v>0.95931044198824278</v>
      </c>
      <c r="BB164" s="890">
        <f t="shared" si="53"/>
        <v>0.80794440957066316</v>
      </c>
      <c r="BC164" s="890">
        <f t="shared" si="53"/>
        <v>0.8191088634991992</v>
      </c>
      <c r="BD164" s="865">
        <f t="shared" si="53"/>
        <v>0.86236050765930161</v>
      </c>
      <c r="BE164" s="891">
        <f t="shared" si="53"/>
        <v>0.84071679313634418</v>
      </c>
      <c r="BF164" s="890">
        <f t="shared" si="53"/>
        <v>0.84516044711095606</v>
      </c>
      <c r="BG164" s="890">
        <f t="shared" si="53"/>
        <v>0.84580910044695656</v>
      </c>
      <c r="BH164" s="890">
        <f t="shared" si="53"/>
        <v>0.83689291191772142</v>
      </c>
      <c r="BI164" s="865">
        <f t="shared" si="53"/>
        <v>0.84212414617879061</v>
      </c>
      <c r="BJ164" s="891">
        <f t="shared" si="53"/>
        <v>0.84604046964776414</v>
      </c>
      <c r="BK164" s="890">
        <f t="shared" si="53"/>
        <v>0.8414264802382514</v>
      </c>
      <c r="BL164" s="890">
        <f t="shared" si="53"/>
        <v>0.84457481729810724</v>
      </c>
      <c r="BM164" s="890">
        <f t="shared" si="53"/>
        <v>0.84868948368244712</v>
      </c>
      <c r="BN164" s="865">
        <f t="shared" si="53"/>
        <v>0.84518575251278849</v>
      </c>
      <c r="BO164" s="891">
        <f t="shared" si="53"/>
        <v>0.85098866786184446</v>
      </c>
      <c r="BP164" s="890">
        <f t="shared" si="53"/>
        <v>0.85677959419680405</v>
      </c>
      <c r="BQ164" s="890">
        <f t="shared" si="53"/>
        <v>0.85800665985295577</v>
      </c>
      <c r="BR164" s="890">
        <f t="shared" si="53"/>
        <v>0.86142076789059319</v>
      </c>
      <c r="BS164" s="865">
        <f t="shared" si="53"/>
        <v>0.85681139005542317</v>
      </c>
      <c r="BT164" s="891">
        <f t="shared" si="53"/>
        <v>0.85986501539872862</v>
      </c>
      <c r="BU164" s="871"/>
      <c r="BV164" s="871"/>
      <c r="BW164" s="871"/>
      <c r="BX164" s="723"/>
      <c r="BY164" s="871"/>
      <c r="BZ164" s="871"/>
      <c r="CA164" s="871"/>
      <c r="CB164" s="871"/>
      <c r="CC164" s="723"/>
      <c r="CD164" s="871"/>
      <c r="CE164" s="871"/>
      <c r="CF164" s="871"/>
      <c r="CG164" s="871"/>
      <c r="CH164" s="723"/>
      <c r="CI164" s="871"/>
      <c r="CJ164" s="871"/>
      <c r="CK164" s="871"/>
      <c r="CL164" s="871"/>
      <c r="CM164" s="723"/>
      <c r="CN164" s="871"/>
      <c r="CO164" s="871"/>
      <c r="CP164" s="871"/>
      <c r="CQ164" s="871"/>
      <c r="CR164" s="723"/>
      <c r="CT164" s="723"/>
      <c r="CU164" s="723"/>
      <c r="CW164" s="725"/>
      <c r="CX164" s="725"/>
      <c r="CY164" s="725"/>
      <c r="CZ164" s="725"/>
      <c r="DA164" s="725"/>
      <c r="DB164" s="725"/>
      <c r="DC164" s="725"/>
      <c r="DD164" s="725"/>
      <c r="DE164" s="725"/>
      <c r="DF164" s="725"/>
      <c r="DG164" s="725"/>
      <c r="DH164" s="725"/>
      <c r="DI164" s="725"/>
    </row>
    <row r="165" spans="1:117" ht="12" customHeight="1">
      <c r="A165" s="872" t="s">
        <v>451</v>
      </c>
      <c r="B165" s="720"/>
      <c r="C165" s="871"/>
      <c r="D165" s="871"/>
      <c r="E165" s="871"/>
      <c r="F165" s="722"/>
      <c r="G165" s="720"/>
      <c r="H165" s="871"/>
      <c r="I165" s="871"/>
      <c r="J165" s="871"/>
      <c r="K165" s="722"/>
      <c r="L165" s="871"/>
      <c r="M165" s="871"/>
      <c r="N165" s="871"/>
      <c r="O165" s="871"/>
      <c r="P165" s="865"/>
      <c r="Q165" s="864"/>
      <c r="R165" s="864"/>
      <c r="S165" s="864"/>
      <c r="T165" s="864"/>
      <c r="U165" s="865"/>
      <c r="V165" s="892"/>
      <c r="W165" s="864"/>
      <c r="X165" s="892"/>
      <c r="Y165" s="892"/>
      <c r="Z165" s="865"/>
      <c r="AA165" s="864"/>
      <c r="AB165" s="864"/>
      <c r="AC165" s="864"/>
      <c r="AD165" s="864"/>
      <c r="AE165" s="865"/>
      <c r="AF165" s="864"/>
      <c r="AG165" s="864"/>
      <c r="AH165" s="864"/>
      <c r="AI165" s="864"/>
      <c r="AJ165" s="865"/>
      <c r="AK165" s="864"/>
      <c r="AL165" s="864"/>
      <c r="AM165" s="864"/>
      <c r="AN165" s="864"/>
      <c r="AO165" s="865">
        <f>+AO160/AO$29</f>
        <v>1.7862201613263951E-2</v>
      </c>
      <c r="AP165" s="864"/>
      <c r="AQ165" s="864"/>
      <c r="AR165" s="864"/>
      <c r="AS165" s="864"/>
      <c r="AT165" s="865">
        <f>+AT160/AT$29</f>
        <v>2.0553782013883883E-2</v>
      </c>
      <c r="AU165" s="864"/>
      <c r="AV165" s="890">
        <f t="shared" si="52"/>
        <v>1.6781353508439567E-2</v>
      </c>
      <c r="AW165" s="890">
        <f t="shared" si="52"/>
        <v>1.911252244859124E-2</v>
      </c>
      <c r="AX165" s="864"/>
      <c r="AY165" s="865">
        <f t="shared" si="53"/>
        <v>2.0268959916609094E-2</v>
      </c>
      <c r="AZ165" s="891">
        <f t="shared" si="53"/>
        <v>1.9961704886396189E-2</v>
      </c>
      <c r="BA165" s="890">
        <f t="shared" si="53"/>
        <v>1.6624188322084045E-2</v>
      </c>
      <c r="BB165" s="890">
        <f t="shared" si="53"/>
        <v>0.14866206332754267</v>
      </c>
      <c r="BC165" s="890">
        <f t="shared" si="53"/>
        <v>0.14180072561791987</v>
      </c>
      <c r="BD165" s="865">
        <f t="shared" si="53"/>
        <v>0.10205352464159075</v>
      </c>
      <c r="BE165" s="891">
        <f t="shared" si="53"/>
        <v>0.1243538823177309</v>
      </c>
      <c r="BF165" s="890">
        <f t="shared" si="53"/>
        <v>0.11815703652070003</v>
      </c>
      <c r="BG165" s="890">
        <f t="shared" si="53"/>
        <v>0.12201852110156286</v>
      </c>
      <c r="BH165" s="890">
        <f t="shared" si="53"/>
        <v>0.1323970769554626</v>
      </c>
      <c r="BI165" s="865">
        <f t="shared" si="53"/>
        <v>0.1242872365707627</v>
      </c>
      <c r="BJ165" s="891">
        <f t="shared" si="53"/>
        <v>0.12025355983012739</v>
      </c>
      <c r="BK165" s="890">
        <f t="shared" si="53"/>
        <v>0.12631240220079754</v>
      </c>
      <c r="BL165" s="890">
        <f t="shared" si="53"/>
        <v>0.12320234671136591</v>
      </c>
      <c r="BM165" s="890">
        <f t="shared" si="53"/>
        <v>0.12104210187505131</v>
      </c>
      <c r="BN165" s="865">
        <f t="shared" si="53"/>
        <v>0.12269562558899635</v>
      </c>
      <c r="BO165" s="891">
        <f t="shared" si="53"/>
        <v>0.11875260480408566</v>
      </c>
      <c r="BP165" s="890">
        <f t="shared" si="53"/>
        <v>0.10876392977291842</v>
      </c>
      <c r="BQ165" s="890">
        <f t="shared" si="53"/>
        <v>0.10950512676799314</v>
      </c>
      <c r="BR165" s="890">
        <f t="shared" si="53"/>
        <v>0.1085618098219783</v>
      </c>
      <c r="BS165" s="865">
        <f t="shared" si="53"/>
        <v>0.11138281486552311</v>
      </c>
      <c r="BT165" s="891">
        <f t="shared" si="53"/>
        <v>0.10986173907345519</v>
      </c>
      <c r="BU165" s="871"/>
      <c r="BV165" s="871"/>
      <c r="BW165" s="871"/>
      <c r="BX165" s="723"/>
      <c r="BY165" s="871"/>
      <c r="BZ165" s="871"/>
      <c r="CA165" s="871"/>
      <c r="CB165" s="871"/>
      <c r="CC165" s="723"/>
      <c r="CD165" s="871"/>
      <c r="CE165" s="871"/>
      <c r="CF165" s="871"/>
      <c r="CG165" s="871"/>
      <c r="CH165" s="723"/>
      <c r="CI165" s="871"/>
      <c r="CJ165" s="871"/>
      <c r="CK165" s="871"/>
      <c r="CL165" s="871"/>
      <c r="CM165" s="723"/>
      <c r="CN165" s="871"/>
      <c r="CO165" s="871"/>
      <c r="CP165" s="871"/>
      <c r="CQ165" s="871"/>
      <c r="CR165" s="723"/>
      <c r="CT165" s="723"/>
      <c r="CU165" s="723"/>
      <c r="CW165" s="725"/>
      <c r="CX165" s="725"/>
      <c r="CY165" s="725"/>
      <c r="CZ165" s="725"/>
      <c r="DA165" s="725"/>
      <c r="DB165" s="725"/>
      <c r="DC165" s="725"/>
      <c r="DD165" s="725"/>
      <c r="DE165" s="725"/>
      <c r="DF165" s="725"/>
      <c r="DG165" s="725"/>
      <c r="DH165" s="725"/>
      <c r="DI165" s="725"/>
    </row>
    <row r="166" spans="1:117" ht="12" customHeight="1">
      <c r="A166" s="872" t="s">
        <v>950</v>
      </c>
      <c r="B166" s="720"/>
      <c r="C166" s="871"/>
      <c r="D166" s="871"/>
      <c r="E166" s="871"/>
      <c r="F166" s="722"/>
      <c r="G166" s="720"/>
      <c r="H166" s="871"/>
      <c r="I166" s="871"/>
      <c r="J166" s="871"/>
      <c r="K166" s="722"/>
      <c r="L166" s="871"/>
      <c r="M166" s="871"/>
      <c r="N166" s="871"/>
      <c r="O166" s="871"/>
      <c r="P166" s="865"/>
      <c r="Q166" s="864"/>
      <c r="R166" s="864"/>
      <c r="S166" s="864"/>
      <c r="T166" s="864"/>
      <c r="U166" s="865"/>
      <c r="V166" s="892"/>
      <c r="W166" s="864"/>
      <c r="X166" s="892"/>
      <c r="Y166" s="892"/>
      <c r="Z166" s="865"/>
      <c r="AA166" s="864"/>
      <c r="AB166" s="864"/>
      <c r="AC166" s="864"/>
      <c r="AD166" s="864"/>
      <c r="AE166" s="865"/>
      <c r="AF166" s="864"/>
      <c r="AG166" s="864"/>
      <c r="AH166" s="864"/>
      <c r="AI166" s="864"/>
      <c r="AJ166" s="865"/>
      <c r="AK166" s="864"/>
      <c r="AL166" s="864"/>
      <c r="AM166" s="864"/>
      <c r="AN166" s="864"/>
      <c r="AO166" s="865">
        <f>+AO161/AO$29</f>
        <v>1.8289622130442779E-3</v>
      </c>
      <c r="AP166" s="864"/>
      <c r="AQ166" s="864"/>
      <c r="AR166" s="864"/>
      <c r="AS166" s="864"/>
      <c r="AT166" s="865">
        <f>+AT161/AT$29</f>
        <v>1.6650169451527686E-2</v>
      </c>
      <c r="AU166" s="864"/>
      <c r="AV166" s="890">
        <f t="shared" si="52"/>
        <v>3.3037143869855901E-2</v>
      </c>
      <c r="AW166" s="890">
        <f t="shared" si="52"/>
        <v>8.3966651205385281E-3</v>
      </c>
      <c r="AX166" s="864"/>
      <c r="AY166" s="865">
        <f t="shared" si="53"/>
        <v>2.1202259311782601E-2</v>
      </c>
      <c r="AZ166" s="891">
        <f t="shared" si="53"/>
        <v>2.5404435599378838E-2</v>
      </c>
      <c r="BA166" s="890">
        <f t="shared" si="53"/>
        <v>2.406536968967328E-2</v>
      </c>
      <c r="BB166" s="890">
        <f t="shared" si="53"/>
        <v>4.3393527101794137E-2</v>
      </c>
      <c r="BC166" s="890">
        <f t="shared" si="53"/>
        <v>3.9090410882881392E-2</v>
      </c>
      <c r="BD166" s="865">
        <f t="shared" si="53"/>
        <v>3.5585967699107768E-2</v>
      </c>
      <c r="BE166" s="891">
        <f t="shared" si="53"/>
        <v>3.4929324545925018E-2</v>
      </c>
      <c r="BF166" s="890">
        <f t="shared" si="53"/>
        <v>3.7242649804575666E-2</v>
      </c>
      <c r="BG166" s="890">
        <f t="shared" si="53"/>
        <v>3.217237845148066E-2</v>
      </c>
      <c r="BH166" s="890">
        <f t="shared" si="53"/>
        <v>3.0168706582864711E-2</v>
      </c>
      <c r="BI166" s="865">
        <f t="shared" si="53"/>
        <v>3.3588617250446554E-2</v>
      </c>
      <c r="BJ166" s="891">
        <f t="shared" si="53"/>
        <v>3.3705970522108421E-2</v>
      </c>
      <c r="BK166" s="890">
        <f t="shared" si="53"/>
        <v>3.2261117560950993E-2</v>
      </c>
      <c r="BL166" s="890">
        <f t="shared" si="53"/>
        <v>3.2222835990526805E-2</v>
      </c>
      <c r="BM166" s="890">
        <f t="shared" si="53"/>
        <v>3.0268414442502004E-2</v>
      </c>
      <c r="BN166" s="865">
        <f t="shared" si="53"/>
        <v>3.211862189821512E-2</v>
      </c>
      <c r="BO166" s="891">
        <f t="shared" si="53"/>
        <v>3.025872733406984E-2</v>
      </c>
      <c r="BP166" s="890">
        <f t="shared" si="53"/>
        <v>3.4456476030277544E-2</v>
      </c>
      <c r="BQ166" s="890">
        <f t="shared" si="53"/>
        <v>3.2488213379051133E-2</v>
      </c>
      <c r="BR166" s="890">
        <f t="shared" si="53"/>
        <v>3.0017422287428448E-2</v>
      </c>
      <c r="BS166" s="865">
        <f t="shared" si="53"/>
        <v>3.1805795079053727E-2</v>
      </c>
      <c r="BT166" s="891">
        <f t="shared" si="53"/>
        <v>3.0273245527816E-2</v>
      </c>
      <c r="BU166" s="871"/>
      <c r="BV166" s="871"/>
      <c r="BW166" s="871"/>
      <c r="BX166" s="723"/>
      <c r="BY166" s="871"/>
      <c r="BZ166" s="871"/>
      <c r="CA166" s="871"/>
      <c r="CB166" s="871"/>
      <c r="CC166" s="723"/>
      <c r="CD166" s="871"/>
      <c r="CE166" s="871"/>
      <c r="CF166" s="871"/>
      <c r="CG166" s="871"/>
      <c r="CH166" s="723"/>
      <c r="CI166" s="871"/>
      <c r="CJ166" s="871"/>
      <c r="CK166" s="871"/>
      <c r="CL166" s="871"/>
      <c r="CM166" s="723"/>
      <c r="CN166" s="871"/>
      <c r="CO166" s="871"/>
      <c r="CP166" s="871"/>
      <c r="CQ166" s="871"/>
      <c r="CR166" s="723"/>
      <c r="CT166" s="723"/>
      <c r="CU166" s="723"/>
      <c r="CW166" s="725"/>
      <c r="CX166" s="725"/>
      <c r="CY166" s="725"/>
      <c r="CZ166" s="725"/>
      <c r="DA166" s="725"/>
      <c r="DB166" s="725"/>
      <c r="DC166" s="725"/>
      <c r="DD166" s="725"/>
      <c r="DE166" s="725"/>
      <c r="DF166" s="725"/>
      <c r="DG166" s="725"/>
      <c r="DH166" s="725"/>
      <c r="DI166" s="725"/>
    </row>
    <row r="167" spans="1:117" ht="12" customHeight="1">
      <c r="A167" s="872"/>
      <c r="B167" s="720"/>
      <c r="C167" s="871"/>
      <c r="D167" s="871"/>
      <c r="E167" s="871"/>
      <c r="F167" s="722"/>
      <c r="G167" s="720"/>
      <c r="H167" s="871"/>
      <c r="I167" s="871"/>
      <c r="J167" s="871"/>
      <c r="K167" s="722"/>
      <c r="L167" s="871"/>
      <c r="M167" s="871"/>
      <c r="N167" s="871"/>
      <c r="O167" s="871"/>
      <c r="P167" s="863"/>
      <c r="Q167" s="862"/>
      <c r="R167" s="862"/>
      <c r="S167" s="862"/>
      <c r="T167" s="862"/>
      <c r="U167" s="863"/>
      <c r="V167" s="893"/>
      <c r="W167" s="864"/>
      <c r="X167" s="893"/>
      <c r="Y167" s="893"/>
      <c r="Z167" s="865"/>
      <c r="AA167" s="864"/>
      <c r="AB167" s="864"/>
      <c r="AC167" s="864"/>
      <c r="AD167" s="864"/>
      <c r="AE167" s="865"/>
      <c r="AF167" s="864"/>
      <c r="AG167" s="864"/>
      <c r="AH167" s="864"/>
      <c r="AI167" s="864"/>
      <c r="AJ167" s="865"/>
      <c r="AK167" s="864"/>
      <c r="AL167" s="864"/>
      <c r="AM167" s="864"/>
      <c r="AN167" s="864"/>
      <c r="AO167" s="865"/>
      <c r="AP167" s="864"/>
      <c r="AQ167" s="864"/>
      <c r="AR167" s="864"/>
      <c r="AS167" s="864"/>
      <c r="AT167" s="865"/>
      <c r="AU167" s="864"/>
      <c r="AV167" s="864"/>
      <c r="AW167" s="864"/>
      <c r="AX167" s="864"/>
      <c r="AY167" s="865"/>
      <c r="AZ167" s="864"/>
      <c r="BA167" s="864"/>
      <c r="BB167" s="864"/>
      <c r="BC167" s="864"/>
      <c r="BD167" s="865"/>
      <c r="BE167" s="864"/>
      <c r="BF167" s="864"/>
      <c r="BG167" s="864"/>
      <c r="BH167" s="864"/>
      <c r="BI167" s="865"/>
      <c r="BJ167" s="864"/>
      <c r="BK167" s="864"/>
      <c r="BL167" s="864"/>
      <c r="BM167" s="864"/>
      <c r="BN167" s="865"/>
      <c r="BO167" s="864"/>
      <c r="BP167" s="864"/>
      <c r="BQ167" s="864"/>
      <c r="BR167" s="864"/>
      <c r="BS167" s="865"/>
      <c r="BT167" s="864"/>
      <c r="BU167" s="871"/>
      <c r="BV167" s="871"/>
      <c r="BW167" s="871"/>
      <c r="BX167" s="723"/>
      <c r="BY167" s="871"/>
      <c r="BZ167" s="871"/>
      <c r="CA167" s="871"/>
      <c r="CB167" s="871"/>
      <c r="CC167" s="723"/>
      <c r="CD167" s="871"/>
      <c r="CE167" s="871"/>
      <c r="CF167" s="871"/>
      <c r="CG167" s="871"/>
      <c r="CH167" s="723"/>
      <c r="CI167" s="871"/>
      <c r="CJ167" s="871"/>
      <c r="CK167" s="871"/>
      <c r="CL167" s="871"/>
      <c r="CM167" s="723"/>
      <c r="CN167" s="871"/>
      <c r="CO167" s="871"/>
      <c r="CP167" s="871"/>
      <c r="CQ167" s="871"/>
      <c r="CR167" s="723"/>
      <c r="CT167" s="723"/>
      <c r="CU167" s="723"/>
      <c r="CW167" s="725"/>
      <c r="CX167" s="725"/>
      <c r="CY167" s="725"/>
      <c r="CZ167" s="725"/>
      <c r="DA167" s="725"/>
      <c r="DB167" s="725"/>
      <c r="DC167" s="725"/>
      <c r="DD167" s="725"/>
      <c r="DE167" s="725"/>
      <c r="DF167" s="725"/>
      <c r="DG167" s="725"/>
      <c r="DH167" s="725"/>
      <c r="DI167" s="725"/>
    </row>
    <row r="168" spans="1:117" ht="12" customHeight="1">
      <c r="A168" s="888" t="s">
        <v>230</v>
      </c>
      <c r="B168" s="720"/>
      <c r="C168" s="871"/>
      <c r="D168" s="871"/>
      <c r="E168" s="871"/>
      <c r="F168" s="722"/>
      <c r="G168" s="720"/>
      <c r="H168" s="871"/>
      <c r="I168" s="871"/>
      <c r="J168" s="871"/>
      <c r="K168" s="722"/>
      <c r="L168" s="871"/>
      <c r="M168" s="871"/>
      <c r="N168" s="871"/>
      <c r="O168" s="871"/>
      <c r="P168" s="863"/>
      <c r="Q168" s="862"/>
      <c r="R168" s="862"/>
      <c r="S168" s="862"/>
      <c r="T168" s="862"/>
      <c r="U168" s="863"/>
      <c r="V168" s="893"/>
      <c r="W168" s="864"/>
      <c r="X168" s="893"/>
      <c r="Y168" s="893"/>
      <c r="Z168" s="865"/>
      <c r="AA168" s="864"/>
      <c r="AB168" s="864"/>
      <c r="AC168" s="864"/>
      <c r="AD168" s="864"/>
      <c r="AE168" s="865"/>
      <c r="AF168" s="864"/>
      <c r="AG168" s="864"/>
      <c r="AH168" s="864"/>
      <c r="AI168" s="864"/>
      <c r="AJ168" s="865"/>
      <c r="AK168" s="864"/>
      <c r="AL168" s="864"/>
      <c r="AM168" s="864"/>
      <c r="AN168" s="864"/>
      <c r="AO168" s="865"/>
      <c r="AP168" s="864"/>
      <c r="AQ168" s="864"/>
      <c r="AR168" s="864"/>
      <c r="AS168" s="864"/>
      <c r="AT168" s="865"/>
      <c r="AU168" s="864"/>
      <c r="AV168" s="864"/>
      <c r="AW168" s="864"/>
      <c r="AX168" s="864"/>
      <c r="AY168" s="865"/>
      <c r="AZ168" s="864"/>
      <c r="BA168" s="864"/>
      <c r="BB168" s="864"/>
      <c r="BC168" s="864"/>
      <c r="BD168" s="865"/>
      <c r="BE168" s="864"/>
      <c r="BF168" s="864"/>
      <c r="BG168" s="864"/>
      <c r="BH168" s="864"/>
      <c r="BI168" s="865"/>
      <c r="BJ168" s="864"/>
      <c r="BK168" s="864"/>
      <c r="BL168" s="864"/>
      <c r="BM168" s="864"/>
      <c r="BN168" s="865"/>
      <c r="BO168" s="864"/>
      <c r="BP168" s="864"/>
      <c r="BQ168" s="864"/>
      <c r="BR168" s="864"/>
      <c r="BS168" s="865"/>
      <c r="BT168" s="864"/>
      <c r="BU168" s="871"/>
      <c r="BV168" s="871"/>
      <c r="BW168" s="871"/>
      <c r="BX168" s="723"/>
      <c r="BY168" s="871"/>
      <c r="BZ168" s="871"/>
      <c r="CA168" s="871"/>
      <c r="CB168" s="871"/>
      <c r="CC168" s="723"/>
      <c r="CD168" s="871"/>
      <c r="CE168" s="871"/>
      <c r="CF168" s="871"/>
      <c r="CG168" s="871"/>
      <c r="CH168" s="723"/>
      <c r="CI168" s="871"/>
      <c r="CJ168" s="871"/>
      <c r="CK168" s="871"/>
      <c r="CL168" s="871"/>
      <c r="CM168" s="723"/>
      <c r="CN168" s="871"/>
      <c r="CO168" s="871"/>
      <c r="CP168" s="871"/>
      <c r="CQ168" s="871"/>
      <c r="CR168" s="723"/>
      <c r="CT168" s="723"/>
      <c r="CU168" s="723"/>
      <c r="CW168" s="725"/>
      <c r="CX168" s="725"/>
      <c r="CY168" s="725"/>
      <c r="CZ168" s="725"/>
      <c r="DA168" s="725"/>
      <c r="DB168" s="725"/>
      <c r="DC168" s="725"/>
      <c r="DD168" s="725"/>
      <c r="DE168" s="725"/>
      <c r="DF168" s="725"/>
      <c r="DG168" s="725"/>
      <c r="DH168" s="725"/>
      <c r="DI168" s="725"/>
    </row>
    <row r="169" spans="1:117" ht="12" customHeight="1">
      <c r="A169" s="872" t="str">
        <f>A164</f>
        <v>Americas</v>
      </c>
      <c r="B169" s="720"/>
      <c r="C169" s="871"/>
      <c r="D169" s="871"/>
      <c r="E169" s="871"/>
      <c r="F169" s="722"/>
      <c r="G169" s="720"/>
      <c r="H169" s="871"/>
      <c r="I169" s="871"/>
      <c r="J169" s="871"/>
      <c r="K169" s="722"/>
      <c r="L169" s="871"/>
      <c r="M169" s="871"/>
      <c r="N169" s="871"/>
      <c r="O169" s="871"/>
      <c r="P169" s="863"/>
      <c r="Q169" s="862"/>
      <c r="R169" s="862"/>
      <c r="S169" s="862"/>
      <c r="T169" s="862"/>
      <c r="U169" s="863"/>
      <c r="V169" s="893"/>
      <c r="W169" s="864"/>
      <c r="X169" s="893"/>
      <c r="Y169" s="893"/>
      <c r="Z169" s="865"/>
      <c r="AA169" s="864"/>
      <c r="AB169" s="864"/>
      <c r="AC169" s="864"/>
      <c r="AD169" s="864"/>
      <c r="AE169" s="865"/>
      <c r="AF169" s="864"/>
      <c r="AG169" s="864"/>
      <c r="AH169" s="864"/>
      <c r="AI169" s="864"/>
      <c r="AJ169" s="865"/>
      <c r="AK169" s="864"/>
      <c r="AL169" s="864"/>
      <c r="AM169" s="864"/>
      <c r="AN169" s="864"/>
      <c r="AO169" s="865"/>
      <c r="AP169" s="864"/>
      <c r="AQ169" s="864"/>
      <c r="AR169" s="864"/>
      <c r="AS169" s="864"/>
      <c r="AT169" s="865">
        <f>+AT159/AO159-1</f>
        <v>0.48926968997946707</v>
      </c>
      <c r="AU169" s="864"/>
      <c r="AV169" s="864"/>
      <c r="AW169" s="864"/>
      <c r="AX169" s="864"/>
      <c r="AY169" s="865">
        <f>+AY159/AT159-1</f>
        <v>7.6850802210035152E-2</v>
      </c>
      <c r="AZ169" s="891"/>
      <c r="BA169" s="890">
        <f t="shared" ref="BA169:BT171" si="54">+BA159/AV159-1</f>
        <v>-3.651869669801E-2</v>
      </c>
      <c r="BB169" s="890">
        <f t="shared" si="54"/>
        <v>0.35370805204970157</v>
      </c>
      <c r="BC169" s="890"/>
      <c r="BD169" s="865">
        <f>+BD159/AY159-1</f>
        <v>0.16015439767834438</v>
      </c>
      <c r="BE169" s="891">
        <f t="shared" si="54"/>
        <v>1.1294892447645219</v>
      </c>
      <c r="BF169" s="890">
        <f t="shared" si="54"/>
        <v>0.81299564764625765</v>
      </c>
      <c r="BG169" s="890">
        <f t="shared" si="54"/>
        <v>0.25998735206432366</v>
      </c>
      <c r="BH169" s="890">
        <f t="shared" si="54"/>
        <v>0.17843441144337957</v>
      </c>
      <c r="BI169" s="865">
        <f>+BI159/BD159-1</f>
        <v>0.49663612062552609</v>
      </c>
      <c r="BJ169" s="891">
        <f t="shared" si="54"/>
        <v>4.6946267660472607E-3</v>
      </c>
      <c r="BK169" s="890">
        <f t="shared" si="54"/>
        <v>-1.7975360280418573E-2</v>
      </c>
      <c r="BL169" s="890">
        <f t="shared" si="54"/>
        <v>-4.6247167809103096E-2</v>
      </c>
      <c r="BM169" s="890">
        <f t="shared" si="54"/>
        <v>-3.3576243657740146E-2</v>
      </c>
      <c r="BN169" s="865">
        <f t="shared" si="54"/>
        <v>-2.3541363978981988E-2</v>
      </c>
      <c r="BO169" s="891">
        <f t="shared" si="54"/>
        <v>-5.0417810848318312E-2</v>
      </c>
      <c r="BP169" s="890">
        <f t="shared" si="54"/>
        <v>-2.2203725366687577E-2</v>
      </c>
      <c r="BQ169" s="890">
        <f t="shared" si="54"/>
        <v>-2.1779007352388358E-2</v>
      </c>
      <c r="BR169" s="890">
        <f t="shared" si="54"/>
        <v>-2.1967071701593399E-2</v>
      </c>
      <c r="BS169" s="865">
        <f t="shared" si="54"/>
        <v>-2.9165641151858379E-2</v>
      </c>
      <c r="BT169" s="891">
        <f t="shared" si="54"/>
        <v>2.0102924485766227E-2</v>
      </c>
      <c r="BU169" s="871"/>
      <c r="BV169" s="871"/>
      <c r="BW169" s="871"/>
      <c r="BX169" s="723"/>
      <c r="BY169" s="871"/>
      <c r="BZ169" s="871"/>
      <c r="CA169" s="871"/>
      <c r="CB169" s="871"/>
      <c r="CC169" s="723"/>
      <c r="CD169" s="871"/>
      <c r="CE169" s="871"/>
      <c r="CF169" s="871"/>
      <c r="CG169" s="871"/>
      <c r="CH169" s="723"/>
      <c r="CI169" s="871"/>
      <c r="CJ169" s="871"/>
      <c r="CK169" s="871"/>
      <c r="CL169" s="871"/>
      <c r="CM169" s="723"/>
      <c r="CN169" s="871"/>
      <c r="CO169" s="871"/>
      <c r="CP169" s="871"/>
      <c r="CQ169" s="871"/>
      <c r="CR169" s="723"/>
      <c r="CT169" s="723"/>
      <c r="CU169" s="723"/>
      <c r="CW169" s="725"/>
      <c r="CX169" s="725"/>
      <c r="CY169" s="725"/>
      <c r="CZ169" s="725"/>
      <c r="DA169" s="725"/>
      <c r="DB169" s="725"/>
      <c r="DC169" s="725"/>
      <c r="DD169" s="725"/>
      <c r="DE169" s="725"/>
      <c r="DF169" s="725"/>
      <c r="DG169" s="725"/>
      <c r="DH169" s="725"/>
      <c r="DI169" s="725"/>
    </row>
    <row r="170" spans="1:117" ht="12" customHeight="1">
      <c r="A170" s="872" t="str">
        <f>A165</f>
        <v>Europe</v>
      </c>
      <c r="B170" s="848"/>
      <c r="C170" s="848"/>
      <c r="D170" s="848"/>
      <c r="E170" s="848"/>
      <c r="F170" s="849"/>
      <c r="G170" s="848"/>
      <c r="H170" s="848"/>
      <c r="I170" s="848"/>
      <c r="J170" s="848"/>
      <c r="K170" s="849"/>
      <c r="L170" s="850"/>
      <c r="M170" s="850"/>
      <c r="N170" s="850"/>
      <c r="O170" s="850"/>
      <c r="P170" s="863"/>
      <c r="Q170" s="862"/>
      <c r="R170" s="862"/>
      <c r="S170" s="862"/>
      <c r="T170" s="862"/>
      <c r="U170" s="863"/>
      <c r="V170" s="893"/>
      <c r="W170" s="864"/>
      <c r="X170" s="893"/>
      <c r="Y170" s="893"/>
      <c r="Z170" s="865"/>
      <c r="AA170" s="864"/>
      <c r="AB170" s="864"/>
      <c r="AC170" s="864"/>
      <c r="AD170" s="864"/>
      <c r="AE170" s="865"/>
      <c r="AF170" s="864"/>
      <c r="AG170" s="864"/>
      <c r="AH170" s="864"/>
      <c r="AI170" s="864"/>
      <c r="AJ170" s="865"/>
      <c r="AK170" s="864"/>
      <c r="AL170" s="864"/>
      <c r="AM170" s="864"/>
      <c r="AN170" s="864"/>
      <c r="AO170" s="865"/>
      <c r="AP170" s="864"/>
      <c r="AQ170" s="864"/>
      <c r="AR170" s="864"/>
      <c r="AS170" s="864"/>
      <c r="AT170" s="865">
        <f>+AT160/AO160-1</f>
        <v>0.74485253199777413</v>
      </c>
      <c r="AU170" s="864"/>
      <c r="AV170" s="864"/>
      <c r="AW170" s="864"/>
      <c r="AX170" s="864"/>
      <c r="AY170" s="865">
        <f>+AY160/AT160-1</f>
        <v>6.66560357199808E-2</v>
      </c>
      <c r="AZ170" s="891"/>
      <c r="BA170" s="890">
        <f t="shared" si="54"/>
        <v>-5.4624908958485041E-2</v>
      </c>
      <c r="BB170" s="890">
        <f t="shared" si="54"/>
        <v>11.673926571250778</v>
      </c>
      <c r="BC170" s="890"/>
      <c r="BD170" s="865">
        <f t="shared" si="54"/>
        <v>5.4927492898789056</v>
      </c>
      <c r="BE170" s="891">
        <f t="shared" si="54"/>
        <v>14.063444108761328</v>
      </c>
      <c r="BF170" s="890">
        <f t="shared" si="54"/>
        <v>13.626348228043142</v>
      </c>
      <c r="BG170" s="890">
        <f t="shared" si="54"/>
        <v>-1.2127461089016522E-2</v>
      </c>
      <c r="BH170" s="890">
        <f t="shared" si="54"/>
        <v>7.6904261043979849E-2</v>
      </c>
      <c r="BI170" s="865">
        <f>+BI160/BD160-1</f>
        <v>0.86649781257195491</v>
      </c>
      <c r="BJ170" s="891">
        <f t="shared" si="54"/>
        <v>-3.4546730846369833E-2</v>
      </c>
      <c r="BK170" s="890">
        <f t="shared" si="54"/>
        <v>5.4464050566236377E-2</v>
      </c>
      <c r="BL170" s="890">
        <f t="shared" si="54"/>
        <v>-3.5586481113320079E-2</v>
      </c>
      <c r="BM170" s="890">
        <f t="shared" si="54"/>
        <v>-0.12874210693680965</v>
      </c>
      <c r="BN170" s="865">
        <f t="shared" si="54"/>
        <v>-3.9537637857442465E-2</v>
      </c>
      <c r="BO170" s="891">
        <f t="shared" si="54"/>
        <v>-6.7722669436509952E-2</v>
      </c>
      <c r="BP170" s="890">
        <f t="shared" si="54"/>
        <v>-0.1731355212548078</v>
      </c>
      <c r="BQ170" s="890">
        <f t="shared" si="54"/>
        <v>-0.14414553700267985</v>
      </c>
      <c r="BR170" s="890">
        <f t="shared" si="54"/>
        <v>-0.13577350226810569</v>
      </c>
      <c r="BS170" s="865">
        <f t="shared" si="54"/>
        <v>-0.13063693694850809</v>
      </c>
      <c r="BT170" s="891">
        <f t="shared" si="54"/>
        <v>-6.6013035485488425E-2</v>
      </c>
      <c r="BU170" s="850"/>
      <c r="BV170" s="850"/>
      <c r="BW170" s="850"/>
      <c r="BX170" s="849"/>
      <c r="BY170" s="850"/>
      <c r="BZ170" s="850"/>
      <c r="CA170" s="850"/>
      <c r="CB170" s="850"/>
      <c r="CC170" s="849"/>
      <c r="CD170" s="850"/>
      <c r="CE170" s="850"/>
      <c r="CF170" s="850"/>
      <c r="CG170" s="850"/>
      <c r="CH170" s="849"/>
      <c r="CI170" s="850"/>
      <c r="CJ170" s="850"/>
      <c r="CK170" s="850"/>
      <c r="CL170" s="850"/>
      <c r="CM170" s="849"/>
      <c r="CN170" s="850"/>
      <c r="CO170" s="850"/>
      <c r="CP170" s="850"/>
      <c r="CQ170" s="850"/>
      <c r="CR170" s="849"/>
      <c r="CT170" s="852"/>
      <c r="CU170" s="852"/>
      <c r="CW170" s="725"/>
      <c r="CX170" s="725"/>
      <c r="CY170" s="725"/>
      <c r="CZ170" s="725"/>
      <c r="DA170" s="725"/>
      <c r="DB170" s="725"/>
      <c r="DC170" s="725"/>
      <c r="DD170" s="725"/>
      <c r="DE170" s="725"/>
      <c r="DF170" s="725"/>
      <c r="DG170" s="725"/>
      <c r="DH170" s="725"/>
      <c r="DI170" s="725"/>
    </row>
    <row r="171" spans="1:117" ht="12" customHeight="1">
      <c r="A171" s="872" t="str">
        <f>A166</f>
        <v>Asia Pacific</v>
      </c>
      <c r="B171" s="848"/>
      <c r="C171" s="848"/>
      <c r="D171" s="848"/>
      <c r="E171" s="848"/>
      <c r="F171" s="849"/>
      <c r="G171" s="848"/>
      <c r="H171" s="848"/>
      <c r="I171" s="848"/>
      <c r="J171" s="848"/>
      <c r="K171" s="849"/>
      <c r="L171" s="850"/>
      <c r="M171" s="850"/>
      <c r="N171" s="850"/>
      <c r="O171" s="850"/>
      <c r="P171" s="863"/>
      <c r="Q171" s="862"/>
      <c r="R171" s="862"/>
      <c r="S171" s="862"/>
      <c r="T171" s="862"/>
      <c r="U171" s="863"/>
      <c r="V171" s="893"/>
      <c r="W171" s="864"/>
      <c r="X171" s="893"/>
      <c r="Y171" s="893"/>
      <c r="Z171" s="865"/>
      <c r="AA171" s="864"/>
      <c r="AB171" s="864"/>
      <c r="AC171" s="864"/>
      <c r="AD171" s="864"/>
      <c r="AE171" s="865"/>
      <c r="AF171" s="864"/>
      <c r="AG171" s="864"/>
      <c r="AH171" s="864"/>
      <c r="AI171" s="864"/>
      <c r="AJ171" s="865"/>
      <c r="AK171" s="864"/>
      <c r="AL171" s="864"/>
      <c r="AM171" s="864"/>
      <c r="AN171" s="864"/>
      <c r="AO171" s="865"/>
      <c r="AP171" s="864"/>
      <c r="AQ171" s="864"/>
      <c r="AR171" s="864"/>
      <c r="AS171" s="864"/>
      <c r="AT171" s="865">
        <f>+AT161/AO161-1</f>
        <v>12.804347826086957</v>
      </c>
      <c r="AU171" s="864"/>
      <c r="AV171" s="864"/>
      <c r="AW171" s="864"/>
      <c r="AX171" s="864"/>
      <c r="AY171" s="865">
        <f>+AY161/AT161-1</f>
        <v>0.3773622047244094</v>
      </c>
      <c r="AZ171" s="891"/>
      <c r="BA171" s="890">
        <f t="shared" si="54"/>
        <v>-0.30484646688864225</v>
      </c>
      <c r="BB171" s="890">
        <f t="shared" si="54"/>
        <v>7.4206798866855532</v>
      </c>
      <c r="BC171" s="890"/>
      <c r="BD171" s="865">
        <f t="shared" si="54"/>
        <v>1.1643561526368442</v>
      </c>
      <c r="BE171" s="891">
        <f t="shared" si="54"/>
        <v>2.3246290801186946</v>
      </c>
      <c r="BF171" s="890">
        <f t="shared" si="54"/>
        <v>2.1846726982437468</v>
      </c>
      <c r="BG171" s="890">
        <f t="shared" si="54"/>
        <v>-0.10765349032800686</v>
      </c>
      <c r="BH171" s="890">
        <f t="shared" si="54"/>
        <v>-0.10984915705412568</v>
      </c>
      <c r="BI171" s="865">
        <f>+BI161/BD161-1</f>
        <v>0.44657950343370301</v>
      </c>
      <c r="BJ171" s="891">
        <f t="shared" si="54"/>
        <v>-3.659407354516242E-2</v>
      </c>
      <c r="BK171" s="890">
        <f t="shared" si="54"/>
        <v>-0.14555481283422456</v>
      </c>
      <c r="BL171" s="890">
        <f t="shared" si="54"/>
        <v>-4.3355325164938674E-2</v>
      </c>
      <c r="BM171" s="890">
        <f t="shared" si="54"/>
        <v>-4.3859649122807487E-2</v>
      </c>
      <c r="BN171" s="865">
        <f t="shared" si="54"/>
        <v>-6.9658100150636781E-2</v>
      </c>
      <c r="BO171" s="891">
        <f t="shared" si="54"/>
        <v>-0.15249212525477118</v>
      </c>
      <c r="BP171" s="890">
        <f t="shared" si="54"/>
        <v>2.5620966164678238E-2</v>
      </c>
      <c r="BQ171" s="890">
        <f t="shared" si="54"/>
        <v>-2.9162561576354773E-2</v>
      </c>
      <c r="BR171" s="890">
        <f t="shared" si="54"/>
        <v>-4.4412010008340164E-2</v>
      </c>
      <c r="BS171" s="865">
        <f t="shared" si="54"/>
        <v>-5.1665767136058083E-2</v>
      </c>
      <c r="BT171" s="891">
        <f t="shared" si="54"/>
        <v>1.0056843025798123E-2</v>
      </c>
      <c r="BU171" s="850"/>
      <c r="BV171" s="850"/>
      <c r="BW171" s="850"/>
      <c r="BX171" s="849"/>
      <c r="BY171" s="850"/>
      <c r="BZ171" s="850"/>
      <c r="CA171" s="850"/>
      <c r="CB171" s="850"/>
      <c r="CC171" s="849"/>
      <c r="CD171" s="850"/>
      <c r="CE171" s="850"/>
      <c r="CF171" s="850"/>
      <c r="CG171" s="850"/>
      <c r="CH171" s="849"/>
      <c r="CI171" s="850"/>
      <c r="CJ171" s="850"/>
      <c r="CK171" s="850"/>
      <c r="CL171" s="850"/>
      <c r="CM171" s="849"/>
      <c r="CN171" s="850"/>
      <c r="CO171" s="850"/>
      <c r="CP171" s="850"/>
      <c r="CQ171" s="850"/>
      <c r="CR171" s="849"/>
      <c r="CT171" s="852"/>
      <c r="CU171" s="852"/>
      <c r="CW171" s="725"/>
      <c r="CX171" s="725"/>
      <c r="CY171" s="725"/>
      <c r="CZ171" s="725"/>
      <c r="DA171" s="725"/>
      <c r="DB171" s="725"/>
      <c r="DC171" s="725"/>
      <c r="DD171" s="725"/>
      <c r="DE171" s="725"/>
      <c r="DF171" s="725"/>
      <c r="DG171" s="725"/>
      <c r="DH171" s="725"/>
      <c r="DI171" s="725"/>
    </row>
    <row r="172" spans="1:117" ht="12" customHeight="1" thickBot="1">
      <c r="A172" s="894"/>
      <c r="B172" s="895"/>
      <c r="C172" s="895"/>
      <c r="D172" s="895"/>
      <c r="E172" s="895"/>
      <c r="F172" s="896"/>
      <c r="G172" s="895"/>
      <c r="H172" s="895"/>
      <c r="I172" s="895"/>
      <c r="J172" s="895"/>
      <c r="K172" s="896"/>
      <c r="L172" s="897"/>
      <c r="M172" s="897"/>
      <c r="N172" s="897"/>
      <c r="O172" s="897"/>
      <c r="P172" s="898"/>
      <c r="Q172" s="899"/>
      <c r="R172" s="899"/>
      <c r="S172" s="899"/>
      <c r="T172" s="899"/>
      <c r="U172" s="898"/>
      <c r="V172" s="899"/>
      <c r="W172" s="899"/>
      <c r="X172" s="899"/>
      <c r="Y172" s="899"/>
      <c r="Z172" s="898"/>
      <c r="AA172" s="899"/>
      <c r="AB172" s="899"/>
      <c r="AC172" s="899"/>
      <c r="AD172" s="899"/>
      <c r="AE172" s="898"/>
      <c r="AF172" s="899"/>
      <c r="AG172" s="899"/>
      <c r="AH172" s="899"/>
      <c r="AI172" s="899"/>
      <c r="AJ172" s="898"/>
      <c r="AK172" s="899"/>
      <c r="AL172" s="899"/>
      <c r="AM172" s="899"/>
      <c r="AN172" s="899"/>
      <c r="AO172" s="898"/>
      <c r="AP172" s="899"/>
      <c r="AQ172" s="899"/>
      <c r="AR172" s="899"/>
      <c r="AS172" s="899"/>
      <c r="AT172" s="898"/>
      <c r="AU172" s="899"/>
      <c r="AV172" s="899"/>
      <c r="AW172" s="899"/>
      <c r="AX172" s="899"/>
      <c r="AY172" s="898"/>
      <c r="AZ172" s="899"/>
      <c r="BA172" s="899"/>
      <c r="BB172" s="899"/>
      <c r="BC172" s="899"/>
      <c r="BD172" s="898"/>
      <c r="BE172" s="899"/>
      <c r="BF172" s="899"/>
      <c r="BG172" s="899"/>
      <c r="BH172" s="899"/>
      <c r="BI172" s="898"/>
      <c r="BJ172" s="897"/>
      <c r="BK172" s="897"/>
      <c r="BL172" s="899"/>
      <c r="BM172" s="897"/>
      <c r="BN172" s="896"/>
      <c r="BO172" s="897"/>
      <c r="BP172" s="897"/>
      <c r="BQ172" s="897"/>
      <c r="BR172" s="897"/>
      <c r="BS172" s="896"/>
      <c r="BT172" s="897"/>
      <c r="BU172" s="897"/>
      <c r="BV172" s="897"/>
      <c r="BW172" s="897"/>
      <c r="BX172" s="896"/>
      <c r="BY172" s="897"/>
      <c r="BZ172" s="897"/>
      <c r="CA172" s="897"/>
      <c r="CB172" s="897"/>
      <c r="CC172" s="896"/>
      <c r="CD172" s="897"/>
      <c r="CE172" s="897"/>
      <c r="CF172" s="897"/>
      <c r="CG172" s="897"/>
      <c r="CH172" s="896"/>
      <c r="CI172" s="897"/>
      <c r="CJ172" s="897"/>
      <c r="CK172" s="897"/>
      <c r="CL172" s="897"/>
      <c r="CM172" s="896"/>
      <c r="CN172" s="897"/>
      <c r="CO172" s="897"/>
      <c r="CP172" s="897"/>
      <c r="CQ172" s="897"/>
      <c r="CR172" s="896"/>
      <c r="CT172" s="900"/>
      <c r="CU172" s="900"/>
      <c r="CW172" s="725"/>
      <c r="CX172" s="725"/>
      <c r="CY172" s="725"/>
      <c r="CZ172" s="725"/>
      <c r="DA172" s="725"/>
      <c r="DB172" s="725"/>
      <c r="DC172" s="725"/>
      <c r="DD172" s="725"/>
      <c r="DE172" s="725"/>
      <c r="DF172" s="725"/>
      <c r="DG172" s="725"/>
      <c r="DH172" s="725"/>
      <c r="DI172" s="725"/>
    </row>
    <row r="173" spans="1:117" ht="12" customHeight="1">
      <c r="CW173" s="725"/>
      <c r="CX173" s="725"/>
      <c r="CY173" s="725"/>
      <c r="CZ173" s="725"/>
      <c r="DA173" s="725"/>
      <c r="DB173" s="725"/>
      <c r="DC173" s="725"/>
      <c r="DD173" s="725"/>
      <c r="DE173" s="725"/>
      <c r="DF173" s="725"/>
      <c r="DG173" s="725"/>
      <c r="DH173" s="725"/>
      <c r="DI173" s="725"/>
    </row>
    <row r="174" spans="1:117" ht="12" customHeight="1">
      <c r="CW174" s="725"/>
      <c r="CX174" s="725"/>
      <c r="CY174" s="725"/>
      <c r="CZ174" s="725"/>
      <c r="DA174" s="725"/>
      <c r="DB174" s="725"/>
      <c r="DC174" s="725"/>
      <c r="DD174" s="725"/>
      <c r="DE174" s="725"/>
      <c r="DF174" s="725"/>
      <c r="DG174" s="725"/>
      <c r="DH174" s="725"/>
      <c r="DI174" s="725"/>
    </row>
    <row r="175" spans="1:117" s="1075" customFormat="1" ht="12" customHeight="1">
      <c r="A175" s="1075" t="s">
        <v>1030</v>
      </c>
      <c r="AP175" s="1075">
        <f>+'Income Statement'!AP16</f>
        <v>62.4</v>
      </c>
      <c r="AQ175" s="1075">
        <f>+'Income Statement'!AQ16</f>
        <v>75.400000000000006</v>
      </c>
      <c r="AR175" s="1075">
        <f>+'Income Statement'!AR16</f>
        <v>83.128</v>
      </c>
      <c r="AS175" s="1075">
        <f>+'Income Statement'!AS16</f>
        <v>84.174000000000007</v>
      </c>
      <c r="AT175" s="1075">
        <f>+'Income Statement'!AT16</f>
        <v>305.10199999999998</v>
      </c>
      <c r="AU175" s="1075">
        <f>+'Income Statement'!AU16</f>
        <v>83.124000000000009</v>
      </c>
      <c r="AV175" s="1075">
        <f>+'Income Statement'!AV16</f>
        <v>81.816999999999993</v>
      </c>
      <c r="AW175" s="1075">
        <f>+'Income Statement'!AW16</f>
        <v>84.080999999999989</v>
      </c>
      <c r="AX175" s="1075">
        <f>+'Income Statement'!AX16</f>
        <v>88.786999999999978</v>
      </c>
      <c r="AY175" s="1075">
        <f>+'Income Statement'!AY16</f>
        <v>337.80899999999997</v>
      </c>
      <c r="AZ175" s="1075">
        <f>+'Income Statement'!AZ16</f>
        <v>88.828999999999994</v>
      </c>
      <c r="BA175" s="1075">
        <f>+'Income Statement'!BA16</f>
        <v>92.281999999999996</v>
      </c>
      <c r="BB175" s="1075">
        <f>+'Income Statement'!BB16</f>
        <v>147.39599999999999</v>
      </c>
      <c r="BC175" s="1075">
        <f>+'Income Statement'!BC16</f>
        <v>150.61800000000005</v>
      </c>
      <c r="BD175" s="1075">
        <f>+'Income Statement'!BD16</f>
        <v>479.125</v>
      </c>
      <c r="BE175" s="1075">
        <f>+'Income Statement'!BE16</f>
        <v>160.381</v>
      </c>
      <c r="BF175" s="1075">
        <f>+'Income Statement'!BF16</f>
        <v>160.67599999999999</v>
      </c>
      <c r="BG175" s="1075">
        <f>+'Income Statement'!BG16</f>
        <v>164.893</v>
      </c>
      <c r="BH175" s="1075">
        <f>+'Income Statement'!BH16</f>
        <v>166.26499999999999</v>
      </c>
      <c r="BI175" s="1075">
        <f>+'Income Statement'!BI16</f>
        <v>652.21500000000003</v>
      </c>
      <c r="BJ175" s="1075">
        <f>+'Income Statement'!BJ16</f>
        <v>160.12</v>
      </c>
      <c r="BK175" s="1075">
        <f>+'Income Statement'!BK16</f>
        <v>158.488</v>
      </c>
      <c r="BL175" s="1075">
        <f>+'Income Statement'!BL16</f>
        <v>157.49700000000001</v>
      </c>
      <c r="BM175" s="1075">
        <f>+'Income Statement'!BM16</f>
        <v>158.44900000000001</v>
      </c>
      <c r="BN175" s="1075">
        <f>+'Income Statement'!BN16</f>
        <v>634.55400000000009</v>
      </c>
      <c r="BO175" s="1075">
        <f>+'Income Statement'!BO16</f>
        <v>151.16300000000001</v>
      </c>
      <c r="BP175" s="1075">
        <f>+'Income Statement'!BP16</f>
        <v>152.19200000000001</v>
      </c>
      <c r="BQ175" s="1075">
        <f>+'Income Statement'!BQ16</f>
        <v>151.655</v>
      </c>
      <c r="BR175" s="1075">
        <f>+'Income Statement'!BR16</f>
        <v>152.678</v>
      </c>
      <c r="BS175" s="1075">
        <f>+'Income Statement'!BS16</f>
        <v>607.68799999999999</v>
      </c>
      <c r="BT175" s="1075">
        <f>+'Income Statement'!BT16</f>
        <v>152.61000000000001</v>
      </c>
      <c r="BU175" s="1075">
        <f>+'Income Statement'!BU16</f>
        <v>150.51875516000001</v>
      </c>
      <c r="BV175" s="1075">
        <f>+'Income Statement'!BV16</f>
        <v>151.495406</v>
      </c>
      <c r="BW175" s="1075">
        <f>+'Income Statement'!BW16</f>
        <v>154.08441999999999</v>
      </c>
      <c r="BX175" s="1075">
        <f>+'Income Statement'!BX16</f>
        <v>608.70858115999999</v>
      </c>
      <c r="BY175" s="1075">
        <f>+'Income Statement'!BY16</f>
        <v>156.05559426000002</v>
      </c>
      <c r="BZ175" s="1075">
        <f>+'Income Statement'!BZ16</f>
        <v>153.13629280360004</v>
      </c>
      <c r="CA175" s="1075">
        <f>+'Income Statement'!CA16</f>
        <v>155.31941563999999</v>
      </c>
      <c r="CB175" s="1075">
        <f>+'Income Statement'!CB16</f>
        <v>158.67039999999997</v>
      </c>
      <c r="CC175" s="1075">
        <f>+'Income Statement'!CC16</f>
        <v>623.18170270360008</v>
      </c>
      <c r="CD175" s="1075">
        <f>+'Income Statement'!CD16</f>
        <v>165.07653801180001</v>
      </c>
      <c r="CE175" s="1075">
        <f>+'Income Statement'!CE16</f>
        <v>158.84644870850806</v>
      </c>
      <c r="CF175" s="1075">
        <f>+'Income Statement'!CF16</f>
        <v>161.61900578919997</v>
      </c>
      <c r="CG175" s="1075">
        <f>+'Income Statement'!CG16</f>
        <v>165.12380359999997</v>
      </c>
      <c r="CH175" s="1075">
        <f>+'Income Statement'!CH16</f>
        <v>650.66579610950805</v>
      </c>
      <c r="CI175" s="1075">
        <f>+'Income Statement'!CI16</f>
        <v>175.07427346475401</v>
      </c>
      <c r="CJ175" s="1075">
        <f>+'Income Statement'!CJ16</f>
        <v>164.94905810668337</v>
      </c>
      <c r="CK175" s="1075">
        <f>+'Income Statement'!CK16</f>
        <v>168.40696777487599</v>
      </c>
      <c r="CL175" s="1075">
        <f>+'Income Statement'!CL16</f>
        <v>172.07880222399999</v>
      </c>
      <c r="CM175" s="1075">
        <f>+'Income Statement'!CM16</f>
        <v>680.50910157031342</v>
      </c>
      <c r="CN175" s="1075">
        <f>+'Income Statement'!CN16</f>
        <v>185.79723784952475</v>
      </c>
      <c r="CO175" s="1075">
        <f>+'Income Statement'!CO16</f>
        <v>171.12617711115772</v>
      </c>
      <c r="CP175" s="1075">
        <f>+'Income Statement'!CP16</f>
        <v>175.74339420172228</v>
      </c>
      <c r="CQ175" s="1075">
        <f>+'Income Statement'!CQ16</f>
        <v>179.59718265188002</v>
      </c>
      <c r="CR175" s="1075">
        <f>+'Income Statement'!CR16</f>
        <v>712.26399181428474</v>
      </c>
      <c r="CW175" s="1076"/>
      <c r="CX175" s="1076"/>
      <c r="CY175" s="1076"/>
      <c r="CZ175" s="1076"/>
      <c r="DA175" s="1076"/>
      <c r="DB175" s="1076"/>
      <c r="DC175" s="1076"/>
      <c r="DD175" s="1076"/>
      <c r="DE175" s="1076"/>
      <c r="DF175" s="1076"/>
      <c r="DG175" s="1076"/>
      <c r="DH175" s="1076"/>
      <c r="DI175" s="1076"/>
      <c r="DL175" s="1077"/>
      <c r="DM175" s="1077"/>
    </row>
    <row r="176" spans="1:117" s="1075" customFormat="1" ht="12" customHeight="1">
      <c r="A176" s="1075" t="s">
        <v>1031</v>
      </c>
      <c r="AP176" s="1075">
        <f>+'Income Statement'!AP26</f>
        <v>19.09225</v>
      </c>
      <c r="AQ176" s="1075">
        <f>+'Income Statement'!AQ26</f>
        <v>23.09225</v>
      </c>
      <c r="AR176" s="1075">
        <f>+'Income Statement'!AR26</f>
        <v>26.97724999999997</v>
      </c>
      <c r="AS176" s="1075">
        <f>+'Income Statement'!AS26</f>
        <v>25.631250000000001</v>
      </c>
      <c r="AT176" s="1075">
        <f>+'Income Statement'!AT26</f>
        <v>94.792999999999978</v>
      </c>
      <c r="AU176" s="1075">
        <f>+'Income Statement'!AU26</f>
        <v>23.743000000000002</v>
      </c>
      <c r="AV176" s="1075">
        <f>+'Income Statement'!AV26</f>
        <v>23.338999999999999</v>
      </c>
      <c r="AW176" s="1075">
        <f>+'Income Statement'!AW26</f>
        <v>24.363000000000003</v>
      </c>
      <c r="AX176" s="1075">
        <f>+'Income Statement'!AX26</f>
        <v>25.611000000000001</v>
      </c>
      <c r="AY176" s="1075">
        <f>+'Income Statement'!AY26</f>
        <v>97.055999999999997</v>
      </c>
      <c r="AZ176" s="1075">
        <f>+'Income Statement'!AZ26</f>
        <v>23.387999999999998</v>
      </c>
      <c r="BA176" s="1075">
        <f>+'Income Statement'!BA26</f>
        <v>24.156000000000002</v>
      </c>
      <c r="BB176" s="1075">
        <f>+'Income Statement'!BB26</f>
        <v>44.027000000000001</v>
      </c>
      <c r="BC176" s="1075">
        <f>+'Income Statement'!BC26</f>
        <v>43.576999999999998</v>
      </c>
      <c r="BD176" s="1075">
        <f>+'Income Statement'!BD26</f>
        <v>135.148</v>
      </c>
      <c r="BE176" s="1075">
        <f>+'Income Statement'!BE26</f>
        <v>49.129999999999995</v>
      </c>
      <c r="BF176" s="1075">
        <f>+'Income Statement'!BF26</f>
        <v>53.820999999999998</v>
      </c>
      <c r="BG176" s="1075">
        <f>+'Income Statement'!BG26</f>
        <v>51.306999999999995</v>
      </c>
      <c r="BH176" s="1075">
        <f>+'Income Statement'!BH26</f>
        <v>49.623000000000005</v>
      </c>
      <c r="BI176" s="1075">
        <f>+'Income Statement'!BI26</f>
        <v>203.88100000000003</v>
      </c>
      <c r="BJ176" s="1075">
        <f>+'Income Statement'!BJ26</f>
        <v>49.721999999999994</v>
      </c>
      <c r="BK176" s="1075">
        <f>+'Income Statement'!BK26</f>
        <v>48.956000000000003</v>
      </c>
      <c r="BL176" s="1075">
        <f>+'Income Statement'!BL26</f>
        <v>47.836000000000006</v>
      </c>
      <c r="BM176" s="1075">
        <f>+'Income Statement'!BM26</f>
        <v>47.530000000000015</v>
      </c>
      <c r="BN176" s="1075">
        <f>+'Income Statement'!BN26</f>
        <v>194.04399999999998</v>
      </c>
      <c r="BO176" s="1075">
        <f>+'Income Statement'!BO26</f>
        <v>48.61</v>
      </c>
      <c r="BP176" s="1075">
        <f>+'Income Statement'!BP26</f>
        <v>47.191000000000003</v>
      </c>
      <c r="BQ176" s="1075">
        <f>+'Income Statement'!BQ26</f>
        <v>47.330999999999996</v>
      </c>
      <c r="BR176" s="1075">
        <f>+'Income Statement'!BR26</f>
        <v>48.512999999999984</v>
      </c>
      <c r="BS176" s="1075">
        <f>+'Income Statement'!BS26</f>
        <v>191.64500000000001</v>
      </c>
      <c r="BT176" s="1075">
        <f>+'Income Statement'!BT26</f>
        <v>50.222000000000008</v>
      </c>
      <c r="BU176" s="1075">
        <f>+'Income Statement'!BU26</f>
        <v>46.840065107173558</v>
      </c>
      <c r="BV176" s="1075">
        <f>+'Income Statement'!BV26</f>
        <v>47.170185481842623</v>
      </c>
      <c r="BW176" s="1075">
        <f>+'Income Statement'!BW26</f>
        <v>47.914389479681603</v>
      </c>
      <c r="BX176" s="1075">
        <f>+'Income Statement'!BX26</f>
        <v>192.14664006869782</v>
      </c>
      <c r="BY176" s="1075">
        <f>+'Income Statement'!BY26</f>
        <v>49.3092556488713</v>
      </c>
      <c r="BZ176" s="1075">
        <f>+'Income Statement'!BZ26</f>
        <v>47.332079822254052</v>
      </c>
      <c r="CA176" s="1075">
        <f>+'Income Statement'!CA26</f>
        <v>48.009742955648491</v>
      </c>
      <c r="CB176" s="1075">
        <f>+'Income Statement'!CB26</f>
        <v>48.876685991754208</v>
      </c>
      <c r="CC176" s="1075">
        <f>+'Income Statement'!CC26</f>
        <v>193.52776441852802</v>
      </c>
      <c r="CD176" s="1075">
        <f>+'Income Statement'!CD26</f>
        <v>51.08127283832922</v>
      </c>
      <c r="CE176" s="1075">
        <f>+'Income Statement'!CE26</f>
        <v>48.234822209652791</v>
      </c>
      <c r="CF176" s="1075">
        <f>+'Income Statement'!CF26</f>
        <v>49.101288115815294</v>
      </c>
      <c r="CG176" s="1075">
        <f>+'Income Statement'!CG26</f>
        <v>50.036689165842397</v>
      </c>
      <c r="CH176" s="1075">
        <f>+'Income Statement'!CH26</f>
        <v>198.4540723296397</v>
      </c>
      <c r="CI176" s="1075">
        <f>+'Income Statement'!CI26</f>
        <v>53.644017726876577</v>
      </c>
      <c r="CJ176" s="1075">
        <f>+'Income Statement'!CJ26</f>
        <v>49.803519988762829</v>
      </c>
      <c r="CK176" s="1075">
        <f>+'Income Statement'!CK26</f>
        <v>50.876170824387891</v>
      </c>
      <c r="CL176" s="1075">
        <f>+'Income Statement'!CL26</f>
        <v>51.875163339073715</v>
      </c>
      <c r="CM176" s="1075">
        <f>+'Income Statement'!CM26</f>
        <v>206.19887187910101</v>
      </c>
      <c r="CN176" s="1075">
        <f>+'Income Statement'!CN26</f>
        <v>56.393362706939733</v>
      </c>
      <c r="CO176" s="1075">
        <f>+'Income Statement'!CO26</f>
        <v>51.394672401330567</v>
      </c>
      <c r="CP176" s="1075">
        <f>+'Income Statement'!CP26</f>
        <v>52.791573502245612</v>
      </c>
      <c r="CQ176" s="1075">
        <f>+'Income Statement'!CQ26</f>
        <v>53.855630676432568</v>
      </c>
      <c r="CR176" s="1075">
        <f>+'Income Statement'!CR26</f>
        <v>214.43523928694847</v>
      </c>
      <c r="CW176" s="1076"/>
      <c r="CX176" s="1076"/>
      <c r="CY176" s="1076"/>
      <c r="CZ176" s="1076"/>
      <c r="DA176" s="1076"/>
      <c r="DB176" s="1076"/>
      <c r="DC176" s="1076"/>
      <c r="DD176" s="1076"/>
      <c r="DE176" s="1076"/>
      <c r="DF176" s="1076"/>
      <c r="DG176" s="1076"/>
      <c r="DH176" s="1076"/>
      <c r="DI176" s="1076"/>
      <c r="DL176" s="1077"/>
      <c r="DM176" s="1077"/>
    </row>
    <row r="177" spans="1:117" s="1075" customFormat="1" ht="12" customHeight="1">
      <c r="A177" s="1075" t="s">
        <v>1032</v>
      </c>
      <c r="AP177" s="1075">
        <f>+'Income Statement'!AP27</f>
        <v>43.307749999999999</v>
      </c>
      <c r="AQ177" s="1075">
        <f>+'Income Statement'!AQ27</f>
        <v>52.307750000000006</v>
      </c>
      <c r="AR177" s="1075">
        <f>+'Income Statement'!AR27</f>
        <v>56.150750000000031</v>
      </c>
      <c r="AS177" s="1075">
        <f>+'Income Statement'!AS27</f>
        <v>58.542750000000005</v>
      </c>
      <c r="AT177" s="1075">
        <f>+'Income Statement'!AT27</f>
        <v>210.309</v>
      </c>
      <c r="AU177" s="1075">
        <f>+'Income Statement'!AU27</f>
        <v>59.381000000000007</v>
      </c>
      <c r="AV177" s="1075">
        <f>+'Income Statement'!AV27</f>
        <v>58.477999999999994</v>
      </c>
      <c r="AW177" s="1075">
        <f>+'Income Statement'!AW27</f>
        <v>59.717999999999989</v>
      </c>
      <c r="AX177" s="1075">
        <f>+'Income Statement'!AX27</f>
        <v>63.175999999999974</v>
      </c>
      <c r="AY177" s="1075">
        <f>+'Income Statement'!AY27</f>
        <v>240.75299999999999</v>
      </c>
      <c r="AZ177" s="1075">
        <f>+'Income Statement'!AZ27</f>
        <v>65.441000000000003</v>
      </c>
      <c r="BA177" s="1075">
        <f>+'Income Statement'!BA27</f>
        <v>68.125999999999991</v>
      </c>
      <c r="BB177" s="1075">
        <f>+'Income Statement'!BB27</f>
        <v>103.36899999999999</v>
      </c>
      <c r="BC177" s="1075">
        <f>+'Income Statement'!BC27</f>
        <v>107.04100000000005</v>
      </c>
      <c r="BD177" s="1075">
        <f>+'Income Statement'!BD27</f>
        <v>343.97699999999998</v>
      </c>
      <c r="BE177" s="1075">
        <f>+'Income Statement'!BE27</f>
        <v>111.251</v>
      </c>
      <c r="BF177" s="1075">
        <f>+'Income Statement'!BF27</f>
        <v>106.85499999999999</v>
      </c>
      <c r="BG177" s="1075">
        <f>+'Income Statement'!BG27</f>
        <v>113.58600000000001</v>
      </c>
      <c r="BH177" s="1075">
        <f>+'Income Statement'!BH27</f>
        <v>116.64199999999998</v>
      </c>
      <c r="BI177" s="1075">
        <f>+'Income Statement'!BI27</f>
        <v>448.334</v>
      </c>
      <c r="BJ177" s="1075">
        <f>+'Income Statement'!BJ27</f>
        <v>110.39800000000001</v>
      </c>
      <c r="BK177" s="1075">
        <f>+'Income Statement'!BK27</f>
        <v>109.532</v>
      </c>
      <c r="BL177" s="1075">
        <f>+'Income Statement'!BL27</f>
        <v>109.661</v>
      </c>
      <c r="BM177" s="1075">
        <f>+'Income Statement'!BM27</f>
        <v>110.91899999999997</v>
      </c>
      <c r="BN177" s="1075">
        <f>+'Income Statement'!BN27</f>
        <v>440.5100000000001</v>
      </c>
      <c r="BO177" s="1075">
        <f>+'Income Statement'!BO27</f>
        <v>102.55300000000001</v>
      </c>
      <c r="BP177" s="1075">
        <f>+'Income Statement'!BP27</f>
        <v>105.001</v>
      </c>
      <c r="BQ177" s="1075">
        <f>+'Income Statement'!BQ27</f>
        <v>104.32400000000001</v>
      </c>
      <c r="BR177" s="1075">
        <f>+'Income Statement'!BR27</f>
        <v>104.16500000000002</v>
      </c>
      <c r="BS177" s="1075">
        <f>+'Income Statement'!BS27</f>
        <v>416.04300000000001</v>
      </c>
      <c r="BT177" s="1075">
        <f>+'Income Statement'!BT27</f>
        <v>102.38800000000001</v>
      </c>
      <c r="BU177" s="1075">
        <f>+'Income Statement'!BU27</f>
        <v>103.67869005282645</v>
      </c>
      <c r="BV177" s="1075">
        <f>+'Income Statement'!BV27</f>
        <v>104.32522051815738</v>
      </c>
      <c r="BW177" s="1075">
        <f>+'Income Statement'!BW27</f>
        <v>106.17003052031839</v>
      </c>
      <c r="BX177" s="1075">
        <f>+'Income Statement'!BX27</f>
        <v>416.56194109130217</v>
      </c>
      <c r="BY177" s="1075">
        <f>+'Income Statement'!BY27</f>
        <v>106.74633861112872</v>
      </c>
      <c r="BZ177" s="1075">
        <f>+'Income Statement'!BZ27</f>
        <v>105.80421298134598</v>
      </c>
      <c r="CA177" s="1075">
        <f>+'Income Statement'!CA27</f>
        <v>107.3096726843515</v>
      </c>
      <c r="CB177" s="1075">
        <f>+'Income Statement'!CB27</f>
        <v>109.79371400824576</v>
      </c>
      <c r="CC177" s="1075">
        <f>+'Income Statement'!CC27</f>
        <v>429.65393828507206</v>
      </c>
      <c r="CD177" s="1075">
        <f>+'Income Statement'!CD27</f>
        <v>113.99526517347078</v>
      </c>
      <c r="CE177" s="1075">
        <f>+'Income Statement'!CE27</f>
        <v>110.61162649885527</v>
      </c>
      <c r="CF177" s="1075">
        <f>+'Income Statement'!CF27</f>
        <v>112.51771767338468</v>
      </c>
      <c r="CG177" s="1075">
        <f>+'Income Statement'!CG27</f>
        <v>115.08711443415757</v>
      </c>
      <c r="CH177" s="1075">
        <f>+'Income Statement'!CH27</f>
        <v>452.21172377986835</v>
      </c>
      <c r="CI177" s="1075">
        <f>+'Income Statement'!CI27</f>
        <v>121.43025573787745</v>
      </c>
      <c r="CJ177" s="1075">
        <f>+'Income Statement'!CJ27</f>
        <v>115.14553811792054</v>
      </c>
      <c r="CK177" s="1075">
        <f>+'Income Statement'!CK27</f>
        <v>117.53079695048811</v>
      </c>
      <c r="CL177" s="1075">
        <f>+'Income Statement'!CL27</f>
        <v>120.20363888492628</v>
      </c>
      <c r="CM177" s="1075">
        <f>+'Income Statement'!CM27</f>
        <v>474.31022969121238</v>
      </c>
      <c r="CN177" s="1075">
        <f>+'Income Statement'!CN27</f>
        <v>129.40387514258501</v>
      </c>
      <c r="CO177" s="1075">
        <f>+'Income Statement'!CO27</f>
        <v>119.73150470982715</v>
      </c>
      <c r="CP177" s="1075">
        <f>+'Income Statement'!CP27</f>
        <v>122.95182069947667</v>
      </c>
      <c r="CQ177" s="1075">
        <f>+'Income Statement'!CQ27</f>
        <v>125.74155197544745</v>
      </c>
      <c r="CR177" s="1075">
        <f>+'Income Statement'!CR27</f>
        <v>497.82875252733629</v>
      </c>
      <c r="CW177" s="1076"/>
      <c r="CX177" s="1076"/>
      <c r="CY177" s="1076"/>
      <c r="CZ177" s="1076"/>
      <c r="DA177" s="1076"/>
      <c r="DB177" s="1076"/>
      <c r="DC177" s="1076"/>
      <c r="DD177" s="1076"/>
      <c r="DE177" s="1076"/>
      <c r="DF177" s="1076"/>
      <c r="DG177" s="1076"/>
      <c r="DH177" s="1076"/>
      <c r="DI177" s="1076"/>
      <c r="DL177" s="1077"/>
      <c r="DM177" s="1077"/>
    </row>
    <row r="178" spans="1:117" s="1075" customFormat="1" ht="12" customHeight="1">
      <c r="A178" s="1141" t="s">
        <v>1057</v>
      </c>
      <c r="AP178" s="1075">
        <f>+'Income Statement'!AP33+'Income Statement'!AP31+'Income Statement'!AP24</f>
        <v>13.301</v>
      </c>
      <c r="AQ178" s="1075">
        <f>+'Income Statement'!AQ33+'Income Statement'!AQ31+'Income Statement'!AQ24</f>
        <v>15.301</v>
      </c>
      <c r="AR178" s="1075">
        <f>+'Income Statement'!AR33+'Income Statement'!AR31+'Income Statement'!AR24</f>
        <v>17.319999999999997</v>
      </c>
      <c r="AS178" s="1075">
        <f>+'Income Statement'!AS33+'Income Statement'!AS31+'Income Statement'!AS24</f>
        <v>17.163999999999998</v>
      </c>
      <c r="AT178" s="1075">
        <f>+'Income Statement'!AT33+'Income Statement'!AT31+'Income Statement'!AT24</f>
        <v>63.085999999999999</v>
      </c>
      <c r="AU178" s="1075">
        <f>+'Income Statement'!AU33+'Income Statement'!AU31+'Income Statement'!AU24</f>
        <v>14.801</v>
      </c>
      <c r="AV178" s="1075">
        <f>+'Income Statement'!AV33+'Income Statement'!AV31+'Income Statement'!AV24</f>
        <v>14.472</v>
      </c>
      <c r="AW178" s="1075">
        <f>+'Income Statement'!AW33+'Income Statement'!AW31+'Income Statement'!AW24</f>
        <v>14.464</v>
      </c>
      <c r="AX178" s="1075">
        <f>+'Income Statement'!AX33+'Income Statement'!AX31+'Income Statement'!AX24</f>
        <v>24.381</v>
      </c>
      <c r="AY178" s="1075">
        <f>+'Income Statement'!AY33+'Income Statement'!AY31+'Income Statement'!AY24</f>
        <v>68.118000000000009</v>
      </c>
      <c r="AZ178" s="1075">
        <f>+'Income Statement'!AZ33+'Income Statement'!AZ31+'Income Statement'!AZ24</f>
        <v>14.221000000000002</v>
      </c>
      <c r="BA178" s="1075">
        <f>+'Income Statement'!BA33+'Income Statement'!BA31+'Income Statement'!BA24</f>
        <v>14.618</v>
      </c>
      <c r="BB178" s="1075">
        <f>+'Income Statement'!BB33+'Income Statement'!BB31+'Income Statement'!BB24</f>
        <v>23.481999999999999</v>
      </c>
      <c r="BC178" s="1075">
        <f>+'Income Statement'!BC33+'Income Statement'!BC31+'Income Statement'!BC24</f>
        <v>20.773000000000003</v>
      </c>
      <c r="BD178" s="1075">
        <f>+'Income Statement'!BD33+'Income Statement'!BD31+'Income Statement'!BD24</f>
        <v>73.093999999999994</v>
      </c>
      <c r="BE178" s="1075">
        <f>+'Income Statement'!BE33+'Income Statement'!BE31+'Income Statement'!BE24</f>
        <v>20.492000000000001</v>
      </c>
      <c r="BF178" s="1075">
        <f>+'Income Statement'!BF33+'Income Statement'!BF31+'Income Statement'!BF24</f>
        <v>22.377000000000002</v>
      </c>
      <c r="BG178" s="1075">
        <f>+'Income Statement'!BG33+'Income Statement'!BG31+'Income Statement'!BG24</f>
        <v>22.381</v>
      </c>
      <c r="BH178" s="1075">
        <f>+'Income Statement'!BH33+'Income Statement'!BH31+'Income Statement'!BH24</f>
        <v>21.946999999999996</v>
      </c>
      <c r="BI178" s="1075">
        <f>+'Income Statement'!BI33+'Income Statement'!BI31+'Income Statement'!BI24</f>
        <v>87.197000000000003</v>
      </c>
      <c r="BJ178" s="1075">
        <f>+'Income Statement'!BJ33+'Income Statement'!BJ31+'Income Statement'!BJ24</f>
        <v>22.683</v>
      </c>
      <c r="BK178" s="1075">
        <f>+'Income Statement'!BK33+'Income Statement'!BK31+'Income Statement'!BK24</f>
        <v>21.683</v>
      </c>
      <c r="BL178" s="1075">
        <f>+'Income Statement'!BL33+'Income Statement'!BL31+'Income Statement'!BL24</f>
        <v>21.742000000000001</v>
      </c>
      <c r="BM178" s="1075">
        <f>+'Income Statement'!BM33+'Income Statement'!BM31+'Income Statement'!BM24</f>
        <v>22.286000000000001</v>
      </c>
      <c r="BN178" s="1075">
        <f>+'Income Statement'!BN33+'Income Statement'!BN31+'Income Statement'!BN24</f>
        <v>88.393999999999991</v>
      </c>
      <c r="BO178" s="1075">
        <f>+'Income Statement'!BO33+'Income Statement'!BO31+'Income Statement'!BO24</f>
        <v>21.402000000000001</v>
      </c>
      <c r="BP178" s="1075">
        <f>+'Income Statement'!BP33+'Income Statement'!BP31+'Income Statement'!BP24</f>
        <v>22.581</v>
      </c>
      <c r="BQ178" s="1075">
        <f>+'Income Statement'!BQ33+'Income Statement'!BQ31+'Income Statement'!BQ24</f>
        <v>19.763000000000002</v>
      </c>
      <c r="BR178" s="1075">
        <f>+'Income Statement'!BR33+'Income Statement'!BR31+'Income Statement'!BR24</f>
        <v>20.329000000000001</v>
      </c>
      <c r="BS178" s="1075">
        <f>+'Income Statement'!BS33+'Income Statement'!BS31+'Income Statement'!BS24</f>
        <v>84.075000000000003</v>
      </c>
      <c r="BT178" s="1075">
        <f>+'Income Statement'!BT33+'Income Statement'!BT31+'Income Statement'!BT24</f>
        <v>20.603999999999996</v>
      </c>
      <c r="BU178" s="1075">
        <f>+'Income Statement'!BU33+'Income Statement'!BU31+'Income Statement'!BU24</f>
        <v>21.720901616723047</v>
      </c>
      <c r="BV178" s="1075">
        <f>+'Income Statement'!BV33+'Income Statement'!BV31+'Income Statement'!BV24</f>
        <v>21.80680648373966</v>
      </c>
      <c r="BW178" s="1075">
        <f>+'Income Statement'!BW33+'Income Statement'!BW31+'Income Statement'!BW24</f>
        <v>22.302233231644166</v>
      </c>
      <c r="BX178" s="1075">
        <f>+'Income Statement'!BX33+'Income Statement'!BX31+'Income Statement'!BX24</f>
        <v>86.433941332106869</v>
      </c>
      <c r="BY178" s="1075">
        <f>+'Income Statement'!BY33+'Income Statement'!BY31+'Income Statement'!BY24</f>
        <v>22.667266243534755</v>
      </c>
      <c r="BZ178" s="1075">
        <f>+'Income Statement'!BZ33+'Income Statement'!BZ31+'Income Statement'!BZ24</f>
        <v>23.26888192278162</v>
      </c>
      <c r="CA178" s="1075">
        <f>+'Income Statement'!CA33+'Income Statement'!CA31+'Income Statement'!CA24</f>
        <v>22.832918876839404</v>
      </c>
      <c r="CB178" s="1075">
        <f>+'Income Statement'!CB33+'Income Statement'!CB31+'Income Statement'!CB24</f>
        <v>22.773195479109507</v>
      </c>
      <c r="CC178" s="1075">
        <f>+'Income Statement'!CC33+'Income Statement'!CC31+'Income Statement'!CC24</f>
        <v>91.542262522265275</v>
      </c>
      <c r="CD178" s="1075">
        <f>+'Income Statement'!CD33+'Income Statement'!CD31+'Income Statement'!CD24</f>
        <v>23.742002367963433</v>
      </c>
      <c r="CE178" s="1075">
        <f>+'Income Statement'!CE33+'Income Statement'!CE31+'Income Statement'!CE24</f>
        <v>24.405928142940084</v>
      </c>
      <c r="CF178" s="1075">
        <f>+'Income Statement'!CF33+'Income Statement'!CF31+'Income Statement'!CF24</f>
        <v>24.069608321106319</v>
      </c>
      <c r="CG178" s="1075">
        <f>+'Income Statement'!CG33+'Income Statement'!CG31+'Income Statement'!CG24</f>
        <v>24.116169385996841</v>
      </c>
      <c r="CH178" s="1075">
        <f>+'Income Statement'!CH33+'Income Statement'!CH31+'Income Statement'!CH24</f>
        <v>96.333708218006691</v>
      </c>
      <c r="CI178" s="1075">
        <f>+'Income Statement'!CI33+'Income Statement'!CI31+'Income Statement'!CI24</f>
        <v>25.142817274568358</v>
      </c>
      <c r="CJ178" s="1075">
        <f>+'Income Statement'!CJ33+'Income Statement'!CJ31+'Income Statement'!CJ24</f>
        <v>25.711311846309783</v>
      </c>
      <c r="CK178" s="1075">
        <f>+'Income Statement'!CK33+'Income Statement'!CK31+'Income Statement'!CK24</f>
        <v>25.323577647970613</v>
      </c>
      <c r="CL178" s="1075">
        <f>+'Income Statement'!CL33+'Income Statement'!CL31+'Income Statement'!CL24</f>
        <v>25.320598292095138</v>
      </c>
      <c r="CM178" s="1075">
        <f>+'Income Statement'!CM33+'Income Statement'!CM31+'Income Statement'!CM24</f>
        <v>101.49830506094389</v>
      </c>
      <c r="CN178" s="1075">
        <f>+'Income Statement'!CN33+'Income Statement'!CN31+'Income Statement'!CN24</f>
        <v>26.459775499846806</v>
      </c>
      <c r="CO178" s="1075">
        <f>+'Income Statement'!CO33+'Income Statement'!CO31+'Income Statement'!CO24</f>
        <v>26.969937599808151</v>
      </c>
      <c r="CP178" s="1075">
        <f>+'Income Statement'!CP33+'Income Statement'!CP31+'Income Statement'!CP24</f>
        <v>26.590552533955396</v>
      </c>
      <c r="CQ178" s="1075">
        <f>+'Income Statement'!CQ33+'Income Statement'!CQ31+'Income Statement'!CQ24</f>
        <v>26.589855640467999</v>
      </c>
      <c r="CR178" s="1075">
        <f>+'Income Statement'!CR33+'Income Statement'!CR31+'Income Statement'!CR24</f>
        <v>106.61012127407837</v>
      </c>
      <c r="CW178" s="1076"/>
      <c r="CX178" s="1076"/>
      <c r="CY178" s="1076"/>
      <c r="CZ178" s="1076"/>
      <c r="DA178" s="1076"/>
      <c r="DB178" s="1076"/>
      <c r="DC178" s="1076"/>
      <c r="DD178" s="1076"/>
      <c r="DE178" s="1076"/>
      <c r="DF178" s="1076"/>
      <c r="DG178" s="1076"/>
      <c r="DH178" s="1076"/>
      <c r="DI178" s="1076"/>
      <c r="DL178" s="1077"/>
      <c r="DM178" s="1077"/>
    </row>
    <row r="179" spans="1:117" s="1075" customFormat="1" ht="12" customHeight="1">
      <c r="A179" s="1141" t="s">
        <v>1058</v>
      </c>
      <c r="AP179" s="1075">
        <f>+'Income Statement'!AP39+'Income Statement'!AP37</f>
        <v>11</v>
      </c>
      <c r="AQ179" s="1075">
        <f>+'Income Statement'!AQ39+'Income Statement'!AQ37</f>
        <v>13</v>
      </c>
      <c r="AR179" s="1075">
        <f>+'Income Statement'!AR39+'Income Statement'!AR37</f>
        <v>13.779999999999994</v>
      </c>
      <c r="AS179" s="1075">
        <f>+'Income Statement'!AS39+'Income Statement'!AS37</f>
        <v>15.824999999999999</v>
      </c>
      <c r="AT179" s="1075">
        <f>+'Income Statement'!AT39+'Income Statement'!AT37</f>
        <v>53.60499999999999</v>
      </c>
      <c r="AU179" s="1075">
        <f>+'Income Statement'!AU39+'Income Statement'!AU37</f>
        <v>12.31</v>
      </c>
      <c r="AV179" s="1075">
        <f>+'Income Statement'!AV39+'Income Statement'!AV37</f>
        <v>11.992000000000001</v>
      </c>
      <c r="AW179" s="1075">
        <f>+'Income Statement'!AW39+'Income Statement'!AW37</f>
        <v>12.973000000000001</v>
      </c>
      <c r="AX179" s="1075">
        <f>+'Income Statement'!AX39+'Income Statement'!AX37</f>
        <v>17.547000000000001</v>
      </c>
      <c r="AY179" s="1075">
        <f>+'Income Statement'!AY39+'Income Statement'!AY37</f>
        <v>54.822000000000003</v>
      </c>
      <c r="AZ179" s="1075">
        <f>+'Income Statement'!AZ39+'Income Statement'!AZ37</f>
        <v>12.163999999999998</v>
      </c>
      <c r="BA179" s="1075">
        <f>+'Income Statement'!BA39+'Income Statement'!BA37</f>
        <v>10.823999999999998</v>
      </c>
      <c r="BB179" s="1075">
        <f>+'Income Statement'!BB39+'Income Statement'!BB37</f>
        <v>17.750999999999998</v>
      </c>
      <c r="BC179" s="1075">
        <f>+'Income Statement'!BC39+'Income Statement'!BC37</f>
        <v>17.575999999999997</v>
      </c>
      <c r="BD179" s="1075">
        <f>+'Income Statement'!BD39+'Income Statement'!BD37</f>
        <v>58.314999999999998</v>
      </c>
      <c r="BE179" s="1075">
        <f>+'Income Statement'!BE39+'Income Statement'!BE37</f>
        <v>23.355</v>
      </c>
      <c r="BF179" s="1075">
        <f>+'Income Statement'!BF39+'Income Statement'!BF37</f>
        <v>22.145</v>
      </c>
      <c r="BG179" s="1075">
        <f>+'Income Statement'!BG39+'Income Statement'!BG37</f>
        <v>19.847999999999999</v>
      </c>
      <c r="BH179" s="1075">
        <f>+'Income Statement'!BH39+'Income Statement'!BH37</f>
        <v>19.611999999999998</v>
      </c>
      <c r="BI179" s="1075">
        <f>+'Income Statement'!BI39+'Income Statement'!BI37</f>
        <v>84.960000000000008</v>
      </c>
      <c r="BJ179" s="1075">
        <f>+'Income Statement'!BJ39+'Income Statement'!BJ37</f>
        <v>18.858000000000001</v>
      </c>
      <c r="BK179" s="1075">
        <f>+'Income Statement'!BK39+'Income Statement'!BK37</f>
        <v>20.950999999999997</v>
      </c>
      <c r="BL179" s="1075">
        <f>+'Income Statement'!BL39+'Income Statement'!BL37</f>
        <v>21.983000000000001</v>
      </c>
      <c r="BM179" s="1075">
        <f>+'Income Statement'!BM39+'Income Statement'!BM37</f>
        <v>22.442</v>
      </c>
      <c r="BN179" s="1075">
        <f>+'Income Statement'!BN39+'Income Statement'!BN37</f>
        <v>84.233999999999995</v>
      </c>
      <c r="BO179" s="1075">
        <f>+'Income Statement'!BO39+'Income Statement'!BO37</f>
        <v>19.896000000000001</v>
      </c>
      <c r="BP179" s="1075">
        <f>+'Income Statement'!BP39+'Income Statement'!BP37</f>
        <v>19.824999999999999</v>
      </c>
      <c r="BQ179" s="1075">
        <f>+'Income Statement'!BQ39+'Income Statement'!BQ37</f>
        <v>21.329000000000001</v>
      </c>
      <c r="BR179" s="1075">
        <f>+'Income Statement'!BR39+'Income Statement'!BR37</f>
        <v>16.254000000000001</v>
      </c>
      <c r="BS179" s="1075">
        <f>+'Income Statement'!BS39+'Income Statement'!BS37</f>
        <v>77.304000000000002</v>
      </c>
      <c r="BT179" s="1075">
        <f>+'Income Statement'!BT39+'Income Statement'!BT37</f>
        <v>19.872999999999998</v>
      </c>
      <c r="BU179" s="1075">
        <f>+'Income Statement'!BU39+'Income Statement'!BU37</f>
        <v>22.292702144854964</v>
      </c>
      <c r="BV179" s="1075">
        <f>+'Income Statement'!BV39+'Income Statement'!BV37</f>
        <v>23.707413347327588</v>
      </c>
      <c r="BW179" s="1075">
        <f>+'Income Statement'!BW39+'Income Statement'!BW37</f>
        <v>18.613245717741123</v>
      </c>
      <c r="BX179" s="1075">
        <f>+'Income Statement'!BX39+'Income Statement'!BX37</f>
        <v>84.486361209923672</v>
      </c>
      <c r="BY179" s="1075">
        <f>+'Income Statement'!BY39+'Income Statement'!BY37</f>
        <v>21.145554437782582</v>
      </c>
      <c r="BZ179" s="1075">
        <f>+'Income Statement'!BZ39+'Income Statement'!BZ37</f>
        <v>23.7037817238092</v>
      </c>
      <c r="CA179" s="1075">
        <f>+'Income Statement'!CA39+'Income Statement'!CA37</f>
        <v>25.263460016727592</v>
      </c>
      <c r="CB179" s="1075">
        <f>+'Income Statement'!CB39+'Income Statement'!CB37</f>
        <v>19.666681812437254</v>
      </c>
      <c r="CC179" s="1075">
        <f>+'Income Statement'!CC39+'Income Statement'!CC37</f>
        <v>89.779477990756632</v>
      </c>
      <c r="CD179" s="1075">
        <f>+'Income Statement'!CD39+'Income Statement'!CD37</f>
        <v>22.222787667810103</v>
      </c>
      <c r="CE179" s="1075">
        <f>+'Income Statement'!CE39+'Income Statement'!CE37</f>
        <v>24.852241715046283</v>
      </c>
      <c r="CF179" s="1075">
        <f>+'Income Statement'!CF39+'Income Statement'!CF37</f>
        <v>26.50425620928397</v>
      </c>
      <c r="CG179" s="1075">
        <f>+'Income Statement'!CG39+'Income Statement'!CG37</f>
        <v>20.629887879958833</v>
      </c>
      <c r="CH179" s="1075">
        <f>+'Income Statement'!CH39+'Income Statement'!CH37</f>
        <v>94.209173472099181</v>
      </c>
      <c r="CI179" s="1075">
        <f>+'Income Statement'!CI39+'Income Statement'!CI37</f>
        <v>23.069716627025159</v>
      </c>
      <c r="CJ179" s="1075">
        <f>+'Income Statement'!CJ39+'Income Statement'!CJ37</f>
        <v>25.732315062515596</v>
      </c>
      <c r="CK179" s="1075">
        <f>+'Income Statement'!CK39+'Income Statement'!CK37</f>
        <v>27.449168641943857</v>
      </c>
      <c r="CL179" s="1075">
        <f>+'Income Statement'!CL39+'Income Statement'!CL37</f>
        <v>21.367921767460547</v>
      </c>
      <c r="CM179" s="1075">
        <f>+'Income Statement'!CM39+'Income Statement'!CM37</f>
        <v>97.619122098945169</v>
      </c>
      <c r="CN179" s="1075">
        <f>+'Income Statement'!CN39+'Income Statement'!CN37</f>
        <v>23.932234543077406</v>
      </c>
      <c r="CO179" s="1075">
        <f>+'Income Statement'!CO39+'Income Statement'!CO37</f>
        <v>26.617946720829529</v>
      </c>
      <c r="CP179" s="1075">
        <f>+'Income Statement'!CP39+'Income Statement'!CP37</f>
        <v>28.407017795954477</v>
      </c>
      <c r="CQ179" s="1075">
        <f>+'Income Statement'!CQ39+'Income Statement'!CQ37</f>
        <v>22.117110085584002</v>
      </c>
      <c r="CR179" s="1075">
        <f>+'Income Statement'!CR39+'Income Statement'!CR37</f>
        <v>101.07430914544543</v>
      </c>
      <c r="CW179" s="1076"/>
      <c r="CX179" s="1076"/>
      <c r="CY179" s="1076"/>
      <c r="CZ179" s="1076"/>
      <c r="DA179" s="1076"/>
      <c r="DB179" s="1076"/>
      <c r="DC179" s="1076"/>
      <c r="DD179" s="1076"/>
      <c r="DE179" s="1076"/>
      <c r="DF179" s="1076"/>
      <c r="DG179" s="1076"/>
      <c r="DH179" s="1076"/>
      <c r="DI179" s="1076"/>
      <c r="DL179" s="1077"/>
      <c r="DM179" s="1077"/>
    </row>
    <row r="180" spans="1:117" s="1075" customFormat="1" ht="12" customHeight="1">
      <c r="A180" s="1141" t="s">
        <v>1059</v>
      </c>
      <c r="AP180" s="1075">
        <f>+'Income Statement'!AP45+'Income Statement'!AP43</f>
        <v>6.8667499999999997</v>
      </c>
      <c r="AQ180" s="1075">
        <f>+'Income Statement'!AQ45+'Income Statement'!AQ43</f>
        <v>17.86675</v>
      </c>
      <c r="AR180" s="1075">
        <f>+'Income Statement'!AR45+'Income Statement'!AR43</f>
        <v>8.9808750000000011</v>
      </c>
      <c r="AS180" s="1075">
        <f>+'Income Statement'!AS45+'Income Statement'!AS43</f>
        <v>9.3056250000000009</v>
      </c>
      <c r="AT180" s="1075">
        <f>+'Income Statement'!AT45+'Income Statement'!AT43</f>
        <v>43.02</v>
      </c>
      <c r="AU180" s="1075">
        <f>+'Income Statement'!AU45+'Income Statement'!AU43</f>
        <v>7.5929999999999973</v>
      </c>
      <c r="AV180" s="1075">
        <f>+'Income Statement'!AV45+'Income Statement'!AV43</f>
        <v>7.8989999999999974</v>
      </c>
      <c r="AW180" s="1075">
        <f>+'Income Statement'!AW45+'Income Statement'!AW43</f>
        <v>6.4290000000000003</v>
      </c>
      <c r="AX180" s="1075">
        <f>+'Income Statement'!AX45+'Income Statement'!AX43</f>
        <v>27.546000000000003</v>
      </c>
      <c r="AY180" s="1075">
        <f>+'Income Statement'!AY45+'Income Statement'!AY43</f>
        <v>49.466999999999999</v>
      </c>
      <c r="AZ180" s="1075">
        <f>+'Income Statement'!AZ45+'Income Statement'!AZ43</f>
        <v>12.262</v>
      </c>
      <c r="BA180" s="1075">
        <f>+'Income Statement'!BA45+'Income Statement'!BA43</f>
        <v>11.720999999999997</v>
      </c>
      <c r="BB180" s="1075">
        <f>+'Income Statement'!BB45+'Income Statement'!BB43</f>
        <v>20.272999999999996</v>
      </c>
      <c r="BC180" s="1075">
        <f>+'Income Statement'!BC45+'Income Statement'!BC43</f>
        <v>17.126000000000019</v>
      </c>
      <c r="BD180" s="1075">
        <f>+'Income Statement'!BD45+'Income Statement'!BD43</f>
        <v>61.382000000000012</v>
      </c>
      <c r="BE180" s="1075">
        <f>+'Income Statement'!BE45+'Income Statement'!BE43</f>
        <v>19.21</v>
      </c>
      <c r="BF180" s="1075">
        <f>+'Income Statement'!BF45+'Income Statement'!BF43</f>
        <v>19.216000000000001</v>
      </c>
      <c r="BG180" s="1075">
        <f>+'Income Statement'!BG45+'Income Statement'!BG43</f>
        <v>19.975000000000001</v>
      </c>
      <c r="BH180" s="1075">
        <f>+'Income Statement'!BH45+'Income Statement'!BH43</f>
        <v>18.383999999999972</v>
      </c>
      <c r="BI180" s="1075">
        <f>+'Income Statement'!BI45+'Income Statement'!BI43</f>
        <v>76.784999999999968</v>
      </c>
      <c r="BJ180" s="1075">
        <f>+'Income Statement'!BJ45+'Income Statement'!BJ43</f>
        <v>19.555999999999994</v>
      </c>
      <c r="BK180" s="1075">
        <f>+'Income Statement'!BK45+'Income Statement'!BK43</f>
        <v>18.233000000000004</v>
      </c>
      <c r="BL180" s="1075">
        <f>+'Income Statement'!BL45+'Income Statement'!BL43</f>
        <v>17.420999999999999</v>
      </c>
      <c r="BM180" s="1075">
        <f>+'Income Statement'!BM45+'Income Statement'!BM43</f>
        <v>19.525999999999975</v>
      </c>
      <c r="BN180" s="1075">
        <f>+'Income Statement'!BN45+'Income Statement'!BN43</f>
        <v>74.735999999999962</v>
      </c>
      <c r="BO180" s="1075">
        <f>+'Income Statement'!BO45+'Income Statement'!BO43</f>
        <v>22.317000000000004</v>
      </c>
      <c r="BP180" s="1075">
        <f>+'Income Statement'!BP45+'Income Statement'!BP43</f>
        <v>20.650999999999996</v>
      </c>
      <c r="BQ180" s="1075">
        <f>+'Income Statement'!BQ45+'Income Statement'!BQ43</f>
        <v>20.071999999999996</v>
      </c>
      <c r="BR180" s="1075">
        <f>+'Income Statement'!BR45+'Income Statement'!BR43</f>
        <v>20.610999999999994</v>
      </c>
      <c r="BS180" s="1075">
        <f>+'Income Statement'!BS45+'Income Statement'!BS43</f>
        <v>83.650999999999982</v>
      </c>
      <c r="BT180" s="1075">
        <f>+'Income Statement'!BT45+'Income Statement'!BT43</f>
        <v>20.93</v>
      </c>
      <c r="BU180" s="1075">
        <f>+'Income Statement'!BU45+'Income Statement'!BU43</f>
        <v>21.857516871127256</v>
      </c>
      <c r="BV180" s="1075">
        <f>+'Income Statement'!BV45+'Income Statement'!BV43</f>
        <v>20.806939253245837</v>
      </c>
      <c r="BW180" s="1075">
        <f>+'Income Statement'!BW45+'Income Statement'!BW43</f>
        <v>20.468771519736855</v>
      </c>
      <c r="BX180" s="1075">
        <f>+'Income Statement'!BX45+'Income Statement'!BX43</f>
        <v>84.063227644109929</v>
      </c>
      <c r="BY180" s="1075">
        <f>+'Income Statement'!BY45+'Income Statement'!BY43</f>
        <v>21.677074364209407</v>
      </c>
      <c r="BZ180" s="1075">
        <f>+'Income Statement'!BZ45+'Income Statement'!BZ43</f>
        <v>22.5946812189474</v>
      </c>
      <c r="CA180" s="1075">
        <f>+'Income Statement'!CA45+'Income Statement'!CA43</f>
        <v>21.570797118568226</v>
      </c>
      <c r="CB180" s="1075">
        <f>+'Income Statement'!CB45+'Income Statement'!CB43</f>
        <v>21.215751080932556</v>
      </c>
      <c r="CC180" s="1075">
        <f>+'Income Statement'!CC45+'Income Statement'!CC43</f>
        <v>87.058303782657589</v>
      </c>
      <c r="CD180" s="1075">
        <f>+'Income Statement'!CD45+'Income Statement'!CD43</f>
        <v>22.706353990412168</v>
      </c>
      <c r="CE180" s="1075">
        <f>+'Income Statement'!CE45+'Income Statement'!CE43</f>
        <v>23.62227504146361</v>
      </c>
      <c r="CF180" s="1075">
        <f>+'Income Statement'!CF45+'Income Statement'!CF43</f>
        <v>22.663680560719058</v>
      </c>
      <c r="CG180" s="1075">
        <f>+'Income Statement'!CG45+'Income Statement'!CG43</f>
        <v>22.415810220068039</v>
      </c>
      <c r="CH180" s="1075">
        <f>+'Income Statement'!CH45+'Income Statement'!CH43</f>
        <v>91.408119812662889</v>
      </c>
      <c r="CI180" s="1075">
        <f>+'Income Statement'!CI45+'Income Statement'!CI43</f>
        <v>24.051529517286632</v>
      </c>
      <c r="CJ180" s="1075">
        <f>+'Income Statement'!CJ45+'Income Statement'!CJ43</f>
        <v>24.827336763291704</v>
      </c>
      <c r="CK180" s="1075">
        <f>+'Income Statement'!CK45+'Income Statement'!CK43</f>
        <v>23.812194858019982</v>
      </c>
      <c r="CL180" s="1075">
        <f>+'Income Statement'!CL45+'Income Statement'!CL43</f>
        <v>23.512599175717504</v>
      </c>
      <c r="CM180" s="1075">
        <f>+'Income Statement'!CM45+'Income Statement'!CM43</f>
        <v>96.203660314315826</v>
      </c>
      <c r="CN180" s="1075">
        <f>+'Income Statement'!CN45+'Income Statement'!CN43</f>
        <v>25.344224739381783</v>
      </c>
      <c r="CO180" s="1075">
        <f>+'Income Statement'!CO45+'Income Statement'!CO43</f>
        <v>25.996386361844323</v>
      </c>
      <c r="CP180" s="1075">
        <f>+'Income Statement'!CP45+'Income Statement'!CP43</f>
        <v>24.982056129520533</v>
      </c>
      <c r="CQ180" s="1075">
        <f>+'Income Statement'!CQ45+'Income Statement'!CQ43</f>
        <v>24.671747490246872</v>
      </c>
      <c r="CR180" s="1075">
        <f>+'Income Statement'!CR45+'Income Statement'!CR43</f>
        <v>100.99441472099352</v>
      </c>
      <c r="CW180" s="1076"/>
      <c r="CX180" s="1076"/>
      <c r="CY180" s="1076"/>
      <c r="CZ180" s="1076"/>
      <c r="DA180" s="1076"/>
      <c r="DB180" s="1076"/>
      <c r="DC180" s="1076"/>
      <c r="DD180" s="1076"/>
      <c r="DE180" s="1076"/>
      <c r="DF180" s="1076"/>
      <c r="DG180" s="1076"/>
      <c r="DH180" s="1076"/>
      <c r="DI180" s="1076"/>
      <c r="DL180" s="1077"/>
      <c r="DM180" s="1077"/>
    </row>
    <row r="181" spans="1:117" s="1075" customFormat="1" ht="12" customHeight="1">
      <c r="CW181" s="1076"/>
      <c r="CX181" s="1076"/>
      <c r="CY181" s="1076"/>
      <c r="CZ181" s="1076"/>
      <c r="DA181" s="1076"/>
      <c r="DB181" s="1076"/>
      <c r="DC181" s="1076"/>
      <c r="DD181" s="1076"/>
      <c r="DE181" s="1076"/>
      <c r="DF181" s="1076"/>
      <c r="DG181" s="1076"/>
      <c r="DH181" s="1076"/>
      <c r="DI181" s="1076"/>
      <c r="DL181" s="1077"/>
      <c r="DM181" s="1077"/>
    </row>
    <row r="182" spans="1:117" ht="12" customHeight="1">
      <c r="CW182" s="725"/>
      <c r="CX182" s="725"/>
      <c r="CY182" s="725"/>
      <c r="CZ182" s="725"/>
      <c r="DA182" s="725"/>
      <c r="DB182" s="725"/>
      <c r="DC182" s="725"/>
      <c r="DD182" s="725"/>
      <c r="DE182" s="725"/>
      <c r="DF182" s="725"/>
      <c r="DG182" s="725"/>
      <c r="DH182" s="725"/>
      <c r="DI182" s="725"/>
    </row>
    <row r="183" spans="1:117" s="1075" customFormat="1" ht="12" customHeight="1">
      <c r="A183" s="1075" t="s">
        <v>993</v>
      </c>
      <c r="AP183" s="1075">
        <f>+'Income Statement'!AP67</f>
        <v>13.832999999999998</v>
      </c>
      <c r="AQ183" s="1075">
        <f>+'Income Statement'!AQ67</f>
        <v>15.833000000000006</v>
      </c>
      <c r="AR183" s="1075">
        <f>+'Income Statement'!AR67</f>
        <v>18.762875000000037</v>
      </c>
      <c r="AS183" s="1075">
        <f>+'Income Statement'!AS67</f>
        <v>20.108125000000008</v>
      </c>
      <c r="AT183" s="1075">
        <f>+'Income Statement'!AT67</f>
        <v>68.536999999999978</v>
      </c>
      <c r="AU183" s="1075">
        <f>+'Income Statement'!AU67</f>
        <v>26.962000000000014</v>
      </c>
      <c r="AV183" s="1075">
        <f>+'Income Statement'!AV67</f>
        <v>26.150999999999989</v>
      </c>
      <c r="AW183" s="1075">
        <f>+'Income Statement'!AW67</f>
        <v>28.254999999999992</v>
      </c>
      <c r="AX183" s="1075">
        <f>+'Income Statement'!AX67</f>
        <v>28.095999999999972</v>
      </c>
      <c r="AY183" s="1075">
        <f>+'Income Statement'!AY67</f>
        <v>109.46399999999997</v>
      </c>
      <c r="AZ183" s="1075">
        <f>+'Income Statement'!AZ67</f>
        <v>29.190999999999999</v>
      </c>
      <c r="BA183" s="1075">
        <f>+'Income Statement'!BA67</f>
        <v>33.5</v>
      </c>
      <c r="BB183" s="1075">
        <f>+'Income Statement'!BB67</f>
        <v>45.889999999999986</v>
      </c>
      <c r="BC183" s="1075">
        <f>+'Income Statement'!BC67</f>
        <v>53.898000000000039</v>
      </c>
      <c r="BD183" s="1075">
        <f>+'Income Statement'!BD67</f>
        <v>162.47899999999998</v>
      </c>
      <c r="BE183" s="1075">
        <f>+'Income Statement'!BE67</f>
        <v>51.399999999999991</v>
      </c>
      <c r="BF183" s="1075">
        <f>+'Income Statement'!BF67</f>
        <v>48.346999999999987</v>
      </c>
      <c r="BG183" s="1075">
        <f>+'Income Statement'!BG67</f>
        <v>56.155000000000008</v>
      </c>
      <c r="BH183" s="1075">
        <f>+'Income Statement'!BH67</f>
        <v>61.342000000000013</v>
      </c>
      <c r="BI183" s="1075">
        <f>+'Income Statement'!BI67</f>
        <v>217.244</v>
      </c>
      <c r="BJ183" s="1075">
        <f>+'Income Statement'!BJ67</f>
        <v>53.76100000000001</v>
      </c>
      <c r="BK183" s="1075">
        <f>+'Income Statement'!BK67</f>
        <v>56.107999999999983</v>
      </c>
      <c r="BL183" s="1075">
        <f>+'Income Statement'!BL67</f>
        <v>55.356000000000016</v>
      </c>
      <c r="BM183" s="1075">
        <f>+'Income Statement'!BM67</f>
        <v>55.10799999999999</v>
      </c>
      <c r="BN183" s="1075">
        <f>+'Income Statement'!BN67</f>
        <v>220.33300000000014</v>
      </c>
      <c r="BO183" s="1075">
        <f>+'Income Statement'!BO67</f>
        <v>50.725000000000009</v>
      </c>
      <c r="BP183" s="1075">
        <f>+'Income Statement'!BP67</f>
        <v>54.867000000000004</v>
      </c>
      <c r="BQ183" s="1075">
        <f>+'Income Statement'!BQ67</f>
        <v>53.575000000000017</v>
      </c>
      <c r="BR183" s="1075">
        <f>+'Income Statement'!BR67</f>
        <v>56.315000000000019</v>
      </c>
      <c r="BS183" s="1075">
        <f>+'Income Statement'!BS67</f>
        <v>215.48200000000003</v>
      </c>
      <c r="BT183" s="1075">
        <f>+'Income Statement'!BT67</f>
        <v>52.232000000000014</v>
      </c>
      <c r="BU183" s="1075">
        <f>+'Income Statement'!BU67</f>
        <v>50.588490052826444</v>
      </c>
      <c r="BV183" s="1075">
        <f>+'Income Statement'!BV67</f>
        <v>48.408101218157377</v>
      </c>
      <c r="BW183" s="1075">
        <f>+'Income Statement'!BW67</f>
        <v>54.215853935318393</v>
      </c>
      <c r="BX183" s="1075">
        <f>+'Income Statement'!BX67</f>
        <v>205.44444520630219</v>
      </c>
      <c r="BY183" s="1075">
        <f>+'Income Statement'!BY67</f>
        <v>52.761466113398704</v>
      </c>
      <c r="BZ183" s="1075">
        <f>+'Income Statement'!BZ67</f>
        <v>49.240050358638683</v>
      </c>
      <c r="CA183" s="1075">
        <f>+'Income Statement'!CA67</f>
        <v>48.309152660417112</v>
      </c>
      <c r="CB183" s="1075">
        <f>+'Income Statement'!CB67</f>
        <v>55.848824691819047</v>
      </c>
      <c r="CC183" s="1075">
        <f>+'Income Statement'!CC67</f>
        <v>206.15949382427365</v>
      </c>
      <c r="CD183" s="1075">
        <f>+'Income Statement'!CD67</f>
        <v>57.494202591297679</v>
      </c>
      <c r="CE183" s="1075">
        <f>+'Income Statement'!CE67</f>
        <v>51.219227335449574</v>
      </c>
      <c r="CF183" s="1075">
        <f>+'Income Statement'!CF67</f>
        <v>50.379456781902896</v>
      </c>
      <c r="CG183" s="1075">
        <f>+'Income Statement'!CG67</f>
        <v>58.030938801828569</v>
      </c>
      <c r="CH183" s="1075">
        <f>+'Income Statement'!CH67</f>
        <v>217.12382551047872</v>
      </c>
      <c r="CI183" s="1075">
        <f>+'Income Statement'!CI67</f>
        <v>62.073345524894336</v>
      </c>
      <c r="CJ183" s="1075">
        <f>+'Income Statement'!CJ67</f>
        <v>52.880807874056387</v>
      </c>
      <c r="CK183" s="1075">
        <f>+'Income Statement'!CK67</f>
        <v>52.511307448561588</v>
      </c>
      <c r="CL183" s="1075">
        <f>+'Income Statement'!CL67</f>
        <v>60.533862266015987</v>
      </c>
      <c r="CM183" s="1075">
        <f>+'Income Statement'!CM67</f>
        <v>227.99932311352833</v>
      </c>
      <c r="CN183" s="1075">
        <f>+'Income Statement'!CN67</f>
        <v>67.365332012497092</v>
      </c>
      <c r="CO183" s="1075">
        <f>+'Income Statement'!CO67</f>
        <v>54.677981943184946</v>
      </c>
      <c r="CP183" s="1075">
        <f>+'Income Statement'!CP67</f>
        <v>55.041479463816913</v>
      </c>
      <c r="CQ183" s="1075">
        <f>+'Income Statement'!CQ67</f>
        <v>63.354311497193137</v>
      </c>
      <c r="CR183" s="1075">
        <f>+'Income Statement'!CR67</f>
        <v>240.43910491669209</v>
      </c>
      <c r="CW183" s="1076"/>
      <c r="CX183" s="1076"/>
      <c r="CY183" s="1076"/>
      <c r="CZ183" s="1076"/>
      <c r="DA183" s="1076"/>
      <c r="DB183" s="1076"/>
      <c r="DC183" s="1076"/>
      <c r="DD183" s="1076"/>
      <c r="DE183" s="1076"/>
      <c r="DF183" s="1076"/>
      <c r="DG183" s="1076"/>
      <c r="DH183" s="1076"/>
      <c r="DI183" s="1076"/>
      <c r="DL183" s="1077"/>
      <c r="DM183" s="1077"/>
    </row>
    <row r="184" spans="1:117" s="1075" customFormat="1" ht="12" customHeight="1">
      <c r="CW184" s="1076"/>
      <c r="CX184" s="1076"/>
      <c r="CY184" s="1076"/>
      <c r="CZ184" s="1076"/>
      <c r="DA184" s="1076"/>
      <c r="DB184" s="1076"/>
      <c r="DC184" s="1076"/>
      <c r="DD184" s="1076"/>
      <c r="DE184" s="1076"/>
      <c r="DF184" s="1076"/>
      <c r="DG184" s="1076"/>
      <c r="DH184" s="1076"/>
      <c r="DI184" s="1076"/>
      <c r="DL184" s="1077"/>
      <c r="DM184" s="1077"/>
    </row>
    <row r="185" spans="1:117" s="1075" customFormat="1" ht="12" customHeight="1">
      <c r="A185" s="1141" t="s">
        <v>1060</v>
      </c>
      <c r="AP185" s="1075">
        <f>+'Income Statement'!AP31+'Income Statement'!AP37+'Income Statement'!AP43</f>
        <v>1.6990000000000001</v>
      </c>
      <c r="AQ185" s="1075">
        <f>+'Income Statement'!AQ31+'Income Statement'!AQ37+'Income Statement'!AQ43</f>
        <v>9.6989999999999998</v>
      </c>
      <c r="AR185" s="1075">
        <f>+'Income Statement'!AR31+'Income Statement'!AR37+'Income Statement'!AR43</f>
        <v>2.6989999999999998</v>
      </c>
      <c r="AS185" s="1075">
        <f>+'Income Statement'!AS31+'Income Statement'!AS37+'Income Statement'!AS43</f>
        <v>3.8659999999999997</v>
      </c>
      <c r="AT185" s="1075">
        <f>+'Income Statement'!AT31+'Income Statement'!AT37+'Income Statement'!AT43</f>
        <v>17.963000000000001</v>
      </c>
      <c r="AU185" s="1075">
        <f>+'Income Statement'!AU31+'Income Statement'!AU37+'Income Statement'!AU43</f>
        <v>2.1150000000000002</v>
      </c>
      <c r="AV185" s="1075">
        <f>+'Income Statement'!AV31+'Income Statement'!AV37+'Income Statement'!AV43</f>
        <v>1.92</v>
      </c>
      <c r="AW185" s="1075">
        <f>+'Income Statement'!AW31+'Income Statement'!AW37+'Income Statement'!AW43</f>
        <v>2.1640000000000001</v>
      </c>
      <c r="AX185" s="1075">
        <f>+'Income Statement'!AX31+'Income Statement'!AX37+'Income Statement'!AX43</f>
        <v>31.047000000000001</v>
      </c>
      <c r="AY185" s="1075">
        <f>+'Income Statement'!AY31+'Income Statement'!AY37+'Income Statement'!AY43</f>
        <v>37.246000000000002</v>
      </c>
      <c r="AZ185" s="1075">
        <f>+'Income Statement'!AZ31+'Income Statement'!AZ37+'Income Statement'!AZ43</f>
        <v>2.077</v>
      </c>
      <c r="BA185" s="1075">
        <f>+'Income Statement'!BA31+'Income Statement'!BA37+'Income Statement'!BA43</f>
        <v>2.327</v>
      </c>
      <c r="BB185" s="1075">
        <f>+'Income Statement'!BB31+'Income Statement'!BB37+'Income Statement'!BB43</f>
        <v>3.5449999999999995</v>
      </c>
      <c r="BC185" s="1075">
        <f>+'Income Statement'!BC31+'Income Statement'!BC37+'Income Statement'!BC43</f>
        <v>2.0499999999999998</v>
      </c>
      <c r="BD185" s="1075">
        <f>+'Income Statement'!BD31+'Income Statement'!BD37+'Income Statement'!BD43</f>
        <v>9.9989999999999988</v>
      </c>
      <c r="BE185" s="1075">
        <f>+'Income Statement'!BE31+'Income Statement'!BE37+'Income Statement'!BE43</f>
        <v>2.976</v>
      </c>
      <c r="BF185" s="1075">
        <f>+'Income Statement'!BF31+'Income Statement'!BF37+'Income Statement'!BF43</f>
        <v>5.0640000000000001</v>
      </c>
      <c r="BG185" s="1075">
        <f>+'Income Statement'!BG31+'Income Statement'!BG37+'Income Statement'!BG43</f>
        <v>4.2549999999999999</v>
      </c>
      <c r="BH185" s="1075">
        <f>+'Income Statement'!BH31+'Income Statement'!BH37+'Income Statement'!BH43</f>
        <v>3.9899999999999993</v>
      </c>
      <c r="BI185" s="1075">
        <f>+'Income Statement'!BI31+'Income Statement'!BI37+'Income Statement'!BI43</f>
        <v>16.285</v>
      </c>
      <c r="BJ185" s="1075">
        <f>+'Income Statement'!BJ31+'Income Statement'!BJ37+'Income Statement'!BJ43</f>
        <v>3.843</v>
      </c>
      <c r="BK185" s="1075">
        <f>+'Income Statement'!BK31+'Income Statement'!BK37+'Income Statement'!BK43</f>
        <v>6.3049999999999997</v>
      </c>
      <c r="BL185" s="1075">
        <f>+'Income Statement'!BL31+'Income Statement'!BL37+'Income Statement'!BL43</f>
        <v>5.5360000000000005</v>
      </c>
      <c r="BM185" s="1075">
        <f>+'Income Statement'!BM31+'Income Statement'!BM37+'Income Statement'!BM43</f>
        <v>7.2290000000000019</v>
      </c>
      <c r="BN185" s="1075">
        <f>+'Income Statement'!BN31+'Income Statement'!BN37+'Income Statement'!BN43</f>
        <v>22.913000000000004</v>
      </c>
      <c r="BO185" s="1075">
        <f>+'Income Statement'!BO31+'Income Statement'!BO37+'Income Statement'!BO43</f>
        <v>10.582000000000001</v>
      </c>
      <c r="BP185" s="1075">
        <f>+'Income Statement'!BP31+'Income Statement'!BP37+'Income Statement'!BP43</f>
        <v>11.121000000000002</v>
      </c>
      <c r="BQ185" s="1075">
        <f>+'Income Statement'!BQ31+'Income Statement'!BQ37+'Income Statement'!BQ43</f>
        <v>8.9109999999999978</v>
      </c>
      <c r="BR185" s="1075">
        <f>+'Income Statement'!BR31+'Income Statement'!BR37+'Income Statement'!BR43</f>
        <v>8.2349999999999994</v>
      </c>
      <c r="BS185" s="1075">
        <f>+'Income Statement'!BS31+'Income Statement'!BS37+'Income Statement'!BS43</f>
        <v>38.849000000000004</v>
      </c>
      <c r="BT185" s="1075">
        <f>+'Income Statement'!BT31+'Income Statement'!BT37+'Income Statement'!BT43</f>
        <v>9.6009999999999991</v>
      </c>
      <c r="BU185" s="1075">
        <f>+'Income Statement'!BU31+'Income Statement'!BU37+'Income Statement'!BU43</f>
        <v>10.906552217100995</v>
      </c>
      <c r="BV185" s="1075">
        <f>+'Income Statement'!BV31+'Income Statement'!BV37+'Income Statement'!BV43</f>
        <v>8.8782495750768682</v>
      </c>
      <c r="BW185" s="1075">
        <f>+'Income Statement'!BW31+'Income Statement'!BW37+'Income Statement'!BW43</f>
        <v>8.047119310412997</v>
      </c>
      <c r="BX185" s="1075">
        <f>+'Income Statement'!BX31+'Income Statement'!BX37+'Income Statement'!BX43</f>
        <v>37.432921102590861</v>
      </c>
      <c r="BY185" s="1075">
        <f>+'Income Statement'!BY31+'Income Statement'!BY37+'Income Statement'!BY43</f>
        <v>9.8177692188602315</v>
      </c>
      <c r="BZ185" s="1075">
        <f>+'Income Statement'!BZ31+'Income Statement'!BZ37+'Income Statement'!BZ43</f>
        <v>11.096218355116848</v>
      </c>
      <c r="CA185" s="1075">
        <f>+'Income Statement'!CA31+'Income Statement'!CA37+'Income Statement'!CA43</f>
        <v>9.1023521591606382</v>
      </c>
      <c r="CB185" s="1075">
        <f>+'Income Statement'!CB31+'Income Statement'!CB37+'Income Statement'!CB43</f>
        <v>8.286623915844018</v>
      </c>
      <c r="CC185" s="1075">
        <f>+'Income Statement'!CC31+'Income Statement'!CC37+'Income Statement'!CC43</f>
        <v>38.302963648981738</v>
      </c>
      <c r="CD185" s="1075">
        <f>+'Income Statement'!CD31+'Income Statement'!CD37+'Income Statement'!CD43</f>
        <v>10.385294813257923</v>
      </c>
      <c r="CE185" s="1075">
        <f>+'Income Statement'!CE31+'Income Statement'!CE37+'Income Statement'!CE43</f>
        <v>11.509974856613727</v>
      </c>
      <c r="CF185" s="1075">
        <f>+'Income Statement'!CF31+'Income Statement'!CF37+'Income Statement'!CF43</f>
        <v>9.4715338726001406</v>
      </c>
      <c r="CG185" s="1075">
        <f>+'Income Statement'!CG31+'Income Statement'!CG37+'Income Statement'!CG43</f>
        <v>8.6236554517218753</v>
      </c>
      <c r="CH185" s="1075">
        <f>+'Income Statement'!CH31+'Income Statement'!CH37+'Income Statement'!CH43</f>
        <v>39.990458994193666</v>
      </c>
      <c r="CI185" s="1075">
        <f>+'Income Statement'!CI31+'Income Statement'!CI37+'Income Statement'!CI43</f>
        <v>11.014272325110433</v>
      </c>
      <c r="CJ185" s="1075">
        <f>+'Income Statement'!CJ31+'Income Statement'!CJ37+'Income Statement'!CJ43</f>
        <v>11.952168442330134</v>
      </c>
      <c r="CK185" s="1075">
        <f>+'Income Statement'!CK31+'Income Statement'!CK37+'Income Statement'!CK43</f>
        <v>9.8693361704134865</v>
      </c>
      <c r="CL185" s="1075">
        <f>+'Income Statement'!CL31+'Income Statement'!CL37+'Income Statement'!CL43</f>
        <v>8.9868829845969476</v>
      </c>
      <c r="CM185" s="1075">
        <f>+'Income Statement'!CM31+'Income Statement'!CM37+'Income Statement'!CM43</f>
        <v>41.822659922451003</v>
      </c>
      <c r="CN185" s="1075">
        <f>+'Income Statement'!CN31+'Income Statement'!CN37+'Income Statement'!CN43</f>
        <v>11.688875438000698</v>
      </c>
      <c r="CO185" s="1075">
        <f>+'Income Statement'!CO31+'Income Statement'!CO37+'Income Statement'!CO43</f>
        <v>12.399760975911292</v>
      </c>
      <c r="CP185" s="1075">
        <f>+'Income Statement'!CP31+'Income Statement'!CP37+'Income Statement'!CP43</f>
        <v>10.299280724684202</v>
      </c>
      <c r="CQ185" s="1075">
        <f>+'Income Statement'!CQ31+'Income Statement'!CQ37+'Income Statement'!CQ43</f>
        <v>9.3795333532988892</v>
      </c>
      <c r="CR185" s="1075">
        <f>+'Income Statement'!CR31+'Income Statement'!CR37+'Income Statement'!CR43</f>
        <v>43.767450491895076</v>
      </c>
      <c r="CW185" s="1076"/>
      <c r="CX185" s="1076"/>
      <c r="CY185" s="1076"/>
      <c r="CZ185" s="1076"/>
      <c r="DA185" s="1076"/>
      <c r="DB185" s="1076"/>
      <c r="DC185" s="1076"/>
      <c r="DD185" s="1076"/>
      <c r="DE185" s="1076"/>
      <c r="DF185" s="1076"/>
      <c r="DG185" s="1076"/>
      <c r="DH185" s="1076"/>
      <c r="DI185" s="1076"/>
      <c r="DL185" s="1077"/>
      <c r="DM185" s="1077"/>
    </row>
    <row r="186" spans="1:117" s="1075" customFormat="1" ht="12" customHeight="1">
      <c r="A186" s="1075" t="s">
        <v>713</v>
      </c>
      <c r="AP186" s="1075">
        <f>+'Income Statement'!AP30+'Income Statement'!AP36+'Income Statement'!AP42</f>
        <v>1</v>
      </c>
      <c r="AQ186" s="1075">
        <f>+'Income Statement'!AQ30+'Income Statement'!AQ36+'Income Statement'!AQ42</f>
        <v>1</v>
      </c>
      <c r="AR186" s="1075">
        <f>+'Income Statement'!AR30+'Income Statement'!AR36+'Income Statement'!AR42</f>
        <v>2</v>
      </c>
      <c r="AS186" s="1075">
        <f>+'Income Statement'!AS30+'Income Statement'!AS36+'Income Statement'!AS42</f>
        <v>0.24599999999999866</v>
      </c>
      <c r="AT186" s="1075">
        <f>+'Income Statement'!AT30+'Income Statement'!AT36+'Income Statement'!AT42</f>
        <v>4.2459999999999987</v>
      </c>
      <c r="AU186" s="1075">
        <f>+'Income Statement'!AU30+'Income Statement'!AU36+'Income Statement'!AU42</f>
        <v>1.7600000000000007</v>
      </c>
      <c r="AV186" s="1075">
        <f>+'Income Statement'!AV30+'Income Statement'!AV36+'Income Statement'!AV42</f>
        <v>1.8130000000000024</v>
      </c>
      <c r="AW186" s="1075">
        <f>+'Income Statement'!AW30+'Income Statement'!AW36+'Income Statement'!AW42</f>
        <v>1.8649999999999984</v>
      </c>
      <c r="AX186" s="1075">
        <f>+'Income Statement'!AX30+'Income Statement'!AX36+'Income Statement'!AX42</f>
        <v>1.8139999999999965</v>
      </c>
      <c r="AY186" s="1075">
        <f>+'Income Statement'!AY30+'Income Statement'!AY36+'Income Statement'!AY42</f>
        <v>7.251999999999998</v>
      </c>
      <c r="AZ186" s="1075">
        <f>+'Income Statement'!AZ30+'Income Statement'!AZ36+'Income Statement'!AZ42</f>
        <v>2.266</v>
      </c>
      <c r="BA186" s="1075">
        <f>+'Income Statement'!BA30+'Income Statement'!BA36+'Income Statement'!BA42</f>
        <v>2.3090000000000028</v>
      </c>
      <c r="BB186" s="1075">
        <f>+'Income Statement'!BB30+'Income Statement'!BB36+'Income Statement'!BB42</f>
        <v>3.2550000000000026</v>
      </c>
      <c r="BC186" s="1075">
        <f>+'Income Statement'!BC30+'Income Statement'!BC36+'Income Statement'!BC42</f>
        <v>3.4999999999999787</v>
      </c>
      <c r="BD186" s="1075">
        <f>+'Income Statement'!BD30+'Income Statement'!BD36+'Income Statement'!BD42</f>
        <v>11.329999999999984</v>
      </c>
      <c r="BE186" s="1075">
        <f>+'Income Statement'!BE30+'Income Statement'!BE36+'Income Statement'!BE42</f>
        <v>3.3409999999999975</v>
      </c>
      <c r="BF186" s="1075">
        <f>+'Income Statement'!BF30+'Income Statement'!BF36+'Income Statement'!BF42</f>
        <v>4.4220000000000006</v>
      </c>
      <c r="BG186" s="1075">
        <f>+'Income Statement'!BG30+'Income Statement'!BG36+'Income Statement'!BG42</f>
        <v>4.097999999999999</v>
      </c>
      <c r="BH186" s="1075">
        <f>+'Income Statement'!BH30+'Income Statement'!BH36+'Income Statement'!BH42</f>
        <v>4.5120000000000298</v>
      </c>
      <c r="BI186" s="1075">
        <f>+'Income Statement'!BI30+'Income Statement'!BI36+'Income Statement'!BI42</f>
        <v>16.373000000000026</v>
      </c>
      <c r="BJ186" s="1075">
        <f>+'Income Statement'!BJ30+'Income Statement'!BJ36+'Income Statement'!BJ42</f>
        <v>4.5700000000000038</v>
      </c>
      <c r="BK186" s="1075">
        <f>+'Income Statement'!BK30+'Income Statement'!BK36+'Income Statement'!BK42</f>
        <v>5.0559999999999938</v>
      </c>
      <c r="BL186" s="1075">
        <f>+'Income Statement'!BL30+'Income Statement'!BL36+'Income Statement'!BL42</f>
        <v>4.8950000000000031</v>
      </c>
      <c r="BM186" s="1075">
        <f>+'Income Statement'!BM30+'Income Statement'!BM36+'Income Statement'!BM42</f>
        <v>4.9870000000000285</v>
      </c>
      <c r="BN186" s="1075">
        <f>+'Income Statement'!BN30+'Income Statement'!BN36+'Income Statement'!BN42</f>
        <v>19.508000000000028</v>
      </c>
      <c r="BO186" s="1075">
        <f>+'Income Statement'!BO30+'Income Statement'!BO36+'Income Statement'!BO42</f>
        <v>5.0349999999999966</v>
      </c>
      <c r="BP186" s="1075">
        <f>+'Income Statement'!BP30+'Income Statement'!BP36+'Income Statement'!BP42</f>
        <v>5.0860000000000021</v>
      </c>
      <c r="BQ186" s="1075">
        <f>+'Income Statement'!BQ30+'Income Statement'!BQ36+'Income Statement'!BQ42</f>
        <v>5.1930000000000049</v>
      </c>
      <c r="BR186" s="1075">
        <f>+'Income Statement'!BR30+'Income Statement'!BR36+'Income Statement'!BR42</f>
        <v>5.0930000000000089</v>
      </c>
      <c r="BS186" s="1075">
        <f>+'Income Statement'!BS30+'Income Statement'!BS36+'Income Statement'!BS42</f>
        <v>20.407000000000011</v>
      </c>
      <c r="BT186" s="1075">
        <f>+'Income Statement'!BT30+'Income Statement'!BT36+'Income Statement'!BT42</f>
        <v>4.7379999999999995</v>
      </c>
      <c r="BU186" s="1075">
        <f>+'Income Statement'!BU30+'Income Statement'!BU36+'Income Statement'!BU42</f>
        <v>4.8725426200340518</v>
      </c>
      <c r="BV186" s="1075">
        <f>+'Income Statement'!BV30+'Income Statement'!BV36+'Income Statement'!BV42</f>
        <v>4.9052425633132737</v>
      </c>
      <c r="BW186" s="1075">
        <f>+'Income Statement'!BW30+'Income Statement'!BW36+'Income Statement'!BW42</f>
        <v>4.9403032963280529</v>
      </c>
      <c r="BX186" s="1075">
        <f>+'Income Statement'!BX30+'Income Statement'!BX36+'Income Statement'!BX42</f>
        <v>19.45608847967538</v>
      </c>
      <c r="BY186" s="1075">
        <f>+'Income Statement'!BY30+'Income Statement'!BY36+'Income Statement'!BY42</f>
        <v>4.8096443995805434</v>
      </c>
      <c r="BZ186" s="1075">
        <f>+'Income Statement'!BZ30+'Income Statement'!BZ36+'Income Statement'!BZ42</f>
        <v>4.8385799117733077</v>
      </c>
      <c r="CA186" s="1075">
        <f>+'Income Statement'!CA30+'Income Statement'!CA36+'Income Statement'!CA42</f>
        <v>4.8677503579025849</v>
      </c>
      <c r="CB186" s="1075">
        <f>+'Income Statement'!CB30+'Income Statement'!CB36+'Income Statement'!CB42</f>
        <v>4.8999504446021911</v>
      </c>
      <c r="CC186" s="1075">
        <f>+'Income Statement'!CC30+'Income Statement'!CC36+'Income Statement'!CC42</f>
        <v>19.415925113858627</v>
      </c>
      <c r="CD186" s="1075">
        <f>+'Income Statement'!CD30+'Income Statement'!CD36+'Income Statement'!CD42</f>
        <v>3.980562500614508</v>
      </c>
      <c r="CE186" s="1075">
        <f>+'Income Statement'!CE30+'Income Statement'!CE36+'Income Statement'!CE42</f>
        <v>4.0065927002715789</v>
      </c>
      <c r="CF186" s="1075">
        <f>+'Income Statement'!CF30+'Income Statement'!CF36+'Income Statement'!CF42</f>
        <v>4.0329323925598946</v>
      </c>
      <c r="CG186" s="1075">
        <f>+'Income Statement'!CG30+'Income Statement'!CG36+'Income Statement'!CG42</f>
        <v>4.0619415871613773</v>
      </c>
      <c r="CH186" s="1075">
        <f>+'Income Statement'!CH30+'Income Statement'!CH36+'Income Statement'!CH42</f>
        <v>16.082029180607357</v>
      </c>
      <c r="CI186" s="1075">
        <f>+'Income Statement'!CI30+'Income Statement'!CI36+'Income Statement'!CI42</f>
        <v>3.9248722910658542</v>
      </c>
      <c r="CJ186" s="1075">
        <f>+'Income Statement'!CJ30+'Income Statement'!CJ36+'Income Statement'!CJ42</f>
        <v>3.9477647476915831</v>
      </c>
      <c r="CK186" s="1075">
        <f>+'Income Statement'!CK30+'Income Statement'!CK36+'Income Statement'!CK42</f>
        <v>3.9710078817688443</v>
      </c>
      <c r="CL186" s="1075">
        <f>+'Income Statement'!CL30+'Income Statement'!CL36+'Income Statement'!CL42</f>
        <v>3.9966123245267462</v>
      </c>
      <c r="CM186" s="1075">
        <f>+'Income Statement'!CM30+'Income Statement'!CM36+'Income Statement'!CM42</f>
        <v>15.840257245053028</v>
      </c>
      <c r="CN186" s="1075">
        <f>+'Income Statement'!CN30+'Income Statement'!CN36+'Income Statement'!CN42</f>
        <v>3.8849615117050198</v>
      </c>
      <c r="CO186" s="1075">
        <f>+'Income Statement'!CO30+'Income Statement'!CO36+'Income Statement'!CO42</f>
        <v>3.9054909155972934</v>
      </c>
      <c r="CP186" s="1075">
        <f>+'Income Statement'!CP30+'Income Statement'!CP36+'Income Statement'!CP42</f>
        <v>3.9264480375429049</v>
      </c>
      <c r="CQ186" s="1075">
        <f>+'Income Statement'!CQ30+'Income Statement'!CQ36+'Income Statement'!CQ42</f>
        <v>3.9494817173322474</v>
      </c>
      <c r="CR186" s="1075">
        <f>+'Income Statement'!CR30+'Income Statement'!CR36+'Income Statement'!CR42</f>
        <v>15.666382182177466</v>
      </c>
      <c r="CW186" s="1076"/>
      <c r="CX186" s="1076"/>
      <c r="CY186" s="1076"/>
      <c r="CZ186" s="1076"/>
      <c r="DA186" s="1076"/>
      <c r="DB186" s="1076"/>
      <c r="DC186" s="1076"/>
      <c r="DD186" s="1076"/>
      <c r="DE186" s="1076"/>
      <c r="DF186" s="1076"/>
      <c r="DG186" s="1076"/>
      <c r="DH186" s="1076"/>
      <c r="DI186" s="1076"/>
      <c r="DL186" s="1077"/>
      <c r="DM186" s="1077"/>
    </row>
    <row r="187" spans="1:117" s="1075" customFormat="1" ht="12" customHeight="1">
      <c r="CW187" s="1076"/>
      <c r="CX187" s="1076"/>
      <c r="CY187" s="1076"/>
      <c r="CZ187" s="1076"/>
      <c r="DA187" s="1076"/>
      <c r="DB187" s="1076"/>
      <c r="DC187" s="1076"/>
      <c r="DD187" s="1076"/>
      <c r="DE187" s="1076"/>
      <c r="DF187" s="1076"/>
      <c r="DG187" s="1076"/>
      <c r="DH187" s="1076"/>
      <c r="DI187" s="1076"/>
      <c r="DL187" s="1077"/>
      <c r="DM187" s="1077"/>
    </row>
    <row r="188" spans="1:117" s="1075" customFormat="1" ht="12" customHeight="1">
      <c r="A188" s="1141" t="s">
        <v>1063</v>
      </c>
      <c r="AP188" s="1075">
        <f>+'Income Statement'!AP47</f>
        <v>6</v>
      </c>
      <c r="AQ188" s="1075">
        <f>+'Income Statement'!AQ47</f>
        <v>8</v>
      </c>
      <c r="AR188" s="1075">
        <f>+'Income Statement'!AR47</f>
        <v>9</v>
      </c>
      <c r="AS188" s="1075">
        <f>+'Income Statement'!AS47</f>
        <v>8.1290000000000013</v>
      </c>
      <c r="AT188" s="1075">
        <f>+'Income Statement'!AT47</f>
        <v>31.129000000000001</v>
      </c>
      <c r="AU188" s="1075">
        <f>+'Income Statement'!AU47</f>
        <v>8.4670000000000005</v>
      </c>
      <c r="AV188" s="1075">
        <f>+'Income Statement'!AV47</f>
        <v>8.4469999999999992</v>
      </c>
      <c r="AW188" s="1075">
        <f>+'Income Statement'!AW47</f>
        <v>8.4510000000000005</v>
      </c>
      <c r="AX188" s="1075">
        <f>+'Income Statement'!AX47</f>
        <v>7.1590000000000007</v>
      </c>
      <c r="AY188" s="1075">
        <f>+'Income Statement'!AY47</f>
        <v>32.524000000000001</v>
      </c>
      <c r="AZ188" s="1075">
        <f>+'Income Statement'!AZ47</f>
        <v>3.83</v>
      </c>
      <c r="BA188" s="1075">
        <f>+'Income Statement'!BA47</f>
        <v>3.5430000000000001</v>
      </c>
      <c r="BB188" s="1075">
        <f>+'Income Statement'!BB47</f>
        <v>19.47</v>
      </c>
      <c r="BC188" s="1075">
        <f>+'Income Statement'!BC47</f>
        <v>19.515000000000001</v>
      </c>
      <c r="BD188" s="1075">
        <f>+'Income Statement'!BD47</f>
        <v>46.358000000000004</v>
      </c>
      <c r="BE188" s="1075">
        <f>+'Income Statement'!BE47</f>
        <v>21.535</v>
      </c>
      <c r="BF188" s="1075">
        <f>+'Income Statement'!BF47</f>
        <v>21.023</v>
      </c>
      <c r="BG188" s="1075">
        <f>+'Income Statement'!BG47</f>
        <v>19.965</v>
      </c>
      <c r="BH188" s="1075">
        <f>+'Income Statement'!BH47</f>
        <v>20.289000000000001</v>
      </c>
      <c r="BI188" s="1075">
        <f>+'Income Statement'!BI47</f>
        <v>82.811999999999998</v>
      </c>
      <c r="BJ188" s="1075">
        <f>+'Income Statement'!BJ47</f>
        <v>20.128</v>
      </c>
      <c r="BK188" s="1075">
        <f>+'Income Statement'!BK47</f>
        <v>19.992999999999999</v>
      </c>
      <c r="BL188" s="1075">
        <f>+'Income Statement'!BL47</f>
        <v>20.013999999999999</v>
      </c>
      <c r="BM188" s="1075">
        <f>+'Income Statement'!BM47</f>
        <v>20.140999999999998</v>
      </c>
      <c r="BN188" s="1075">
        <f>+'Income Statement'!BN47</f>
        <v>80.275999999999982</v>
      </c>
      <c r="BO188" s="1075">
        <f>+'Income Statement'!BO47</f>
        <v>20.085999999999999</v>
      </c>
      <c r="BP188" s="1075">
        <f>+'Income Statement'!BP47</f>
        <v>20.143000000000001</v>
      </c>
      <c r="BQ188" s="1075">
        <f>+'Income Statement'!BQ47</f>
        <v>5.6109999999999998</v>
      </c>
      <c r="BR188" s="1075">
        <f>+'Income Statement'!BR47</f>
        <v>5.6050000000000004</v>
      </c>
      <c r="BS188" s="1075">
        <f>+'Income Statement'!BS47</f>
        <v>51.444999999999993</v>
      </c>
      <c r="BT188" s="1075">
        <f>+'Income Statement'!BT47</f>
        <v>5.6109999999999998</v>
      </c>
      <c r="BU188" s="1075">
        <f>+'Income Statement'!BU47</f>
        <v>5.6110000000000024</v>
      </c>
      <c r="BV188" s="1075">
        <f>+'Income Statement'!BV47</f>
        <v>5.6110000000000024</v>
      </c>
      <c r="BW188" s="1075">
        <f>+'Income Statement'!BW47</f>
        <v>5.6110000000000024</v>
      </c>
      <c r="BX188" s="1075">
        <f>+'Income Statement'!BX47</f>
        <v>22.44400000000001</v>
      </c>
      <c r="BY188" s="1075">
        <f>+'Income Statement'!BY47</f>
        <v>5.6110000000000024</v>
      </c>
      <c r="BZ188" s="1075">
        <f>+'Income Statement'!BZ47</f>
        <v>5.6110000000000024</v>
      </c>
      <c r="CA188" s="1075">
        <f>+'Income Statement'!CA47</f>
        <v>5.6110000000000024</v>
      </c>
      <c r="CB188" s="1075">
        <f>+'Income Statement'!CB47</f>
        <v>5.6110000000000024</v>
      </c>
      <c r="CC188" s="1075">
        <f>+'Income Statement'!CC47</f>
        <v>22.44400000000001</v>
      </c>
      <c r="CD188" s="1075">
        <f>+'Income Statement'!CD47</f>
        <v>4.4248222030054096</v>
      </c>
      <c r="CE188" s="1075">
        <f>+'Income Statement'!CE47</f>
        <v>4.4248222030054096</v>
      </c>
      <c r="CF188" s="1075">
        <f>+'Income Statement'!CF47</f>
        <v>4.4248222030054096</v>
      </c>
      <c r="CG188" s="1075">
        <f>+'Income Statement'!CG47</f>
        <v>4.4248222030054096</v>
      </c>
      <c r="CH188" s="1075">
        <f>+'Income Statement'!CH47</f>
        <v>17.699288812021639</v>
      </c>
      <c r="CI188" s="1075">
        <f>+'Income Statement'!CI47</f>
        <v>4.4248222030054096</v>
      </c>
      <c r="CJ188" s="1075">
        <f>+'Income Statement'!CJ47</f>
        <v>4.4248222030054096</v>
      </c>
      <c r="CK188" s="1075">
        <f>+'Income Statement'!CK47</f>
        <v>4.4248222030054096</v>
      </c>
      <c r="CL188" s="1075">
        <f>+'Income Statement'!CL47</f>
        <v>4.4248222030054096</v>
      </c>
      <c r="CM188" s="1075">
        <f>+'Income Statement'!CM47</f>
        <v>17.699288812021639</v>
      </c>
      <c r="CN188" s="1075">
        <f>+'Income Statement'!CN47</f>
        <v>4.4248222030054096</v>
      </c>
      <c r="CO188" s="1075">
        <f>+'Income Statement'!CO47</f>
        <v>4.4248222030054096</v>
      </c>
      <c r="CP188" s="1075">
        <f>+'Income Statement'!CP47</f>
        <v>4.4248222030054096</v>
      </c>
      <c r="CQ188" s="1075">
        <f>+'Income Statement'!CQ47</f>
        <v>4.4248222030054096</v>
      </c>
      <c r="CR188" s="1075">
        <f>+'Income Statement'!CR47</f>
        <v>17.699288812021639</v>
      </c>
      <c r="CW188" s="1076"/>
      <c r="CX188" s="1076"/>
      <c r="CY188" s="1076"/>
      <c r="CZ188" s="1076"/>
      <c r="DA188" s="1076"/>
      <c r="DB188" s="1076"/>
      <c r="DC188" s="1076"/>
      <c r="DD188" s="1076"/>
      <c r="DE188" s="1076"/>
      <c r="DF188" s="1076"/>
      <c r="DG188" s="1076"/>
      <c r="DH188" s="1076"/>
      <c r="DI188" s="1076"/>
      <c r="DL188" s="1077"/>
      <c r="DM188" s="1077"/>
    </row>
    <row r="189" spans="1:117" ht="12" customHeight="1">
      <c r="CW189" s="725"/>
      <c r="CX189" s="725"/>
      <c r="CY189" s="725"/>
      <c r="CZ189" s="725"/>
      <c r="DA189" s="725"/>
      <c r="DB189" s="725"/>
      <c r="DC189" s="725"/>
      <c r="DD189" s="725"/>
      <c r="DE189" s="725"/>
      <c r="DF189" s="725"/>
      <c r="DG189" s="725"/>
      <c r="DH189" s="725"/>
      <c r="DI189" s="725"/>
    </row>
    <row r="190" spans="1:117" ht="12" customHeight="1">
      <c r="AP190" s="1071" t="str">
        <f>+'Income Statement'!AP7</f>
        <v>1Q20</v>
      </c>
      <c r="AQ190" s="1071" t="str">
        <f>+'Income Statement'!AQ7</f>
        <v>2Q20</v>
      </c>
      <c r="AR190" s="1071" t="str">
        <f>+'Income Statement'!AR7</f>
        <v>3Q20</v>
      </c>
      <c r="AS190" s="1071" t="str">
        <f>+'Income Statement'!AS7</f>
        <v>4Q20</v>
      </c>
      <c r="AT190" s="1071">
        <f>+'Income Statement'!AT7</f>
        <v>2020</v>
      </c>
      <c r="AU190" s="1071" t="str">
        <f>+'Income Statement'!AU7</f>
        <v>1Q21</v>
      </c>
      <c r="AV190" s="1071" t="str">
        <f>+'Income Statement'!AV7</f>
        <v>2Q21</v>
      </c>
      <c r="AW190" s="1071" t="str">
        <f>+'Income Statement'!AW7</f>
        <v>3Q21</v>
      </c>
      <c r="AX190" s="1071" t="str">
        <f>+'Income Statement'!AX7</f>
        <v>4Q21</v>
      </c>
      <c r="AY190" s="1071">
        <f>+'Income Statement'!AY7</f>
        <v>2021</v>
      </c>
      <c r="AZ190" s="1071" t="str">
        <f>+'Income Statement'!AZ7</f>
        <v>1Q22</v>
      </c>
      <c r="BA190" s="1071" t="str">
        <f>+'Income Statement'!BA7</f>
        <v>2Q22</v>
      </c>
      <c r="BB190" s="1071" t="str">
        <f>+'Income Statement'!BB7</f>
        <v>3Q22</v>
      </c>
      <c r="BC190" s="1071" t="str">
        <f>+'Income Statement'!BC7</f>
        <v>4Q22</v>
      </c>
      <c r="BD190" s="1071">
        <f>+'Income Statement'!BD7</f>
        <v>2022</v>
      </c>
      <c r="BE190" s="1071" t="str">
        <f>+'Income Statement'!BE7</f>
        <v>1Q23</v>
      </c>
      <c r="BF190" s="1071" t="str">
        <f>+'Income Statement'!BF7</f>
        <v>2Q23</v>
      </c>
      <c r="BG190" s="1071" t="str">
        <f>+'Income Statement'!BG7</f>
        <v>3Q23</v>
      </c>
      <c r="BH190" s="1071" t="str">
        <f>+'Income Statement'!BH7</f>
        <v>4Q23</v>
      </c>
      <c r="BI190" s="1071">
        <f>+'Income Statement'!BI7</f>
        <v>2023</v>
      </c>
      <c r="BJ190" s="1071" t="str">
        <f>+'Income Statement'!BJ7</f>
        <v>1Q24</v>
      </c>
      <c r="BK190" s="1071" t="str">
        <f>+'Income Statement'!BK7</f>
        <v>2Q24</v>
      </c>
      <c r="BL190" s="1071" t="str">
        <f>+'Income Statement'!BL7</f>
        <v>3Q24</v>
      </c>
      <c r="BM190" s="1071" t="str">
        <f>+'Income Statement'!BM7</f>
        <v>4Q24</v>
      </c>
      <c r="BN190" s="1071">
        <f>+'Income Statement'!BN7</f>
        <v>2024</v>
      </c>
      <c r="BO190" s="1071" t="str">
        <f>+'Income Statement'!BO7</f>
        <v>1Q25</v>
      </c>
      <c r="BP190" s="1071" t="str">
        <f>+'Income Statement'!BP7</f>
        <v>2Q25</v>
      </c>
      <c r="BQ190" s="1071" t="str">
        <f>+'Income Statement'!BQ7</f>
        <v>3Q25</v>
      </c>
      <c r="BR190" s="1071" t="str">
        <f>+'Income Statement'!BR7</f>
        <v>4Q25</v>
      </c>
      <c r="BS190" s="1071">
        <f>+'Income Statement'!BS7</f>
        <v>2025</v>
      </c>
      <c r="BT190" s="1071" t="str">
        <f>+'Income Statement'!BT7</f>
        <v>1Q26</v>
      </c>
      <c r="BU190" s="1071" t="str">
        <f>+'Income Statement'!BU7</f>
        <v>2Q26E</v>
      </c>
      <c r="BV190" s="1071" t="str">
        <f>+'Income Statement'!BV7</f>
        <v>3Q26E</v>
      </c>
      <c r="BW190" s="1071" t="str">
        <f>+'Income Statement'!BW7</f>
        <v>4Q26E</v>
      </c>
      <c r="BX190" s="1071">
        <f>+'Income Statement'!BX7</f>
        <v>2026</v>
      </c>
      <c r="BY190" s="1071" t="str">
        <f>+'Income Statement'!BY7</f>
        <v>1Q27E</v>
      </c>
      <c r="BZ190" s="1071" t="str">
        <f>+'Income Statement'!BZ7</f>
        <v>2Q27E</v>
      </c>
      <c r="CA190" s="1071" t="str">
        <f>+'Income Statement'!CA7</f>
        <v>3Q27E</v>
      </c>
      <c r="CB190" s="1071" t="str">
        <f>+'Income Statement'!CB7</f>
        <v>4Q27E</v>
      </c>
      <c r="CC190" s="1071">
        <f>+'Income Statement'!CC7</f>
        <v>2027</v>
      </c>
      <c r="CD190" s="1071" t="str">
        <f>+'Income Statement'!CD7</f>
        <v>1Q28E</v>
      </c>
      <c r="CE190" s="1071" t="str">
        <f>+'Income Statement'!CE7</f>
        <v>2Q28E</v>
      </c>
      <c r="CF190" s="1071" t="str">
        <f>+'Income Statement'!CF7</f>
        <v>3Q28E</v>
      </c>
      <c r="CG190" s="1071" t="str">
        <f>+'Income Statement'!CG7</f>
        <v>4Q28E</v>
      </c>
      <c r="CH190" s="1071">
        <f>+'Income Statement'!CH7</f>
        <v>2028</v>
      </c>
      <c r="CI190" s="1071" t="str">
        <f>+'Income Statement'!CI7</f>
        <v>1Q29E</v>
      </c>
      <c r="CJ190" s="1071" t="str">
        <f>+'Income Statement'!CJ7</f>
        <v>2Q29E</v>
      </c>
      <c r="CK190" s="1071" t="str">
        <f>+'Income Statement'!CK7</f>
        <v>3Q29E</v>
      </c>
      <c r="CL190" s="1071" t="str">
        <f>+'Income Statement'!CL7</f>
        <v>4Q29E</v>
      </c>
      <c r="CM190" s="1071">
        <f>+'Income Statement'!CM7</f>
        <v>2029</v>
      </c>
      <c r="CN190" s="1071" t="str">
        <f>+'Income Statement'!CN7</f>
        <v>1Q30E</v>
      </c>
      <c r="CO190" s="1071" t="str">
        <f>+'Income Statement'!CO7</f>
        <v>2Q30E</v>
      </c>
      <c r="CP190" s="1071" t="str">
        <f>+'Income Statement'!CP7</f>
        <v>3Q30E</v>
      </c>
      <c r="CQ190" s="1071" t="str">
        <f>+'Income Statement'!CQ7</f>
        <v>4Q30E</v>
      </c>
      <c r="CR190" s="1071">
        <f>+'Income Statement'!CR7</f>
        <v>2030</v>
      </c>
      <c r="CS190" s="1071"/>
      <c r="CT190" s="1071"/>
      <c r="CU190" s="1071"/>
      <c r="CW190" s="725"/>
      <c r="CX190" s="725"/>
      <c r="CY190" s="725"/>
      <c r="CZ190" s="725"/>
      <c r="DA190" s="725"/>
      <c r="DB190" s="725"/>
      <c r="DC190" s="725"/>
      <c r="DD190" s="725"/>
      <c r="DE190" s="725"/>
      <c r="DF190" s="725"/>
      <c r="DG190" s="725"/>
      <c r="DH190" s="725"/>
      <c r="DI190" s="725"/>
    </row>
    <row r="191" spans="1:117" ht="12" customHeight="1">
      <c r="AP191" s="1071" t="b">
        <f t="shared" ref="AP191:BU191" si="55">+AP190=AP7</f>
        <v>1</v>
      </c>
      <c r="AQ191" s="1071" t="b">
        <f t="shared" si="55"/>
        <v>1</v>
      </c>
      <c r="AR191" s="1071" t="b">
        <f t="shared" si="55"/>
        <v>1</v>
      </c>
      <c r="AS191" s="1071" t="b">
        <f t="shared" si="55"/>
        <v>1</v>
      </c>
      <c r="AT191" s="1071" t="b">
        <f t="shared" si="55"/>
        <v>1</v>
      </c>
      <c r="AU191" s="1071" t="b">
        <f t="shared" si="55"/>
        <v>1</v>
      </c>
      <c r="AV191" s="1071" t="b">
        <f t="shared" si="55"/>
        <v>1</v>
      </c>
      <c r="AW191" s="1071" t="b">
        <f t="shared" si="55"/>
        <v>1</v>
      </c>
      <c r="AX191" s="1071" t="b">
        <f t="shared" si="55"/>
        <v>1</v>
      </c>
      <c r="AY191" s="1071" t="b">
        <f t="shared" si="55"/>
        <v>1</v>
      </c>
      <c r="AZ191" s="1071" t="b">
        <f t="shared" si="55"/>
        <v>1</v>
      </c>
      <c r="BA191" s="1071" t="b">
        <f t="shared" si="55"/>
        <v>1</v>
      </c>
      <c r="BB191" s="1071" t="b">
        <f t="shared" si="55"/>
        <v>1</v>
      </c>
      <c r="BC191" s="1071" t="b">
        <f t="shared" si="55"/>
        <v>1</v>
      </c>
      <c r="BD191" s="1071" t="b">
        <f t="shared" si="55"/>
        <v>1</v>
      </c>
      <c r="BE191" s="1071" t="b">
        <f t="shared" si="55"/>
        <v>1</v>
      </c>
      <c r="BF191" s="1071" t="b">
        <f t="shared" si="55"/>
        <v>1</v>
      </c>
      <c r="BG191" s="1071" t="b">
        <f t="shared" si="55"/>
        <v>1</v>
      </c>
      <c r="BH191" s="1071" t="b">
        <f t="shared" si="55"/>
        <v>1</v>
      </c>
      <c r="BI191" s="1071" t="b">
        <f t="shared" si="55"/>
        <v>1</v>
      </c>
      <c r="BJ191" s="1071" t="b">
        <f t="shared" si="55"/>
        <v>1</v>
      </c>
      <c r="BK191" s="1071" t="b">
        <f t="shared" si="55"/>
        <v>1</v>
      </c>
      <c r="BL191" s="1071" t="b">
        <f t="shared" si="55"/>
        <v>1</v>
      </c>
      <c r="BM191" s="1071" t="b">
        <f t="shared" si="55"/>
        <v>1</v>
      </c>
      <c r="BN191" s="1071" t="b">
        <f t="shared" si="55"/>
        <v>1</v>
      </c>
      <c r="BO191" s="1071" t="b">
        <f t="shared" si="55"/>
        <v>1</v>
      </c>
      <c r="BP191" s="1071" t="b">
        <f t="shared" si="55"/>
        <v>1</v>
      </c>
      <c r="BQ191" s="1071" t="b">
        <f t="shared" si="55"/>
        <v>1</v>
      </c>
      <c r="BR191" s="1071" t="b">
        <f t="shared" si="55"/>
        <v>1</v>
      </c>
      <c r="BS191" s="1071" t="b">
        <f t="shared" si="55"/>
        <v>1</v>
      </c>
      <c r="BT191" s="1071" t="b">
        <f t="shared" si="55"/>
        <v>1</v>
      </c>
      <c r="BU191" s="1071" t="b">
        <f t="shared" si="55"/>
        <v>1</v>
      </c>
      <c r="BV191" s="1071" t="b">
        <f t="shared" ref="BV191:CR191" si="56">+BV190=BV7</f>
        <v>1</v>
      </c>
      <c r="BW191" s="1071" t="b">
        <f t="shared" si="56"/>
        <v>1</v>
      </c>
      <c r="BX191" s="1071" t="b">
        <f t="shared" si="56"/>
        <v>1</v>
      </c>
      <c r="BY191" s="1071" t="b">
        <f t="shared" si="56"/>
        <v>1</v>
      </c>
      <c r="BZ191" s="1071" t="b">
        <f t="shared" si="56"/>
        <v>1</v>
      </c>
      <c r="CA191" s="1071" t="b">
        <f t="shared" si="56"/>
        <v>1</v>
      </c>
      <c r="CB191" s="1071" t="b">
        <f t="shared" si="56"/>
        <v>1</v>
      </c>
      <c r="CC191" s="1071" t="b">
        <f t="shared" si="56"/>
        <v>1</v>
      </c>
      <c r="CD191" s="1071" t="b">
        <f t="shared" si="56"/>
        <v>1</v>
      </c>
      <c r="CE191" s="1071" t="b">
        <f t="shared" si="56"/>
        <v>1</v>
      </c>
      <c r="CF191" s="1071" t="b">
        <f t="shared" si="56"/>
        <v>1</v>
      </c>
      <c r="CG191" s="1071" t="b">
        <f t="shared" si="56"/>
        <v>1</v>
      </c>
      <c r="CH191" s="1071" t="b">
        <f t="shared" si="56"/>
        <v>1</v>
      </c>
      <c r="CI191" s="1071" t="b">
        <f t="shared" si="56"/>
        <v>1</v>
      </c>
      <c r="CJ191" s="1071" t="b">
        <f t="shared" si="56"/>
        <v>1</v>
      </c>
      <c r="CK191" s="1071" t="b">
        <f t="shared" si="56"/>
        <v>1</v>
      </c>
      <c r="CL191" s="1071" t="b">
        <f t="shared" si="56"/>
        <v>1</v>
      </c>
      <c r="CM191" s="1071" t="b">
        <f t="shared" si="56"/>
        <v>1</v>
      </c>
      <c r="CN191" s="1071" t="b">
        <f t="shared" si="56"/>
        <v>1</v>
      </c>
      <c r="CO191" s="1071" t="b">
        <f t="shared" si="56"/>
        <v>1</v>
      </c>
      <c r="CP191" s="1071" t="b">
        <f t="shared" si="56"/>
        <v>1</v>
      </c>
      <c r="CQ191" s="1071" t="b">
        <f t="shared" si="56"/>
        <v>1</v>
      </c>
      <c r="CR191" s="1071" t="b">
        <f t="shared" si="56"/>
        <v>1</v>
      </c>
      <c r="CS191" s="1071"/>
      <c r="CT191" s="1071"/>
      <c r="CU191" s="1071"/>
      <c r="CW191" s="725"/>
      <c r="CX191" s="725"/>
      <c r="CY191" s="725"/>
      <c r="CZ191" s="725"/>
      <c r="DA191" s="725"/>
      <c r="DB191" s="725"/>
      <c r="DC191" s="725"/>
      <c r="DD191" s="725"/>
      <c r="DE191" s="725"/>
      <c r="DF191" s="725"/>
      <c r="DG191" s="725"/>
      <c r="DH191" s="725"/>
      <c r="DI191" s="725"/>
    </row>
    <row r="192" spans="1:117" ht="12" customHeight="1">
      <c r="CW192" s="725"/>
      <c r="CX192" s="725"/>
      <c r="CY192" s="725"/>
      <c r="CZ192" s="725"/>
      <c r="DA192" s="725"/>
      <c r="DB192" s="725"/>
      <c r="DC192" s="725"/>
      <c r="DD192" s="725"/>
      <c r="DE192" s="725"/>
      <c r="DF192" s="725"/>
      <c r="DG192" s="725"/>
      <c r="DH192" s="725"/>
      <c r="DI192" s="725"/>
    </row>
    <row r="193" spans="1:117" ht="12" customHeight="1">
      <c r="CW193" s="725"/>
      <c r="CX193" s="725"/>
      <c r="CY193" s="725"/>
      <c r="CZ193" s="725"/>
      <c r="DA193" s="725"/>
      <c r="DB193" s="725"/>
      <c r="DC193" s="725"/>
      <c r="DD193" s="725"/>
      <c r="DE193" s="725"/>
      <c r="DF193" s="725"/>
      <c r="DG193" s="725"/>
      <c r="DH193" s="725"/>
      <c r="DI193" s="725"/>
    </row>
    <row r="194" spans="1:117" ht="12" customHeight="1">
      <c r="BQ194" s="680">
        <f>+BQ207/BN207-1</f>
        <v>4.7511453118274094E-2</v>
      </c>
      <c r="BT194" s="680">
        <f>+BT197/BQ197-1</f>
        <v>4.9978768811375307E-2</v>
      </c>
      <c r="CW194" s="725"/>
      <c r="CX194" s="725"/>
      <c r="CY194" s="725"/>
      <c r="CZ194" s="725"/>
      <c r="DA194" s="725"/>
      <c r="DB194" s="725"/>
      <c r="DC194" s="725"/>
      <c r="DD194" s="725"/>
      <c r="DE194" s="725"/>
      <c r="DF194" s="725"/>
      <c r="DG194" s="725"/>
      <c r="DH194" s="725"/>
      <c r="DI194" s="725"/>
    </row>
    <row r="195" spans="1:117" ht="12" customHeight="1">
      <c r="AT195" s="1071"/>
      <c r="AU195" s="1071"/>
      <c r="AV195" s="1071"/>
      <c r="AW195" s="1071" t="s">
        <v>1028</v>
      </c>
      <c r="AX195" s="1071" t="s">
        <v>1029</v>
      </c>
      <c r="AY195" s="1071" t="s">
        <v>325</v>
      </c>
      <c r="AZ195" s="1071" t="str">
        <f>+"1H"&amp;RIGHT(AW195,2)+1</f>
        <v>1H22</v>
      </c>
      <c r="BA195" s="1071" t="str">
        <f>+"2H"&amp;RIGHT(AX195,2)+1</f>
        <v>2H22</v>
      </c>
      <c r="BB195" s="1071" t="str">
        <f>+"FY"&amp;RIGHT(AY195,2)+1</f>
        <v>FY22</v>
      </c>
      <c r="BC195" s="1071" t="str">
        <f>+"1H"&amp;RIGHT(AZ195,2)+1</f>
        <v>1H23</v>
      </c>
      <c r="BD195" s="1071" t="str">
        <f>+"2H"&amp;RIGHT(BA195,2)+1</f>
        <v>2H23</v>
      </c>
      <c r="BE195" s="1071" t="str">
        <f>+"FY"&amp;RIGHT(BB195,2)+1</f>
        <v>FY23</v>
      </c>
      <c r="BF195" s="1071" t="str">
        <f>+"1H"&amp;RIGHT(BC195,2)+1</f>
        <v>1H24</v>
      </c>
      <c r="BG195" s="1071" t="str">
        <f>+"2H"&amp;RIGHT(BD195,2)+1</f>
        <v>2H24</v>
      </c>
      <c r="BH195" s="1071" t="str">
        <f>+"FY"&amp;RIGHT(BE195,2)+1</f>
        <v>FY24</v>
      </c>
      <c r="BI195" s="1071" t="str">
        <f>+"1H"&amp;RIGHT(BF195,2)+1</f>
        <v>1H25</v>
      </c>
      <c r="BJ195" s="1071" t="str">
        <f>+"2H"&amp;RIGHT(BG195,2)+1</f>
        <v>2H25</v>
      </c>
      <c r="BK195" s="1071" t="str">
        <f>+"FY"&amp;RIGHT(BH195,2)+1</f>
        <v>FY25</v>
      </c>
      <c r="BL195" s="1071" t="str">
        <f>+"1H"&amp;RIGHT(BI195,2)+1</f>
        <v>1H26</v>
      </c>
      <c r="BM195" s="1071" t="str">
        <f>+"2H"&amp;RIGHT(BJ195,2)+1</f>
        <v>2H26</v>
      </c>
      <c r="BN195" s="1071" t="str">
        <f>+"FY"&amp;RIGHT(BK195,2)+1</f>
        <v>FY26</v>
      </c>
      <c r="BO195" s="1071" t="str">
        <f>+"1H"&amp;RIGHT(BL195,2)+1</f>
        <v>1H27</v>
      </c>
      <c r="BP195" s="1071" t="str">
        <f>+"2H"&amp;RIGHT(BM195,2)+1</f>
        <v>2H27</v>
      </c>
      <c r="BQ195" s="1071" t="str">
        <f>+"FY"&amp;RIGHT(BN195,2)+1</f>
        <v>FY27</v>
      </c>
      <c r="BR195" s="1071" t="str">
        <f>+"1H"&amp;RIGHT(BO195,2)+1</f>
        <v>1H28</v>
      </c>
      <c r="BS195" s="1071" t="str">
        <f>+"2H"&amp;RIGHT(BP195,2)+1</f>
        <v>2H28</v>
      </c>
      <c r="BT195" s="1071" t="str">
        <f>+"FY"&amp;RIGHT(BQ195,2)+1</f>
        <v>FY28</v>
      </c>
      <c r="CW195" s="725"/>
      <c r="CX195" s="725"/>
      <c r="CY195" s="725"/>
      <c r="CZ195" s="725"/>
      <c r="DA195" s="725"/>
      <c r="DB195" s="725"/>
      <c r="DC195" s="725"/>
      <c r="DD195" s="725"/>
      <c r="DE195" s="725"/>
      <c r="DF195" s="725"/>
      <c r="DG195" s="725"/>
      <c r="DH195" s="725"/>
      <c r="DI195" s="725"/>
    </row>
    <row r="196" spans="1:117" ht="12" customHeight="1">
      <c r="AT196" s="1072"/>
      <c r="AU196" s="1072"/>
      <c r="AV196" s="1072"/>
      <c r="AW196" s="1072">
        <v>44196</v>
      </c>
      <c r="AX196" s="1072">
        <v>44377</v>
      </c>
      <c r="AY196" s="1072">
        <v>44377</v>
      </c>
      <c r="AZ196" s="1072">
        <f t="shared" ref="AZ196:BK196" si="57">+EOMONTH(AW196,12)</f>
        <v>44561</v>
      </c>
      <c r="BA196" s="1072">
        <f t="shared" si="57"/>
        <v>44742</v>
      </c>
      <c r="BB196" s="1072">
        <f t="shared" si="57"/>
        <v>44742</v>
      </c>
      <c r="BC196" s="1072">
        <f t="shared" si="57"/>
        <v>44926</v>
      </c>
      <c r="BD196" s="1072">
        <f t="shared" si="57"/>
        <v>45107</v>
      </c>
      <c r="BE196" s="1072">
        <f t="shared" si="57"/>
        <v>45107</v>
      </c>
      <c r="BF196" s="1072">
        <f t="shared" si="57"/>
        <v>45291</v>
      </c>
      <c r="BG196" s="1072">
        <f t="shared" si="57"/>
        <v>45473</v>
      </c>
      <c r="BH196" s="1072">
        <f t="shared" si="57"/>
        <v>45473</v>
      </c>
      <c r="BI196" s="1072">
        <f t="shared" si="57"/>
        <v>45657</v>
      </c>
      <c r="BJ196" s="1072">
        <f t="shared" si="57"/>
        <v>45838</v>
      </c>
      <c r="BK196" s="1072">
        <f t="shared" si="57"/>
        <v>45838</v>
      </c>
      <c r="BL196" s="1072">
        <f t="shared" ref="BL196" si="58">+EOMONTH(BI196,12)</f>
        <v>46022</v>
      </c>
      <c r="BM196" s="1072">
        <f t="shared" ref="BM196" si="59">+EOMONTH(BJ196,12)</f>
        <v>46203</v>
      </c>
      <c r="BN196" s="1072">
        <f t="shared" ref="BN196" si="60">+EOMONTH(BK196,12)</f>
        <v>46203</v>
      </c>
      <c r="BO196" s="1072">
        <f t="shared" ref="BO196" si="61">+EOMONTH(BL196,12)</f>
        <v>46387</v>
      </c>
      <c r="BP196" s="1072">
        <f t="shared" ref="BP196" si="62">+EOMONTH(BM196,12)</f>
        <v>46568</v>
      </c>
      <c r="BQ196" s="1072">
        <f t="shared" ref="BQ196" si="63">+EOMONTH(BN196,12)</f>
        <v>46568</v>
      </c>
      <c r="BR196" s="1072">
        <f t="shared" ref="BR196" si="64">+EOMONTH(BO196,12)</f>
        <v>46752</v>
      </c>
      <c r="BS196" s="1072">
        <f t="shared" ref="BS196" si="65">+EOMONTH(BP196,12)</f>
        <v>46934</v>
      </c>
      <c r="BT196" s="1072">
        <f t="shared" ref="BT196" si="66">+EOMONTH(BQ196,12)</f>
        <v>46934</v>
      </c>
      <c r="BU196" s="1070"/>
      <c r="CW196" s="725"/>
      <c r="CX196" s="725"/>
      <c r="CY196" s="725"/>
      <c r="CZ196" s="725"/>
      <c r="DA196" s="725"/>
      <c r="DB196" s="725"/>
      <c r="DC196" s="725"/>
      <c r="DD196" s="725"/>
      <c r="DE196" s="725"/>
      <c r="DF196" s="725"/>
      <c r="DG196" s="725"/>
      <c r="DH196" s="725"/>
      <c r="DI196" s="725"/>
    </row>
    <row r="197" spans="1:117" s="1078" customFormat="1" ht="12" customHeight="1">
      <c r="A197" s="1078" t="s">
        <v>1035</v>
      </c>
      <c r="AW197" s="1078">
        <f>+(AV34/3*2)+(AW34)+(AX34/3)</f>
        <v>140.6</v>
      </c>
      <c r="AX197" s="1078">
        <f>+(AX34/3*2)+(AZ34)+(BA34/3)</f>
        <v>147.25066666666666</v>
      </c>
      <c r="AY197" s="1078">
        <f>+AW197+AX197</f>
        <v>287.85066666666665</v>
      </c>
      <c r="AZ197" s="1078">
        <f>+(BA34/3*2)+(BB34)+(BC34/3)</f>
        <v>208.738</v>
      </c>
      <c r="BA197" s="1078">
        <f>+(BC34/3*2)+(BE34)+(BF34/3)</f>
        <v>254.93333333333334</v>
      </c>
      <c r="BB197" s="1078">
        <f>+AZ197+BA197</f>
        <v>463.67133333333334</v>
      </c>
      <c r="BC197" s="1078">
        <f>+(BF34/3*2)+(BG34)+(BH34/3)</f>
        <v>268.26066666666668</v>
      </c>
      <c r="BD197" s="1078">
        <f>+(BH34/3*2)+(BJ34)+(BK34/3)</f>
        <v>271.07299999999998</v>
      </c>
      <c r="BE197" s="1078">
        <f>+BC197+BD197</f>
        <v>539.33366666666666</v>
      </c>
      <c r="BF197" s="1078">
        <f>+(BK34/3*2)+(BL34)+(BM34/3)</f>
        <v>267.40766666666673</v>
      </c>
      <c r="BG197" s="1078">
        <f>+(BM34/3*2)+(BO34)+(BP34/3)</f>
        <v>264.82566666666668</v>
      </c>
      <c r="BH197" s="1078">
        <f>+BG197+BF197</f>
        <v>532.23333333333335</v>
      </c>
      <c r="BI197" s="1078">
        <f>+(BP34/3*2)+(BQ34)+(BR34/3)</f>
        <v>264.03633333333335</v>
      </c>
      <c r="BJ197" s="1078">
        <f>+(BR34/3*2)+(BT34)+(BU34/3)</f>
        <v>265.31144838666665</v>
      </c>
      <c r="BK197" s="1078">
        <f>+BI197+BJ197</f>
        <v>529.34778172000006</v>
      </c>
      <c r="BL197" s="1078">
        <f>+(BU34/3*2)+(BV34)+(BW34/3)</f>
        <v>264.91395277333334</v>
      </c>
      <c r="BM197" s="1078">
        <f>+(BW34/3*2)+(BY34)+(BZ34/3)</f>
        <v>270.82955519453333</v>
      </c>
      <c r="BN197" s="1078">
        <f>+BL197+BM197</f>
        <v>535.74350796786666</v>
      </c>
      <c r="BO197" s="1078">
        <f>+(BZ34/3*2)+(CA34)+(CB34/3)</f>
        <v>272.01164750906668</v>
      </c>
      <c r="BP197" s="1078">
        <f>+(CB34/3*2)+(CD34)+(CE34/3)</f>
        <v>284.54982954796935</v>
      </c>
      <c r="BQ197" s="1078">
        <f>+BO197+BP197</f>
        <v>556.56147705703597</v>
      </c>
      <c r="BR197" s="1078">
        <f>+(CE34/3*2)+(CF34)+(CG34/3)</f>
        <v>283.88625516153866</v>
      </c>
      <c r="BS197" s="1078">
        <f>+(CG34/3*2)+(CI34)+(CJ34/3)</f>
        <v>300.49147928664848</v>
      </c>
      <c r="BT197" s="1078">
        <f>+BR197+BS197</f>
        <v>584.37773444818708</v>
      </c>
      <c r="CW197" s="1079"/>
      <c r="CX197" s="1079"/>
      <c r="CY197" s="1079"/>
      <c r="CZ197" s="1079"/>
      <c r="DA197" s="1079"/>
      <c r="DB197" s="1079"/>
      <c r="DC197" s="1079"/>
      <c r="DD197" s="1079"/>
      <c r="DE197" s="1079"/>
      <c r="DF197" s="1079"/>
      <c r="DG197" s="1079"/>
      <c r="DH197" s="1079"/>
      <c r="DI197" s="1079"/>
      <c r="DL197" s="1080"/>
      <c r="DM197" s="1080"/>
    </row>
    <row r="198" spans="1:117" ht="12" customHeight="1">
      <c r="A198" s="680" t="s">
        <v>1036</v>
      </c>
      <c r="AW198" s="1078">
        <f t="shared" ref="AW198:BT198" si="67">+AW199-AW197</f>
        <v>27.621333333333325</v>
      </c>
      <c r="AX198" s="1078">
        <f t="shared" si="67"/>
        <v>31.530333333333346</v>
      </c>
      <c r="AY198" s="1078">
        <f t="shared" si="67"/>
        <v>59.151666666666699</v>
      </c>
      <c r="AZ198" s="1078">
        <f t="shared" si="67"/>
        <v>50.385333333333335</v>
      </c>
      <c r="BA198" s="1078">
        <f t="shared" si="67"/>
        <v>59.418333333333351</v>
      </c>
      <c r="BB198" s="1078">
        <f t="shared" si="67"/>
        <v>109.80366666666669</v>
      </c>
      <c r="BC198" s="1078">
        <f t="shared" si="67"/>
        <v>59.171333333333337</v>
      </c>
      <c r="BD198" s="1078">
        <f t="shared" si="67"/>
        <v>52.719666666666683</v>
      </c>
      <c r="BE198" s="1078">
        <f t="shared" si="67"/>
        <v>111.89100000000008</v>
      </c>
      <c r="BF198" s="1078">
        <f t="shared" si="67"/>
        <v>48.564333333333252</v>
      </c>
      <c r="BG198" s="1078">
        <f t="shared" si="67"/>
        <v>42.700666666666677</v>
      </c>
      <c r="BH198" s="1078">
        <f t="shared" si="67"/>
        <v>91.264999999999986</v>
      </c>
      <c r="BI198" s="1078">
        <f t="shared" si="67"/>
        <v>39.972666666666669</v>
      </c>
      <c r="BJ198" s="1078">
        <f t="shared" si="67"/>
        <v>39.256803333333323</v>
      </c>
      <c r="BK198" s="1078">
        <f t="shared" si="67"/>
        <v>79.229469999999992</v>
      </c>
      <c r="BL198" s="1078">
        <f t="shared" si="67"/>
        <v>38.28876333333335</v>
      </c>
      <c r="BM198" s="1078">
        <f t="shared" si="67"/>
        <v>38.994416666666666</v>
      </c>
      <c r="BN198" s="1078">
        <f t="shared" si="67"/>
        <v>77.283180000000016</v>
      </c>
      <c r="BO198" s="1078">
        <f t="shared" si="67"/>
        <v>38.28876333333335</v>
      </c>
      <c r="BP198" s="1078">
        <f t="shared" si="67"/>
        <v>39.255791366666699</v>
      </c>
      <c r="BQ198" s="1078">
        <f t="shared" si="67"/>
        <v>77.544554700000162</v>
      </c>
      <c r="BR198" s="1078">
        <f t="shared" si="67"/>
        <v>38.671650966666675</v>
      </c>
      <c r="BS198" s="1078">
        <f t="shared" si="67"/>
        <v>39.648349280333321</v>
      </c>
      <c r="BT198" s="1078">
        <f t="shared" si="67"/>
        <v>78.320000247000053</v>
      </c>
      <c r="CW198" s="725"/>
      <c r="CX198" s="725"/>
      <c r="CY198" s="725"/>
      <c r="CZ198" s="725"/>
      <c r="DA198" s="725"/>
      <c r="DB198" s="725"/>
      <c r="DC198" s="725"/>
      <c r="DD198" s="725"/>
      <c r="DE198" s="725"/>
      <c r="DF198" s="725"/>
      <c r="DG198" s="725"/>
      <c r="DH198" s="725"/>
      <c r="DI198" s="725"/>
    </row>
    <row r="199" spans="1:117" s="1081" customFormat="1" ht="12" customHeight="1">
      <c r="A199" s="1081" t="s">
        <v>1037</v>
      </c>
      <c r="AW199" s="1081">
        <f>+(AV11/3*2)+(AW11)+(AX11/3)</f>
        <v>168.22133333333332</v>
      </c>
      <c r="AX199" s="1081">
        <f>+(AX11/3*2)+(AZ11)+(BA11/3)</f>
        <v>178.78100000000001</v>
      </c>
      <c r="AY199" s="1081">
        <f>+AW199+AX199</f>
        <v>347.00233333333335</v>
      </c>
      <c r="AZ199" s="1081">
        <f>+(BA11/3*2)+(BB11)+(BC11/3)</f>
        <v>259.12333333333333</v>
      </c>
      <c r="BA199" s="1081">
        <f>+(BC11/3*2)+(BE11)+(BF11/3)</f>
        <v>314.35166666666669</v>
      </c>
      <c r="BB199" s="1081">
        <f>+AZ199+BA199</f>
        <v>573.47500000000002</v>
      </c>
      <c r="BC199" s="1081">
        <f>+(BF11/3*2)+(BG11)+(BH11/3)</f>
        <v>327.43200000000002</v>
      </c>
      <c r="BD199" s="1081">
        <f>+(BH11/3*2)+(BJ11)+(BK11/3)</f>
        <v>323.79266666666666</v>
      </c>
      <c r="BE199" s="1081">
        <f>+BC199+BD199</f>
        <v>651.22466666666674</v>
      </c>
      <c r="BF199" s="1081">
        <f>+(BK11/3*2)+(BL11)+(BM11/3)</f>
        <v>315.97199999999998</v>
      </c>
      <c r="BG199" s="1081">
        <f>+(BM11/3*2)+(BO11)+(BP11/3)</f>
        <v>307.52633333333335</v>
      </c>
      <c r="BH199" s="1081">
        <f>+BG199+BF199</f>
        <v>623.49833333333333</v>
      </c>
      <c r="BI199" s="1081">
        <f>+(BP11/3*2)+(BQ11)+(BR11/3)</f>
        <v>304.00900000000001</v>
      </c>
      <c r="BJ199" s="1081">
        <f>+(BR11/3*2)+(BT11)+(BU11/3)</f>
        <v>304.56825171999998</v>
      </c>
      <c r="BK199" s="1081">
        <f>+BI199+BJ199</f>
        <v>608.57725172000005</v>
      </c>
      <c r="BL199" s="1081">
        <f>+(BU11/3*2)+(BV11)+(BW11/3)</f>
        <v>303.20271610666668</v>
      </c>
      <c r="BM199" s="1081">
        <f>+(BW11/3*2)+(BY11)+(BZ11/3)</f>
        <v>309.82397186119999</v>
      </c>
      <c r="BN199" s="1081">
        <f>+BL199+BM199</f>
        <v>613.02668796786668</v>
      </c>
      <c r="BO199" s="1081">
        <f>+(BZ11/3*2)+(CA11)+(CB11/3)</f>
        <v>310.30041084240003</v>
      </c>
      <c r="BP199" s="1081">
        <f>+(CB11/3*2)+(CD11)+(CE11/3)</f>
        <v>323.80562091463605</v>
      </c>
      <c r="BQ199" s="1081">
        <f>+BO199+BP199</f>
        <v>634.10603175703613</v>
      </c>
      <c r="BR199" s="1081">
        <f>+(CE11/3*2)+(CF11)+(CG11/3)</f>
        <v>322.55790612820533</v>
      </c>
      <c r="BS199" s="1081">
        <f>+(CG11/3*2)+(CI11)+(CJ11/3)</f>
        <v>340.13982856698181</v>
      </c>
      <c r="BT199" s="1081">
        <f>+BR199+BS199</f>
        <v>662.69773469518714</v>
      </c>
      <c r="CW199" s="1082"/>
      <c r="CX199" s="1082"/>
      <c r="CY199" s="1082"/>
      <c r="CZ199" s="1082"/>
      <c r="DA199" s="1082"/>
      <c r="DB199" s="1082"/>
      <c r="DC199" s="1082"/>
      <c r="DD199" s="1082"/>
      <c r="DE199" s="1082"/>
      <c r="DF199" s="1082"/>
      <c r="DG199" s="1082"/>
      <c r="DH199" s="1082"/>
      <c r="DI199" s="1082"/>
      <c r="DL199" s="1083"/>
      <c r="DM199" s="1083"/>
    </row>
    <row r="200" spans="1:117" ht="12" customHeight="1">
      <c r="CW200" s="725"/>
      <c r="CX200" s="725"/>
      <c r="CY200" s="725"/>
      <c r="CZ200" s="725"/>
      <c r="DA200" s="725"/>
      <c r="DB200" s="725"/>
      <c r="DC200" s="725"/>
      <c r="DD200" s="725"/>
      <c r="DE200" s="725"/>
      <c r="DF200" s="725"/>
      <c r="DG200" s="725"/>
      <c r="DH200" s="725"/>
      <c r="DI200" s="725"/>
    </row>
    <row r="201" spans="1:117" ht="12" customHeight="1">
      <c r="A201" s="680" t="s">
        <v>1034</v>
      </c>
      <c r="AW201" s="1078">
        <f>+(AV176/3*2)+(AW176)+(AX176/3)</f>
        <v>48.459333333333333</v>
      </c>
      <c r="AX201" s="1078">
        <f>+(AX176/3*2)+(AZ176)+(BA176/3)</f>
        <v>48.514000000000003</v>
      </c>
      <c r="AY201" s="1078">
        <f>+AW201+AX201</f>
        <v>96.973333333333329</v>
      </c>
      <c r="AZ201" s="1078">
        <f>+(BA176/3*2)+(BB176)+(BC176/3)</f>
        <v>74.656666666666666</v>
      </c>
      <c r="BA201" s="1078">
        <f>+(BC176/3*2)+(BE176)+(BF176/3)</f>
        <v>96.121666666666655</v>
      </c>
      <c r="BB201" s="1078">
        <f>+AZ201+BA201</f>
        <v>170.77833333333331</v>
      </c>
      <c r="BC201" s="1078">
        <f>+(BF176/3*2)+(BG176)+(BH176/3)</f>
        <v>103.72866666666665</v>
      </c>
      <c r="BD201" s="1078">
        <f>+(BH176/3*2)+(BJ176)+(BK176/3)</f>
        <v>99.122666666666674</v>
      </c>
      <c r="BE201" s="1078">
        <f>+BC201+BD201</f>
        <v>202.85133333333334</v>
      </c>
      <c r="BF201" s="1078">
        <f>+(BK176/3*2)+(BL176)+(BM176/3)</f>
        <v>96.316666666666677</v>
      </c>
      <c r="BG201" s="1078">
        <f>+(BM176/3*2)+(BO176)+(BP176/3)</f>
        <v>96.027000000000015</v>
      </c>
      <c r="BH201" s="1078">
        <f>+BG201+BF201</f>
        <v>192.34366666666671</v>
      </c>
      <c r="BI201" s="1078">
        <f>+(BP176/3*2)+(BQ176)+(BR176/3)</f>
        <v>94.962666666666649</v>
      </c>
      <c r="BJ201" s="1078">
        <f>+(BR176/3*2)+(BT176)+(BU176/3)</f>
        <v>98.177355035724517</v>
      </c>
      <c r="BK201" s="1078">
        <f>+BI201+BJ201</f>
        <v>193.14002170239115</v>
      </c>
      <c r="BL201" s="1078">
        <f>+(BU176/3*2)+(BV176)+(BW176/3)</f>
        <v>94.368358713185529</v>
      </c>
      <c r="BM201" s="1078">
        <f>+(BW176/3*2)+(BY176)+(BZ176/3)</f>
        <v>97.029541909410383</v>
      </c>
      <c r="BN201" s="1078">
        <f>+BL201+BM201</f>
        <v>191.3979006225959</v>
      </c>
      <c r="BO201" s="1078">
        <f>+(BZ176/3*2)+(CA176)+(CB176/3)</f>
        <v>95.856691501069264</v>
      </c>
      <c r="BP201" s="1078">
        <f>+(CB176/3*2)+(CD176)+(CE176/3)</f>
        <v>99.744004236049619</v>
      </c>
      <c r="BQ201" s="1078">
        <f>+BO201+BP201</f>
        <v>195.60069573711888</v>
      </c>
      <c r="BR201" s="1078">
        <f>+(CE176/3*2)+(CF176)+(CG176/3)</f>
        <v>97.936732644197946</v>
      </c>
      <c r="BS201" s="1078">
        <f>+(CG176/3*2)+(CI176)+(CJ176/3)</f>
        <v>103.60298383369245</v>
      </c>
      <c r="BT201" s="1078">
        <f>+BR201+BS201</f>
        <v>201.53971647789041</v>
      </c>
      <c r="CW201" s="725"/>
      <c r="CX201" s="725"/>
      <c r="CY201" s="725"/>
      <c r="CZ201" s="725"/>
      <c r="DA201" s="725"/>
      <c r="DB201" s="725"/>
      <c r="DC201" s="725"/>
      <c r="DD201" s="725"/>
      <c r="DE201" s="725"/>
      <c r="DF201" s="725"/>
      <c r="DG201" s="725"/>
      <c r="DH201" s="725"/>
      <c r="DI201" s="725"/>
    </row>
    <row r="202" spans="1:117" s="796" customFormat="1" ht="12" customHeight="1">
      <c r="A202" s="796" t="s">
        <v>1038</v>
      </c>
      <c r="AW202" s="1081">
        <f>+AW199-AW201</f>
        <v>119.76199999999999</v>
      </c>
      <c r="AX202" s="1081">
        <f t="shared" ref="AX202:BT202" si="68">+AX199-AX201</f>
        <v>130.267</v>
      </c>
      <c r="AY202" s="1081">
        <f t="shared" si="68"/>
        <v>250.02900000000002</v>
      </c>
      <c r="AZ202" s="1081">
        <f t="shared" si="68"/>
        <v>184.46666666666667</v>
      </c>
      <c r="BA202" s="1081">
        <f t="shared" si="68"/>
        <v>218.23000000000002</v>
      </c>
      <c r="BB202" s="1081">
        <f t="shared" si="68"/>
        <v>402.69666666666672</v>
      </c>
      <c r="BC202" s="1081">
        <f t="shared" si="68"/>
        <v>223.70333333333338</v>
      </c>
      <c r="BD202" s="1081">
        <f t="shared" si="68"/>
        <v>224.67</v>
      </c>
      <c r="BE202" s="1081">
        <f t="shared" si="68"/>
        <v>448.37333333333339</v>
      </c>
      <c r="BF202" s="1081">
        <f t="shared" si="68"/>
        <v>219.65533333333332</v>
      </c>
      <c r="BG202" s="1081">
        <f t="shared" si="68"/>
        <v>211.49933333333334</v>
      </c>
      <c r="BH202" s="1081">
        <f t="shared" si="68"/>
        <v>431.15466666666663</v>
      </c>
      <c r="BI202" s="1081">
        <f t="shared" si="68"/>
        <v>209.04633333333337</v>
      </c>
      <c r="BJ202" s="1081">
        <f t="shared" si="68"/>
        <v>206.39089668427545</v>
      </c>
      <c r="BK202" s="1081">
        <f t="shared" si="68"/>
        <v>415.4372300176089</v>
      </c>
      <c r="BL202" s="1081">
        <f t="shared" si="68"/>
        <v>208.83435739348116</v>
      </c>
      <c r="BM202" s="1081">
        <f t="shared" si="68"/>
        <v>212.7944299517896</v>
      </c>
      <c r="BN202" s="1081">
        <f t="shared" si="68"/>
        <v>421.62878734527078</v>
      </c>
      <c r="BO202" s="1081">
        <f t="shared" si="68"/>
        <v>214.44371934133076</v>
      </c>
      <c r="BP202" s="1081">
        <f t="shared" si="68"/>
        <v>224.06161667858643</v>
      </c>
      <c r="BQ202" s="1081">
        <f t="shared" si="68"/>
        <v>438.50533601991725</v>
      </c>
      <c r="BR202" s="1081">
        <f t="shared" si="68"/>
        <v>224.62117348400739</v>
      </c>
      <c r="BS202" s="1081">
        <f t="shared" si="68"/>
        <v>236.53684473328934</v>
      </c>
      <c r="BT202" s="1081">
        <f t="shared" si="68"/>
        <v>461.15801821729673</v>
      </c>
      <c r="CW202" s="1084"/>
      <c r="CX202" s="1084"/>
      <c r="CY202" s="1084"/>
      <c r="CZ202" s="1084"/>
      <c r="DA202" s="1084"/>
      <c r="DB202" s="1084"/>
      <c r="DC202" s="1084"/>
      <c r="DD202" s="1084"/>
      <c r="DE202" s="1084"/>
      <c r="DF202" s="1084"/>
      <c r="DG202" s="1084"/>
      <c r="DH202" s="1084"/>
      <c r="DI202" s="1084"/>
      <c r="DL202" s="1085"/>
      <c r="DM202" s="1085"/>
    </row>
    <row r="203" spans="1:117" ht="12" customHeight="1">
      <c r="AW203" s="1078"/>
      <c r="AX203" s="1078"/>
      <c r="AY203" s="1078"/>
      <c r="AZ203" s="1078"/>
      <c r="BA203" s="1078"/>
      <c r="BB203" s="1078"/>
      <c r="BC203" s="1078"/>
      <c r="BD203" s="1078"/>
      <c r="BE203" s="1078"/>
      <c r="BF203" s="1078"/>
      <c r="BG203" s="1078"/>
      <c r="BH203" s="1078"/>
      <c r="BI203" s="1078"/>
      <c r="BJ203" s="1078"/>
      <c r="BK203" s="1078"/>
      <c r="BL203" s="1078"/>
      <c r="BM203" s="1078"/>
      <c r="BN203" s="1078"/>
      <c r="BO203" s="1078"/>
      <c r="BP203" s="1078"/>
      <c r="BQ203" s="1078"/>
      <c r="BR203" s="1078"/>
      <c r="BS203" s="1078"/>
      <c r="BT203" s="1078"/>
      <c r="CW203" s="725"/>
      <c r="CX203" s="725"/>
      <c r="CY203" s="725"/>
      <c r="CZ203" s="725"/>
      <c r="DA203" s="725"/>
      <c r="DB203" s="725"/>
      <c r="DC203" s="725"/>
      <c r="DD203" s="725"/>
      <c r="DE203" s="725"/>
      <c r="DF203" s="725"/>
      <c r="DG203" s="725"/>
      <c r="DH203" s="725"/>
      <c r="DI203" s="725"/>
    </row>
    <row r="204" spans="1:117" ht="12" customHeight="1">
      <c r="A204" s="680" t="s">
        <v>1039</v>
      </c>
      <c r="AW204" s="1078">
        <f>+(AV178/3*2)+(AW178)+(AX178/3)</f>
        <v>32.239000000000004</v>
      </c>
      <c r="AX204" s="1078">
        <f>+(AX178/3*2)+(AZ178)+(BA178/3)</f>
        <v>35.347666666666669</v>
      </c>
      <c r="AY204" s="1078">
        <f>+AW204+AX204</f>
        <v>67.586666666666673</v>
      </c>
      <c r="AZ204" s="1078">
        <f>+(BA178/3*2)+(BB178)+(BC178/3)</f>
        <v>40.151666666666671</v>
      </c>
      <c r="BA204" s="1078">
        <f>+(BC178/3*2)+(BE178)+(BF178/3)</f>
        <v>41.799666666666674</v>
      </c>
      <c r="BB204" s="1078">
        <f>+AZ204+BA204</f>
        <v>81.951333333333338</v>
      </c>
      <c r="BC204" s="1078">
        <f>+(BF178/3*2)+(BG178)+(BH178/3)</f>
        <v>44.614666666666665</v>
      </c>
      <c r="BD204" s="1078">
        <f>+(BH178/3*2)+(BJ178)+(BK178/3)</f>
        <v>44.541999999999994</v>
      </c>
      <c r="BE204" s="1078">
        <f>+BC204+BD204</f>
        <v>89.156666666666666</v>
      </c>
      <c r="BF204" s="1078">
        <f>+(BK178/3*2)+(BL178)+(BM178/3)</f>
        <v>43.625999999999998</v>
      </c>
      <c r="BG204" s="1078">
        <f>+(BM178/3*2)+(BO178)+(BP178/3)</f>
        <v>43.786333333333339</v>
      </c>
      <c r="BH204" s="1078">
        <f>+BG204+BF204</f>
        <v>87.412333333333336</v>
      </c>
      <c r="BI204" s="1078">
        <f>+(BP178/3*2)+(BQ178)+(BR178/3)</f>
        <v>41.593333333333334</v>
      </c>
      <c r="BJ204" s="1078">
        <f>+(BR178/3*2)+(BT178)+(BU178/3)</f>
        <v>41.396967205574349</v>
      </c>
      <c r="BK204" s="1078">
        <f>+BI204+BJ204</f>
        <v>82.99030053890769</v>
      </c>
      <c r="BL204" s="1078">
        <f>+(BU178/3*2)+(BV178)+(BW178/3)</f>
        <v>43.721485305436417</v>
      </c>
      <c r="BM204" s="1078">
        <f>+(BW178/3*2)+(BY178)+(BZ178/3)</f>
        <v>45.291715705558076</v>
      </c>
      <c r="BN204" s="1078">
        <f>+BL204+BM204</f>
        <v>89.013201010994493</v>
      </c>
      <c r="BO204" s="1078">
        <f>+(BZ178/3*2)+(CA178)+(CB178/3)</f>
        <v>45.936571985063658</v>
      </c>
      <c r="BP204" s="1078">
        <f>+(CB178/3*2)+(CD178)+(CE178/3)</f>
        <v>47.059442068349796</v>
      </c>
      <c r="BQ204" s="1078">
        <f>+BO204+BP204</f>
        <v>92.996014053413461</v>
      </c>
      <c r="BR204" s="1078">
        <f>+(CE178/3*2)+(CF178)+(CG178/3)</f>
        <v>48.37895021173199</v>
      </c>
      <c r="BS204" s="1078">
        <f>+(CG178/3*2)+(CI178)+(CJ178/3)</f>
        <v>49.790700814002854</v>
      </c>
      <c r="BT204" s="1078">
        <f>+BR204+BS204</f>
        <v>98.169651025734851</v>
      </c>
      <c r="CW204" s="725"/>
      <c r="CX204" s="725"/>
      <c r="CY204" s="725"/>
      <c r="CZ204" s="725"/>
      <c r="DA204" s="725"/>
      <c r="DB204" s="725"/>
      <c r="DC204" s="725"/>
      <c r="DD204" s="725"/>
      <c r="DE204" s="725"/>
      <c r="DF204" s="725"/>
      <c r="DG204" s="725"/>
      <c r="DH204" s="725"/>
      <c r="DI204" s="725"/>
    </row>
    <row r="205" spans="1:117" ht="12" customHeight="1">
      <c r="A205" s="680" t="s">
        <v>1040</v>
      </c>
      <c r="AW205" s="1078">
        <f>+(AV179/3*2)+(AW179)+(AX179/3)</f>
        <v>26.816666666666666</v>
      </c>
      <c r="AX205" s="1078">
        <f>+(AX179/3*2)+(AZ179)+(BA179/3)</f>
        <v>27.47</v>
      </c>
      <c r="AY205" s="1078">
        <f>+AW205+AX205</f>
        <v>54.286666666666662</v>
      </c>
      <c r="AZ205" s="1078">
        <f>+(BA179/3*2)+(BB179)+(BC179/3)</f>
        <v>30.82566666666666</v>
      </c>
      <c r="BA205" s="1078">
        <f>+(BC179/3*2)+(BE179)+(BF179/3)</f>
        <v>42.454000000000001</v>
      </c>
      <c r="BB205" s="1078">
        <f>+AZ205+BA205</f>
        <v>73.279666666666657</v>
      </c>
      <c r="BC205" s="1078">
        <f>+(BF179/3*2)+(BG179)+(BH179/3)</f>
        <v>41.148666666666671</v>
      </c>
      <c r="BD205" s="1078">
        <f>+(BH179/3*2)+(BJ179)+(BK179/3)</f>
        <v>38.916333333333334</v>
      </c>
      <c r="BE205" s="1078">
        <f>+BC205+BD205</f>
        <v>80.064999999999998</v>
      </c>
      <c r="BF205" s="1078">
        <f>+(BK179/3*2)+(BL179)+(BM179/3)</f>
        <v>43.430999999999997</v>
      </c>
      <c r="BG205" s="1078">
        <f>+(BM179/3*2)+(BO179)+(BP179/3)</f>
        <v>41.465666666666671</v>
      </c>
      <c r="BH205" s="1078">
        <f>+BG205+BF205</f>
        <v>84.896666666666675</v>
      </c>
      <c r="BI205" s="1078">
        <f>+(BP179/3*2)+(BQ179)+(BR179/3)</f>
        <v>39.963666666666668</v>
      </c>
      <c r="BJ205" s="1078">
        <f>+(BR179/3*2)+(BT179)+(BU179/3)</f>
        <v>38.139900714951651</v>
      </c>
      <c r="BK205" s="1078">
        <f>+BI205+BJ205</f>
        <v>78.103567381618319</v>
      </c>
      <c r="BL205" s="1078">
        <f>+(BU179/3*2)+(BV179)+(BW179/3)</f>
        <v>44.773630016477938</v>
      </c>
      <c r="BM205" s="1078">
        <f>+(BW179/3*2)+(BY179)+(BZ179/3)</f>
        <v>41.455645490879725</v>
      </c>
      <c r="BN205" s="1078">
        <f>+BL205+BM205</f>
        <v>86.22927550735767</v>
      </c>
      <c r="BO205" s="1078">
        <f>+(BZ179/3*2)+(CA179)+(CB179/3)</f>
        <v>47.621541770079482</v>
      </c>
      <c r="BP205" s="1078">
        <f>+(CB179/3*2)+(CD179)+(CE179/3)</f>
        <v>43.6179894477837</v>
      </c>
      <c r="BQ205" s="1078">
        <f>+BO205+BP205</f>
        <v>91.239531217863174</v>
      </c>
      <c r="BR205" s="1078">
        <f>+(CE179/3*2)+(CF179)+(CG179/3)</f>
        <v>49.949046645967769</v>
      </c>
      <c r="BS205" s="1078">
        <f>+(CG179/3*2)+(CI179)+(CJ179/3)</f>
        <v>45.400413567836246</v>
      </c>
      <c r="BT205" s="1078">
        <f>+BR205+BS205</f>
        <v>95.349460213804008</v>
      </c>
      <c r="CW205" s="725"/>
      <c r="CX205" s="725"/>
      <c r="CY205" s="725"/>
      <c r="CZ205" s="725"/>
      <c r="DA205" s="725"/>
      <c r="DB205" s="725"/>
      <c r="DC205" s="725"/>
      <c r="DD205" s="725"/>
      <c r="DE205" s="725"/>
      <c r="DF205" s="725"/>
      <c r="DG205" s="725"/>
      <c r="DH205" s="725"/>
      <c r="DI205" s="725"/>
    </row>
    <row r="206" spans="1:117" ht="12" customHeight="1">
      <c r="A206" s="1142" t="s">
        <v>1033</v>
      </c>
      <c r="AW206" s="1078">
        <f>+(AV180/3*2)+(AW180)+(AX180/3)</f>
        <v>20.876999999999999</v>
      </c>
      <c r="AX206" s="1078">
        <f>+(AX180/3*2)+(AZ180)+(BA180/3)</f>
        <v>34.533000000000001</v>
      </c>
      <c r="AY206" s="1078">
        <f>+AW206+AX206</f>
        <v>55.41</v>
      </c>
      <c r="AZ206" s="1078">
        <f>+(BA180/3*2)+(BB180)+(BC180/3)</f>
        <v>33.795666666666662</v>
      </c>
      <c r="BA206" s="1078">
        <f>+(BC180/3*2)+(BE180)+(BF180/3)</f>
        <v>37.032666666666678</v>
      </c>
      <c r="BB206" s="1078">
        <f>+AZ206+BA206</f>
        <v>70.828333333333347</v>
      </c>
      <c r="BC206" s="1078">
        <f>+(BF180/3*2)+(BG180)+(BH180/3)</f>
        <v>38.913666666666664</v>
      </c>
      <c r="BD206" s="1078">
        <f>+(BH180/3*2)+(BJ180)+(BK180/3)</f>
        <v>37.889666666666642</v>
      </c>
      <c r="BE206" s="1078">
        <f>+BC206+BD206</f>
        <v>76.803333333333313</v>
      </c>
      <c r="BF206" s="1078">
        <f>+(BK180/3*2)+(BL180)+(BM180/3)</f>
        <v>36.084999999999994</v>
      </c>
      <c r="BG206" s="1078">
        <f>+(BM180/3*2)+(BO180)+(BP180/3)</f>
        <v>42.217999999999982</v>
      </c>
      <c r="BH206" s="1078">
        <f>+BG206+BF206</f>
        <v>78.302999999999969</v>
      </c>
      <c r="BI206" s="1078">
        <f>+(BP180/3*2)+(BQ180)+(BR180/3)</f>
        <v>40.709666666666664</v>
      </c>
      <c r="BJ206" s="1078">
        <f>+(BR180/3*2)+(BT180)+(BU180/3)</f>
        <v>41.956505623709077</v>
      </c>
      <c r="BK206" s="1078">
        <f>+BI206+BJ206</f>
        <v>82.666172290375741</v>
      </c>
      <c r="BL206" s="1078">
        <f>+(BU180/3*2)+(BV180)+(BW180/3)</f>
        <v>42.201541007242959</v>
      </c>
      <c r="BM206" s="1078">
        <f>+(BW180/3*2)+(BY180)+(BZ180/3)</f>
        <v>42.854482450349771</v>
      </c>
      <c r="BN206" s="1078">
        <f>+BL206+BM206</f>
        <v>85.05602345759273</v>
      </c>
      <c r="BO206" s="1078">
        <f>+(BZ180/3*2)+(CA180)+(CB180/3)</f>
        <v>43.705834958177341</v>
      </c>
      <c r="BP206" s="1078">
        <f>+(CB180/3*2)+(CD180)+(CE180/3)</f>
        <v>44.72427972485508</v>
      </c>
      <c r="BQ206" s="1078">
        <f>+BO206+BP206</f>
        <v>88.430114683032429</v>
      </c>
      <c r="BR206" s="1078">
        <f>+(CE180/3*2)+(CF180)+(CG180/3)</f>
        <v>45.883800661717473</v>
      </c>
      <c r="BS206" s="1078">
        <f>+(CG180/3*2)+(CI180)+(CJ180/3)</f>
        <v>47.271181918429228</v>
      </c>
      <c r="BT206" s="1078">
        <f>+BR206+BS206</f>
        <v>93.154982580146708</v>
      </c>
      <c r="CW206" s="725"/>
      <c r="CX206" s="725"/>
      <c r="CY206" s="725"/>
      <c r="CZ206" s="725"/>
      <c r="DA206" s="725"/>
      <c r="DB206" s="725"/>
      <c r="DC206" s="725"/>
      <c r="DD206" s="725"/>
      <c r="DE206" s="725"/>
      <c r="DF206" s="725"/>
      <c r="DG206" s="725"/>
      <c r="DH206" s="725"/>
      <c r="DI206" s="725"/>
    </row>
    <row r="207" spans="1:117" s="796" customFormat="1" ht="12" customHeight="1">
      <c r="A207" s="796" t="s">
        <v>1041</v>
      </c>
      <c r="AW207" s="1081">
        <f>SUM(AW204:AW206)</f>
        <v>79.932666666666663</v>
      </c>
      <c r="AX207" s="1081">
        <f t="shared" ref="AX207:BT207" si="69">SUM(AX204:AX206)</f>
        <v>97.350666666666669</v>
      </c>
      <c r="AY207" s="1081">
        <f t="shared" si="69"/>
        <v>177.28333333333333</v>
      </c>
      <c r="AZ207" s="1081">
        <f t="shared" si="69"/>
        <v>104.773</v>
      </c>
      <c r="BA207" s="1081">
        <f t="shared" si="69"/>
        <v>121.28633333333335</v>
      </c>
      <c r="BB207" s="1081">
        <f t="shared" si="69"/>
        <v>226.05933333333334</v>
      </c>
      <c r="BC207" s="1081">
        <f t="shared" si="69"/>
        <v>124.67699999999999</v>
      </c>
      <c r="BD207" s="1081">
        <f t="shared" si="69"/>
        <v>121.34799999999997</v>
      </c>
      <c r="BE207" s="1081">
        <f t="shared" si="69"/>
        <v>246.02499999999998</v>
      </c>
      <c r="BF207" s="1081">
        <f t="shared" si="69"/>
        <v>123.14199999999998</v>
      </c>
      <c r="BG207" s="1081">
        <f t="shared" si="69"/>
        <v>127.47</v>
      </c>
      <c r="BH207" s="1081">
        <f t="shared" si="69"/>
        <v>250.61199999999999</v>
      </c>
      <c r="BI207" s="1081">
        <f t="shared" si="69"/>
        <v>122.26666666666667</v>
      </c>
      <c r="BJ207" s="1081">
        <f t="shared" si="69"/>
        <v>121.49337354423507</v>
      </c>
      <c r="BK207" s="1081">
        <f t="shared" si="69"/>
        <v>243.76004021090176</v>
      </c>
      <c r="BL207" s="1081">
        <f t="shared" si="69"/>
        <v>130.69665632915732</v>
      </c>
      <c r="BM207" s="1081">
        <f t="shared" si="69"/>
        <v>129.60184364678756</v>
      </c>
      <c r="BN207" s="1081">
        <f t="shared" si="69"/>
        <v>260.29849997594488</v>
      </c>
      <c r="BO207" s="1081">
        <f t="shared" si="69"/>
        <v>137.26394871332047</v>
      </c>
      <c r="BP207" s="1081">
        <f t="shared" si="69"/>
        <v>135.40171124098856</v>
      </c>
      <c r="BQ207" s="1081">
        <f t="shared" si="69"/>
        <v>272.66565995430904</v>
      </c>
      <c r="BR207" s="1081">
        <f t="shared" si="69"/>
        <v>144.21179751941725</v>
      </c>
      <c r="BS207" s="1081">
        <f t="shared" si="69"/>
        <v>142.46229630026832</v>
      </c>
      <c r="BT207" s="1081">
        <f t="shared" si="69"/>
        <v>286.6740938196856</v>
      </c>
      <c r="CW207" s="1084"/>
      <c r="CX207" s="1084"/>
      <c r="CY207" s="1084"/>
      <c r="CZ207" s="1084"/>
      <c r="DA207" s="1084"/>
      <c r="DB207" s="1084"/>
      <c r="DC207" s="1084"/>
      <c r="DD207" s="1084"/>
      <c r="DE207" s="1084"/>
      <c r="DF207" s="1084"/>
      <c r="DG207" s="1084"/>
      <c r="DH207" s="1084"/>
      <c r="DI207" s="1084"/>
      <c r="DL207" s="1085"/>
      <c r="DM207" s="1085"/>
    </row>
    <row r="208" spans="1:117" ht="12" customHeight="1">
      <c r="CW208" s="725"/>
      <c r="CX208" s="725"/>
      <c r="CY208" s="725"/>
      <c r="CZ208" s="725"/>
      <c r="DA208" s="725"/>
      <c r="DB208" s="725"/>
      <c r="DC208" s="725"/>
      <c r="DD208" s="725"/>
      <c r="DE208" s="725"/>
      <c r="DF208" s="725"/>
      <c r="DG208" s="725"/>
      <c r="DH208" s="725"/>
      <c r="DI208" s="725"/>
    </row>
    <row r="209" spans="1:117" s="796" customFormat="1" ht="12" customHeight="1">
      <c r="A209" s="796" t="s">
        <v>1061</v>
      </c>
      <c r="AW209" s="1081">
        <f t="shared" ref="AW209:BT209" si="70">+AW202-AW207</f>
        <v>39.829333333333324</v>
      </c>
      <c r="AX209" s="1081">
        <f t="shared" si="70"/>
        <v>32.916333333333327</v>
      </c>
      <c r="AY209" s="1081">
        <f t="shared" si="70"/>
        <v>72.745666666666693</v>
      </c>
      <c r="AZ209" s="1081">
        <f t="shared" si="70"/>
        <v>79.693666666666672</v>
      </c>
      <c r="BA209" s="1081">
        <f t="shared" si="70"/>
        <v>96.943666666666672</v>
      </c>
      <c r="BB209" s="1081">
        <f t="shared" si="70"/>
        <v>176.63733333333337</v>
      </c>
      <c r="BC209" s="1081">
        <f t="shared" si="70"/>
        <v>99.026333333333383</v>
      </c>
      <c r="BD209" s="1081">
        <f t="shared" si="70"/>
        <v>103.32200000000002</v>
      </c>
      <c r="BE209" s="1081">
        <f t="shared" si="70"/>
        <v>202.34833333333341</v>
      </c>
      <c r="BF209" s="1081">
        <f t="shared" si="70"/>
        <v>96.513333333333335</v>
      </c>
      <c r="BG209" s="1081">
        <f t="shared" si="70"/>
        <v>84.029333333333341</v>
      </c>
      <c r="BH209" s="1081">
        <f t="shared" si="70"/>
        <v>180.54266666666663</v>
      </c>
      <c r="BI209" s="1081">
        <f t="shared" si="70"/>
        <v>86.779666666666699</v>
      </c>
      <c r="BJ209" s="1081">
        <f t="shared" si="70"/>
        <v>84.897523140040377</v>
      </c>
      <c r="BK209" s="1081">
        <f t="shared" si="70"/>
        <v>171.67718980670713</v>
      </c>
      <c r="BL209" s="1081">
        <f t="shared" si="70"/>
        <v>78.137701064323835</v>
      </c>
      <c r="BM209" s="1081">
        <f t="shared" si="70"/>
        <v>83.192586305002038</v>
      </c>
      <c r="BN209" s="1081">
        <f t="shared" si="70"/>
        <v>161.3302873693259</v>
      </c>
      <c r="BO209" s="1081">
        <f t="shared" si="70"/>
        <v>77.179770628010289</v>
      </c>
      <c r="BP209" s="1081">
        <f t="shared" si="70"/>
        <v>88.659905437597871</v>
      </c>
      <c r="BQ209" s="1081">
        <f t="shared" si="70"/>
        <v>165.83967606560822</v>
      </c>
      <c r="BR209" s="1081">
        <f t="shared" si="70"/>
        <v>80.40937596459014</v>
      </c>
      <c r="BS209" s="1081">
        <f t="shared" si="70"/>
        <v>94.074548433021022</v>
      </c>
      <c r="BT209" s="1081">
        <f t="shared" si="70"/>
        <v>174.48392439761113</v>
      </c>
      <c r="CW209" s="1084"/>
      <c r="CX209" s="1084"/>
      <c r="CY209" s="1084"/>
      <c r="CZ209" s="1084"/>
      <c r="DA209" s="1084"/>
      <c r="DB209" s="1084"/>
      <c r="DC209" s="1084"/>
      <c r="DD209" s="1084"/>
      <c r="DE209" s="1084"/>
      <c r="DF209" s="1084"/>
      <c r="DG209" s="1084"/>
      <c r="DH209" s="1084"/>
      <c r="DI209" s="1084"/>
      <c r="DL209" s="1085"/>
      <c r="DM209" s="1085"/>
    </row>
    <row r="210" spans="1:117" ht="12" customHeight="1">
      <c r="A210" s="680" t="s">
        <v>1042</v>
      </c>
      <c r="AW210" s="1078">
        <f>+(AV183/3*2)+(AW183)+(AX183/3)</f>
        <v>55.054333333333311</v>
      </c>
      <c r="AX210" s="1078">
        <f>+(AX183/3*2)+(AZ183)+(BA183/3)</f>
        <v>59.08833333333331</v>
      </c>
      <c r="AY210" s="1078">
        <f>+AW210+AX210</f>
        <v>114.14266666666663</v>
      </c>
      <c r="AZ210" s="1078">
        <f>+(BA183/3*2)+(BB183)+(BC183/3)</f>
        <v>86.189333333333323</v>
      </c>
      <c r="BA210" s="1078">
        <f>+(BC183/3*2)+(BE183)+(BF183/3)</f>
        <v>103.44766666666669</v>
      </c>
      <c r="BB210" s="1078">
        <f>+AZ210+BA210</f>
        <v>189.637</v>
      </c>
      <c r="BC210" s="1078">
        <f>+(BF183/3*2)+(BG183)+(BH183/3)</f>
        <v>108.83366666666667</v>
      </c>
      <c r="BD210" s="1078">
        <f>+(BH183/3*2)+(BJ183)+(BK183/3)</f>
        <v>113.35833333333335</v>
      </c>
      <c r="BE210" s="1078">
        <f>+BC210+BD210</f>
        <v>222.19200000000001</v>
      </c>
      <c r="BF210" s="1078">
        <f>+(BK183/3*2)+(BL183)+(BM183/3)</f>
        <v>111.13066666666667</v>
      </c>
      <c r="BG210" s="1078">
        <f>+(BM183/3*2)+(BO183)+(BP183/3)</f>
        <v>105.75266666666667</v>
      </c>
      <c r="BH210" s="1078">
        <f>+BG210+BF210</f>
        <v>216.88333333333333</v>
      </c>
      <c r="BI210" s="1078">
        <f>+(BP183/3*2)+(BQ183)+(BR183/3)</f>
        <v>108.9246666666667</v>
      </c>
      <c r="BJ210" s="1078">
        <f>+(BR183/3*2)+(BT183)+(BU183/3)</f>
        <v>106.63816335094216</v>
      </c>
      <c r="BK210" s="1078">
        <f>+BI210+BJ210</f>
        <v>215.56283001760886</v>
      </c>
      <c r="BL210" s="1078">
        <f>+(BU183/3*2)+(BV183)+(BW183/3)</f>
        <v>100.20571256514781</v>
      </c>
      <c r="BM210" s="1078">
        <f>+(BW183/3*2)+(BY183)+(BZ183/3)</f>
        <v>105.31871885649052</v>
      </c>
      <c r="BN210" s="1078">
        <f>+BL210+BM210</f>
        <v>205.52443142163833</v>
      </c>
      <c r="BO210" s="1078">
        <f>+(BZ183/3*2)+(CA183)+(CB183/3)</f>
        <v>99.752127796782574</v>
      </c>
      <c r="BP210" s="1078">
        <f>+(CB183/3*2)+(CD183)+(CE183/3)</f>
        <v>111.7998281643269</v>
      </c>
      <c r="BQ210" s="1078">
        <f>+BO210+BP210</f>
        <v>211.55195596110946</v>
      </c>
      <c r="BR210" s="1078">
        <f>+(CE183/3*2)+(CF183)+(CG183/3)</f>
        <v>103.86925460614546</v>
      </c>
      <c r="BS210" s="1078">
        <f>+(CG183/3*2)+(CI183)+(CJ183/3)</f>
        <v>118.3875740174655</v>
      </c>
      <c r="BT210" s="1078">
        <f>+BR210+BS210</f>
        <v>222.25682862361094</v>
      </c>
      <c r="CW210" s="725"/>
      <c r="CX210" s="725"/>
      <c r="CY210" s="725"/>
      <c r="CZ210" s="725"/>
      <c r="DA210" s="725"/>
      <c r="DB210" s="725"/>
      <c r="DC210" s="725"/>
      <c r="DD210" s="725"/>
      <c r="DE210" s="725"/>
      <c r="DF210" s="725"/>
      <c r="DG210" s="725"/>
      <c r="DH210" s="725"/>
      <c r="DI210" s="725"/>
    </row>
    <row r="211" spans="1:117" ht="12" customHeight="1">
      <c r="A211" s="1143" t="s">
        <v>1062</v>
      </c>
      <c r="AW211" s="1078">
        <f>+(AV185/3*2)+(AW185)+(AX185/3)</f>
        <v>13.792999999999999</v>
      </c>
      <c r="AX211" s="1078">
        <f>+(AX185/3*2)+(AZ185)+(BA185/3)</f>
        <v>23.550666666666665</v>
      </c>
      <c r="AY211" s="1078">
        <f>+AW211+AX211</f>
        <v>37.343666666666664</v>
      </c>
      <c r="AZ211" s="1078">
        <f>+(BA185/3*2)+(BB185)+(BC185/3)</f>
        <v>5.7796666666666665</v>
      </c>
      <c r="BA211" s="1078">
        <f>+(BC185/3*2)+(BE185)+(BF185/3)</f>
        <v>6.030666666666666</v>
      </c>
      <c r="BB211" s="1078">
        <f>+AZ211+BA211</f>
        <v>11.810333333333332</v>
      </c>
      <c r="BC211" s="1078">
        <f>+(BF185/3*2)+(BG185)+(BH185/3)</f>
        <v>8.9610000000000003</v>
      </c>
      <c r="BD211" s="1078">
        <f>+(BH185/3*2)+(BJ185)+(BK185/3)</f>
        <v>8.6046666666666667</v>
      </c>
      <c r="BE211" s="1078">
        <f>+BC211+BD211</f>
        <v>17.565666666666665</v>
      </c>
      <c r="BF211" s="1078">
        <f>+(BK185/3*2)+(BL185)+(BM185/3)</f>
        <v>12.149000000000001</v>
      </c>
      <c r="BG211" s="1078">
        <f>+(BM185/3*2)+(BO185)+(BP185/3)</f>
        <v>19.108333333333334</v>
      </c>
      <c r="BH211" s="1078">
        <f>+BG211+BF211</f>
        <v>31.257333333333335</v>
      </c>
      <c r="BI211" s="1078">
        <f>+(BP185/3*2)+(BQ185)+(BR185/3)</f>
        <v>19.07</v>
      </c>
      <c r="BJ211" s="1078">
        <f>+(BR185/3*2)+(BT185)+(BU185/3)</f>
        <v>18.726517405700328</v>
      </c>
      <c r="BK211" s="1078">
        <f>+BI211+BJ211</f>
        <v>37.796517405700328</v>
      </c>
      <c r="BL211" s="1078">
        <f>+(BU185/3*2)+(BV185)+(BW185/3)</f>
        <v>18.831657489948533</v>
      </c>
      <c r="BM211" s="1078">
        <f>+(BW185/3*2)+(BY185)+(BZ185/3)</f>
        <v>18.881254877507846</v>
      </c>
      <c r="BN211" s="1078">
        <f>+BL211+BM211</f>
        <v>37.712912367456383</v>
      </c>
      <c r="BO211" s="1078">
        <f>+(BZ185/3*2)+(CA185)+(CB185/3)</f>
        <v>19.262039034519876</v>
      </c>
      <c r="BP211" s="1078">
        <f>+(CB185/3*2)+(CD185)+(CE185/3)</f>
        <v>19.746369042691843</v>
      </c>
      <c r="BQ211" s="1078">
        <f>+BO211+BP211</f>
        <v>39.008408077211719</v>
      </c>
      <c r="BR211" s="1078">
        <f>+(CE185/3*2)+(CF185)+(CG185/3)</f>
        <v>20.019402260916586</v>
      </c>
      <c r="BS211" s="1078">
        <f>+(CG185/3*2)+(CI185)+(CJ185/3)</f>
        <v>20.747432107035063</v>
      </c>
      <c r="BT211" s="1078">
        <f>+BR211+BS211</f>
        <v>40.766834367951645</v>
      </c>
      <c r="CW211" s="725"/>
      <c r="CX211" s="725"/>
      <c r="CY211" s="725"/>
      <c r="CZ211" s="725"/>
      <c r="DA211" s="725"/>
      <c r="DB211" s="725"/>
      <c r="DC211" s="725"/>
      <c r="DD211" s="725"/>
      <c r="DE211" s="725"/>
      <c r="DF211" s="725"/>
      <c r="DG211" s="725"/>
      <c r="DH211" s="725"/>
      <c r="DI211" s="725"/>
    </row>
    <row r="212" spans="1:117" s="1086" customFormat="1" ht="12" customHeight="1">
      <c r="A212" s="1086" t="s">
        <v>133</v>
      </c>
      <c r="AW212" s="1087">
        <f>+AW209-AW210+AW211</f>
        <v>-1.4319999999999879</v>
      </c>
      <c r="AX212" s="1087">
        <f t="shared" ref="AX212:BT212" si="71">+AX209-AX210+AX211</f>
        <v>-2.6213333333333182</v>
      </c>
      <c r="AY212" s="1087">
        <f t="shared" si="71"/>
        <v>-4.0533333333332706</v>
      </c>
      <c r="AZ212" s="1087">
        <f t="shared" si="71"/>
        <v>-0.7159999999999842</v>
      </c>
      <c r="BA212" s="1087">
        <f t="shared" si="71"/>
        <v>-0.47333333333335315</v>
      </c>
      <c r="BB212" s="1087">
        <f t="shared" si="71"/>
        <v>-1.1893333333332947</v>
      </c>
      <c r="BC212" s="1087">
        <f t="shared" si="71"/>
        <v>-0.84633333333328942</v>
      </c>
      <c r="BD212" s="1087">
        <f t="shared" si="71"/>
        <v>-1.4316666666666649</v>
      </c>
      <c r="BE212" s="1087">
        <f t="shared" si="71"/>
        <v>-2.2779999999999276</v>
      </c>
      <c r="BF212" s="1087">
        <f t="shared" si="71"/>
        <v>-2.4683333333333337</v>
      </c>
      <c r="BG212" s="1087">
        <f t="shared" si="71"/>
        <v>-2.6149999999999949</v>
      </c>
      <c r="BH212" s="1087">
        <f t="shared" si="71"/>
        <v>-5.083333333333357</v>
      </c>
      <c r="BI212" s="1087">
        <f t="shared" si="71"/>
        <v>-3.0749999999999957</v>
      </c>
      <c r="BJ212" s="1087">
        <f t="shared" si="71"/>
        <v>-3.0141228052014597</v>
      </c>
      <c r="BK212" s="1087">
        <f t="shared" si="71"/>
        <v>-6.0891228052013986</v>
      </c>
      <c r="BL212" s="1087">
        <f t="shared" si="71"/>
        <v>-3.2363540108754378</v>
      </c>
      <c r="BM212" s="1087">
        <f t="shared" si="71"/>
        <v>-3.2448776739806355</v>
      </c>
      <c r="BN212" s="1087">
        <f t="shared" si="71"/>
        <v>-6.4812316848560414</v>
      </c>
      <c r="BO212" s="1087">
        <f t="shared" si="71"/>
        <v>-3.3103181342524088</v>
      </c>
      <c r="BP212" s="1087">
        <f t="shared" si="71"/>
        <v>-3.3935536840371832</v>
      </c>
      <c r="BQ212" s="1087">
        <f t="shared" si="71"/>
        <v>-6.7038718182895209</v>
      </c>
      <c r="BR212" s="1087">
        <f t="shared" si="71"/>
        <v>-3.4404763806387351</v>
      </c>
      <c r="BS212" s="1087">
        <f t="shared" si="71"/>
        <v>-3.5655934774094113</v>
      </c>
      <c r="BT212" s="1087">
        <f t="shared" si="71"/>
        <v>-7.0060698580481642</v>
      </c>
      <c r="CW212" s="1088"/>
      <c r="CX212" s="1088"/>
      <c r="CY212" s="1088"/>
      <c r="CZ212" s="1088"/>
      <c r="DA212" s="1088"/>
      <c r="DB212" s="1088"/>
      <c r="DC212" s="1088"/>
      <c r="DD212" s="1088"/>
      <c r="DE212" s="1088"/>
      <c r="DF212" s="1088"/>
      <c r="DG212" s="1088"/>
      <c r="DH212" s="1088"/>
      <c r="DI212" s="1088"/>
      <c r="DL212" s="1089"/>
      <c r="DM212" s="1089"/>
    </row>
    <row r="213" spans="1:117" ht="12" customHeight="1">
      <c r="CW213" s="725"/>
      <c r="CX213" s="725"/>
      <c r="CY213" s="725"/>
      <c r="CZ213" s="725"/>
      <c r="DA213" s="725"/>
      <c r="DB213" s="725"/>
      <c r="DC213" s="725"/>
      <c r="DD213" s="725"/>
      <c r="DE213" s="725"/>
      <c r="DF213" s="725"/>
      <c r="DG213" s="725"/>
      <c r="DH213" s="725"/>
      <c r="DI213" s="725"/>
    </row>
    <row r="214" spans="1:117" ht="12" customHeight="1">
      <c r="A214" s="1143" t="s">
        <v>713</v>
      </c>
      <c r="AW214" s="1078">
        <f>+(AV186/3*2)+(AW186)+(AX186/3)</f>
        <v>3.6783333333333323</v>
      </c>
      <c r="AX214" s="1078">
        <f>+(AX186/3*2)+(AZ186)+(BA186/3)</f>
        <v>4.2449999999999983</v>
      </c>
      <c r="AY214" s="1078">
        <f>+AW214+AX214</f>
        <v>7.9233333333333302</v>
      </c>
      <c r="AZ214" s="1078">
        <f>+(BA186/3*2)+(BB186)+(BC186/3)</f>
        <v>5.9609999999999976</v>
      </c>
      <c r="BA214" s="1078">
        <f>+(BC186/3*2)+(BE186)+(BF186/3)</f>
        <v>7.1483333333333174</v>
      </c>
      <c r="BB214" s="1078">
        <f>+AZ214+BA214</f>
        <v>13.109333333333314</v>
      </c>
      <c r="BC214" s="1078">
        <f>+(BF186/3*2)+(BG186)+(BH186/3)</f>
        <v>8.5500000000000096</v>
      </c>
      <c r="BD214" s="1078">
        <f>+(BH186/3*2)+(BJ186)+(BK186/3)</f>
        <v>9.263333333333355</v>
      </c>
      <c r="BE214" s="1078">
        <f>+BC214+BD214</f>
        <v>17.813333333333365</v>
      </c>
      <c r="BF214" s="1078">
        <f>+(BK186/3*2)+(BL186)+(BM186/3)</f>
        <v>9.9280000000000097</v>
      </c>
      <c r="BG214" s="1078">
        <f>+(BM186/3*2)+(BO186)+(BP186/3)</f>
        <v>10.055000000000016</v>
      </c>
      <c r="BH214" s="1078">
        <f>+BG214+BF214</f>
        <v>19.983000000000025</v>
      </c>
      <c r="BI214" s="1078">
        <f>+(BP186/3*2)+(BQ186)+(BR186/3)</f>
        <v>10.281333333333343</v>
      </c>
      <c r="BJ214" s="1078">
        <f>+(BR186/3*2)+(BT186)+(BU186/3)</f>
        <v>9.7575142066780227</v>
      </c>
      <c r="BK214" s="1078">
        <f>+BI214+BJ214</f>
        <v>20.038847540011368</v>
      </c>
      <c r="BL214" s="1078">
        <f>+(BU186/3*2)+(BV186)+(BW186/3)</f>
        <v>9.8003720754453258</v>
      </c>
      <c r="BM214" s="1078">
        <f>+(BW186/3*2)+(BY186)+(BZ186/3)</f>
        <v>9.7160399010570142</v>
      </c>
      <c r="BN214" s="1078">
        <f>+BL214+BM214</f>
        <v>19.51641197650234</v>
      </c>
      <c r="BO214" s="1078">
        <f>+(BZ186/3*2)+(CA186)+(CB186/3)</f>
        <v>9.726787113952188</v>
      </c>
      <c r="BP214" s="1078">
        <f>+(CB186/3*2)+(CD186)+(CE186/3)</f>
        <v>8.5827270304398287</v>
      </c>
      <c r="BQ214" s="1078">
        <f>+BO214+BP214</f>
        <v>18.309514144392018</v>
      </c>
      <c r="BR214" s="1078">
        <f>+(CE186/3*2)+(CF186)+(CG186/3)</f>
        <v>8.0579747217947393</v>
      </c>
      <c r="BS214" s="1078">
        <f>+(CG186/3*2)+(CI186)+(CJ186/3)</f>
        <v>7.9487549317372999</v>
      </c>
      <c r="BT214" s="1078">
        <f>+BR214+BS214</f>
        <v>16.006729653532041</v>
      </c>
      <c r="CW214" s="725"/>
      <c r="CX214" s="725"/>
      <c r="CY214" s="725"/>
      <c r="CZ214" s="725"/>
      <c r="DA214" s="725"/>
      <c r="DB214" s="725"/>
      <c r="DC214" s="725"/>
      <c r="DD214" s="725"/>
      <c r="DE214" s="725"/>
      <c r="DF214" s="725"/>
      <c r="DG214" s="725"/>
      <c r="DH214" s="725"/>
      <c r="DI214" s="725"/>
    </row>
    <row r="215" spans="1:117" s="796" customFormat="1" ht="12" customHeight="1">
      <c r="A215" s="796" t="s">
        <v>28</v>
      </c>
      <c r="AW215" s="1081">
        <f>+AW209-AW214</f>
        <v>36.150999999999989</v>
      </c>
      <c r="AX215" s="1081">
        <f t="shared" ref="AX215:BT215" si="72">+AX209-AX214</f>
        <v>28.67133333333333</v>
      </c>
      <c r="AY215" s="1081">
        <f t="shared" si="72"/>
        <v>64.822333333333361</v>
      </c>
      <c r="AZ215" s="1081">
        <f t="shared" si="72"/>
        <v>73.732666666666674</v>
      </c>
      <c r="BA215" s="1081">
        <f t="shared" si="72"/>
        <v>89.79533333333336</v>
      </c>
      <c r="BB215" s="1081">
        <f t="shared" si="72"/>
        <v>163.52800000000005</v>
      </c>
      <c r="BC215" s="1081">
        <f t="shared" si="72"/>
        <v>90.476333333333372</v>
      </c>
      <c r="BD215" s="1081">
        <f t="shared" si="72"/>
        <v>94.058666666666667</v>
      </c>
      <c r="BE215" s="1081">
        <f t="shared" si="72"/>
        <v>184.53500000000005</v>
      </c>
      <c r="BF215" s="1081">
        <f t="shared" si="72"/>
        <v>86.585333333333324</v>
      </c>
      <c r="BG215" s="1081">
        <f t="shared" si="72"/>
        <v>73.97433333333332</v>
      </c>
      <c r="BH215" s="1081">
        <f t="shared" si="72"/>
        <v>160.5596666666666</v>
      </c>
      <c r="BI215" s="1081">
        <f t="shared" si="72"/>
        <v>76.498333333333363</v>
      </c>
      <c r="BJ215" s="1081">
        <f t="shared" si="72"/>
        <v>75.140008933362353</v>
      </c>
      <c r="BK215" s="1081">
        <f t="shared" si="72"/>
        <v>151.63834226669576</v>
      </c>
      <c r="BL215" s="1081">
        <f t="shared" si="72"/>
        <v>68.337328988878511</v>
      </c>
      <c r="BM215" s="1081">
        <f t="shared" si="72"/>
        <v>73.476546403945022</v>
      </c>
      <c r="BN215" s="1081">
        <f t="shared" si="72"/>
        <v>141.81387539282355</v>
      </c>
      <c r="BO215" s="1081">
        <f t="shared" si="72"/>
        <v>67.452983514058104</v>
      </c>
      <c r="BP215" s="1081">
        <f t="shared" si="72"/>
        <v>80.077178407158044</v>
      </c>
      <c r="BQ215" s="1081">
        <f t="shared" si="72"/>
        <v>147.53016192121621</v>
      </c>
      <c r="BR215" s="1081">
        <f t="shared" si="72"/>
        <v>72.351401242795404</v>
      </c>
      <c r="BS215" s="1081">
        <f t="shared" si="72"/>
        <v>86.125793501283724</v>
      </c>
      <c r="BT215" s="1081">
        <f t="shared" si="72"/>
        <v>158.4771947440791</v>
      </c>
      <c r="CW215" s="1084"/>
      <c r="CX215" s="1084"/>
      <c r="CY215" s="1084"/>
      <c r="CZ215" s="1084"/>
      <c r="DA215" s="1084"/>
      <c r="DB215" s="1084"/>
      <c r="DC215" s="1084"/>
      <c r="DD215" s="1084"/>
      <c r="DE215" s="1084"/>
      <c r="DF215" s="1084"/>
      <c r="DG215" s="1084"/>
      <c r="DH215" s="1084"/>
      <c r="DI215" s="1084"/>
      <c r="DL215" s="1085"/>
      <c r="DM215" s="1085"/>
    </row>
    <row r="216" spans="1:117" ht="12" customHeight="1">
      <c r="A216" s="1143"/>
      <c r="AW216" s="1078"/>
      <c r="AX216" s="1078"/>
      <c r="AY216" s="1078"/>
      <c r="AZ216" s="1078"/>
      <c r="BA216" s="1078"/>
      <c r="BB216" s="1078"/>
      <c r="BC216" s="1078"/>
      <c r="BD216" s="1078"/>
      <c r="BE216" s="1078"/>
      <c r="BF216" s="1078"/>
      <c r="BG216" s="1078"/>
      <c r="BH216" s="1078"/>
      <c r="BI216" s="1078"/>
      <c r="BJ216" s="1078"/>
      <c r="BK216" s="1078"/>
      <c r="BL216" s="1078"/>
      <c r="BM216" s="1078"/>
      <c r="BN216" s="1078"/>
      <c r="BO216" s="1078"/>
      <c r="BP216" s="1078"/>
      <c r="BQ216" s="1078"/>
      <c r="BR216" s="1078"/>
      <c r="BS216" s="1078"/>
      <c r="BT216" s="1078"/>
      <c r="CW216" s="725"/>
      <c r="CX216" s="725"/>
      <c r="CY216" s="725"/>
      <c r="CZ216" s="725"/>
      <c r="DA216" s="725"/>
      <c r="DB216" s="725"/>
      <c r="DC216" s="725"/>
      <c r="DD216" s="725"/>
      <c r="DE216" s="725"/>
      <c r="DF216" s="725"/>
      <c r="DG216" s="725"/>
      <c r="DH216" s="725"/>
      <c r="DI216" s="725"/>
    </row>
    <row r="217" spans="1:117" ht="12" customHeight="1">
      <c r="A217" s="1143"/>
      <c r="AW217" s="1078"/>
      <c r="AX217" s="1078"/>
      <c r="AY217" s="1078"/>
      <c r="AZ217" s="1078"/>
      <c r="BA217" s="1078"/>
      <c r="BB217" s="1078"/>
      <c r="BC217" s="1078"/>
      <c r="BD217" s="1078"/>
      <c r="BE217" s="1078"/>
      <c r="BF217" s="1078"/>
      <c r="BG217" s="1078"/>
      <c r="BH217" s="1078"/>
      <c r="BI217" s="1078"/>
      <c r="BJ217" s="1078"/>
      <c r="BK217" s="1078"/>
      <c r="BL217" s="1078"/>
      <c r="BM217" s="1078"/>
      <c r="BN217" s="1078"/>
      <c r="BO217" s="1078"/>
      <c r="BP217" s="1078"/>
      <c r="BQ217" s="1078"/>
      <c r="BR217" s="1078"/>
      <c r="BS217" s="1078"/>
      <c r="BT217" s="1078"/>
      <c r="CW217" s="725"/>
      <c r="CX217" s="725"/>
      <c r="CY217" s="725"/>
      <c r="CZ217" s="725"/>
      <c r="DA217" s="725"/>
      <c r="DB217" s="725"/>
      <c r="DC217" s="725"/>
      <c r="DD217" s="725"/>
      <c r="DE217" s="725"/>
      <c r="DF217" s="725"/>
      <c r="DG217" s="725"/>
      <c r="DH217" s="725"/>
      <c r="DI217" s="725"/>
    </row>
    <row r="218" spans="1:117" ht="12" customHeight="1">
      <c r="CW218" s="725"/>
      <c r="CX218" s="725"/>
      <c r="CY218" s="725"/>
      <c r="CZ218" s="725"/>
      <c r="DA218" s="725"/>
      <c r="DB218" s="725"/>
      <c r="DC218" s="725"/>
      <c r="DD218" s="725"/>
      <c r="DE218" s="725"/>
      <c r="DF218" s="725"/>
      <c r="DG218" s="725"/>
      <c r="DH218" s="725"/>
      <c r="DI218" s="725"/>
    </row>
    <row r="219" spans="1:117" ht="12" customHeight="1">
      <c r="A219" s="1143" t="s">
        <v>1063</v>
      </c>
      <c r="AW219" s="1078">
        <f>+(AV188/3*2)+(AW188)+(AX188/3)</f>
        <v>16.468666666666667</v>
      </c>
      <c r="AX219" s="1078">
        <f>+(AX188/3*2)+(AZ188)+(BA188/3)</f>
        <v>9.7836666666666687</v>
      </c>
      <c r="AY219" s="1078">
        <f>+AW219+AX219</f>
        <v>26.252333333333336</v>
      </c>
      <c r="AZ219" s="1078">
        <f>+(BA188/3*2)+(BB188)+(BC188/3)</f>
        <v>28.337</v>
      </c>
      <c r="BA219" s="1078">
        <f>+(BC188/3*2)+(BE188)+(BF188/3)</f>
        <v>41.552666666666667</v>
      </c>
      <c r="BB219" s="1078">
        <f>+AZ219+BA219</f>
        <v>69.88966666666667</v>
      </c>
      <c r="BC219" s="1078">
        <f>+(BF188/3*2)+(BG188)+(BH188/3)</f>
        <v>40.743333333333332</v>
      </c>
      <c r="BD219" s="1078">
        <f>+(BH188/3*2)+(BJ188)+(BK188/3)</f>
        <v>40.318333333333335</v>
      </c>
      <c r="BE219" s="1078">
        <f>+BC219+BD219</f>
        <v>81.061666666666667</v>
      </c>
      <c r="BF219" s="1078">
        <f>+(BK188/3*2)+(BL188)+(BM188/3)</f>
        <v>40.056333333333335</v>
      </c>
      <c r="BG219" s="1078">
        <f>+(BM188/3*2)+(BO188)+(BP188/3)</f>
        <v>40.227666666666664</v>
      </c>
      <c r="BH219" s="1078">
        <f>+BG219+BF219</f>
        <v>80.283999999999992</v>
      </c>
      <c r="BI219" s="1078">
        <f>+(BP188/3*2)+(BQ188)+(BR188/3)</f>
        <v>20.907999999999998</v>
      </c>
      <c r="BJ219" s="1078">
        <f>+(BR188/3*2)+(BT188)+(BU188/3)</f>
        <v>11.218000000000002</v>
      </c>
      <c r="BK219" s="1078">
        <f>+BI219+BJ219</f>
        <v>32.125999999999998</v>
      </c>
      <c r="BL219" s="1078">
        <f>+(BU188/3*2)+(BV188)+(BW188/3)</f>
        <v>11.222000000000005</v>
      </c>
      <c r="BM219" s="1078">
        <f>+(BW188/3*2)+(BY188)+(BZ188/3)</f>
        <v>11.222000000000005</v>
      </c>
      <c r="BN219" s="1078">
        <f>+BL219+BM219</f>
        <v>22.44400000000001</v>
      </c>
      <c r="BO219" s="1078">
        <f>+(BZ188/3*2)+(CA188)+(CB188/3)</f>
        <v>11.222000000000005</v>
      </c>
      <c r="BP219" s="1078">
        <f>+(CB188/3*2)+(CD188)+(CE188/3)</f>
        <v>9.640429604007215</v>
      </c>
      <c r="BQ219" s="1078">
        <f>+BO219+BP219</f>
        <v>20.862429604007218</v>
      </c>
      <c r="BR219" s="1078">
        <f>+(CE188/3*2)+(CF188)+(CG188/3)</f>
        <v>8.8496444060108193</v>
      </c>
      <c r="BS219" s="1078">
        <f>+(CG188/3*2)+(CI188)+(CJ188/3)</f>
        <v>8.8496444060108193</v>
      </c>
      <c r="BT219" s="1078">
        <f>+BR219+BS219</f>
        <v>17.699288812021639</v>
      </c>
      <c r="CW219" s="725"/>
      <c r="CX219" s="725"/>
      <c r="CY219" s="725"/>
      <c r="CZ219" s="725"/>
      <c r="DA219" s="725"/>
      <c r="DB219" s="725"/>
      <c r="DC219" s="725"/>
      <c r="DD219" s="725"/>
      <c r="DE219" s="725"/>
      <c r="DF219" s="725"/>
      <c r="DG219" s="725"/>
      <c r="DH219" s="725"/>
      <c r="DI219" s="725"/>
    </row>
    <row r="220" spans="1:117" ht="12" customHeight="1">
      <c r="CW220" s="725"/>
      <c r="CX220" s="725"/>
      <c r="CY220" s="725"/>
      <c r="CZ220" s="725"/>
      <c r="DA220" s="725"/>
      <c r="DB220" s="725"/>
      <c r="DC220" s="725"/>
      <c r="DD220" s="725"/>
      <c r="DE220" s="725"/>
      <c r="DF220" s="725"/>
      <c r="DG220" s="725"/>
      <c r="DH220" s="725"/>
      <c r="DI220" s="725"/>
    </row>
    <row r="221" spans="1:117" ht="12" customHeight="1">
      <c r="CW221" s="725"/>
      <c r="CX221" s="725"/>
      <c r="CY221" s="725"/>
      <c r="CZ221" s="725"/>
      <c r="DA221" s="725"/>
      <c r="DB221" s="725"/>
      <c r="DC221" s="725"/>
      <c r="DD221" s="725"/>
      <c r="DE221" s="725"/>
      <c r="DF221" s="725"/>
      <c r="DG221" s="725"/>
      <c r="DH221" s="725"/>
      <c r="DI221" s="725"/>
    </row>
    <row r="222" spans="1:117" ht="12" customHeight="1">
      <c r="CW222" s="725"/>
      <c r="CX222" s="725"/>
      <c r="CY222" s="725"/>
      <c r="CZ222" s="725"/>
      <c r="DA222" s="725"/>
      <c r="DB222" s="725"/>
      <c r="DC222" s="725"/>
      <c r="DD222" s="725"/>
      <c r="DE222" s="725"/>
      <c r="DF222" s="725"/>
      <c r="DG222" s="725"/>
      <c r="DH222" s="725"/>
      <c r="DI222" s="725"/>
    </row>
    <row r="223" spans="1:117" ht="12" customHeight="1">
      <c r="BK223" s="1078"/>
      <c r="BN223" s="1078"/>
      <c r="BQ223" s="1078"/>
      <c r="BT223" s="1078"/>
      <c r="CW223" s="725"/>
      <c r="CX223" s="725"/>
      <c r="CY223" s="725"/>
      <c r="CZ223" s="725"/>
      <c r="DA223" s="725"/>
      <c r="DB223" s="725"/>
      <c r="DC223" s="725"/>
      <c r="DD223" s="725"/>
      <c r="DE223" s="725"/>
      <c r="DF223" s="725"/>
      <c r="DG223" s="725"/>
      <c r="DH223" s="725"/>
      <c r="DI223" s="725"/>
    </row>
    <row r="224" spans="1:117" ht="12" customHeight="1">
      <c r="CW224" s="725"/>
      <c r="CX224" s="725"/>
      <c r="CY224" s="725"/>
      <c r="CZ224" s="725"/>
      <c r="DA224" s="725"/>
      <c r="DB224" s="725"/>
      <c r="DC224" s="725"/>
      <c r="DD224" s="725"/>
      <c r="DE224" s="725"/>
      <c r="DF224" s="725"/>
      <c r="DG224" s="725"/>
      <c r="DH224" s="725"/>
      <c r="DI224" s="725"/>
    </row>
    <row r="225" spans="101:113" ht="12" customHeight="1">
      <c r="CW225" s="901"/>
      <c r="CX225" s="901"/>
      <c r="CY225" s="901"/>
      <c r="CZ225" s="901"/>
      <c r="DA225" s="901"/>
      <c r="DB225" s="901"/>
      <c r="DC225" s="901"/>
      <c r="DD225" s="901"/>
      <c r="DE225" s="901"/>
      <c r="DF225" s="901"/>
      <c r="DG225" s="901"/>
      <c r="DH225" s="901"/>
      <c r="DI225" s="901"/>
    </row>
    <row r="226" spans="101:113" ht="12" customHeight="1">
      <c r="CW226" s="902"/>
      <c r="CX226" s="902"/>
      <c r="CY226" s="902"/>
      <c r="CZ226" s="902"/>
      <c r="DA226" s="902"/>
      <c r="DB226" s="902"/>
      <c r="DC226" s="902"/>
      <c r="DD226" s="902"/>
      <c r="DE226" s="902"/>
      <c r="DF226" s="902"/>
      <c r="DG226" s="902"/>
      <c r="DH226" s="902"/>
      <c r="DI226" s="902"/>
    </row>
    <row r="227" spans="101:113" ht="12" customHeight="1">
      <c r="CW227" s="902"/>
      <c r="CX227" s="902"/>
      <c r="CY227" s="902"/>
      <c r="CZ227" s="902"/>
      <c r="DA227" s="902"/>
      <c r="DB227" s="902"/>
      <c r="DC227" s="902"/>
      <c r="DD227" s="902"/>
      <c r="DE227" s="902"/>
      <c r="DF227" s="902"/>
      <c r="DG227" s="902"/>
      <c r="DH227" s="902"/>
      <c r="DI227" s="902"/>
    </row>
  </sheetData>
  <pageMargins left="0.7" right="0.7" top="0.75" bottom="0.75" header="0.3" footer="0.3"/>
  <pageSetup orientation="portrait" r:id="rId1"/>
  <customProperties>
    <customPr name="Qube.Worksheet.Visibility" r:id="rId2"/>
  </customPropertie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B4:AJ59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L24" sqref="L24"/>
    </sheetView>
  </sheetViews>
  <sheetFormatPr defaultRowHeight="12.75" outlineLevelCol="1"/>
  <cols>
    <col min="2" max="2" width="39.5703125" customWidth="1"/>
    <col min="4" max="5" width="9.140625" hidden="1" customWidth="1" outlineLevel="1"/>
    <col min="6" max="6" width="9.140625" style="200" collapsed="1"/>
    <col min="7" max="8" width="9.140625" hidden="1" customWidth="1" outlineLevel="1"/>
    <col min="9" max="9" width="9.140625" collapsed="1"/>
    <col min="10" max="11" width="9.140625" hidden="1" customWidth="1" outlineLevel="1"/>
    <col min="12" max="12" width="9.140625" collapsed="1"/>
    <col min="23" max="23" width="18.5703125" customWidth="1"/>
    <col min="24" max="24" width="7" customWidth="1"/>
    <col min="25" max="25" width="9.140625" hidden="1" customWidth="1" outlineLevel="1"/>
    <col min="26" max="26" width="6.7109375" customWidth="1" collapsed="1"/>
    <col min="27" max="27" width="1.140625" customWidth="1"/>
    <col min="28" max="28" width="7" customWidth="1"/>
    <col min="29" max="29" width="9.140625" hidden="1" customWidth="1" outlineLevel="1"/>
    <col min="30" max="30" width="7.5703125" customWidth="1" collapsed="1"/>
    <col min="31" max="31" width="1.140625" customWidth="1"/>
    <col min="32" max="32" width="7" customWidth="1"/>
    <col min="33" max="33" width="9.140625" hidden="1" customWidth="1" outlineLevel="1"/>
    <col min="34" max="34" width="8" customWidth="1" collapsed="1"/>
  </cols>
  <sheetData>
    <row r="4" spans="2:34">
      <c r="B4" s="248"/>
      <c r="C4" s="249" t="s">
        <v>580</v>
      </c>
      <c r="D4" s="248" t="s">
        <v>593</v>
      </c>
      <c r="E4" s="248" t="s">
        <v>594</v>
      </c>
      <c r="F4" s="249" t="s">
        <v>581</v>
      </c>
      <c r="G4" s="248" t="s">
        <v>591</v>
      </c>
      <c r="H4" s="248" t="s">
        <v>592</v>
      </c>
      <c r="I4" s="249" t="s">
        <v>582</v>
      </c>
      <c r="J4" s="248" t="s">
        <v>589</v>
      </c>
      <c r="K4" s="248" t="s">
        <v>590</v>
      </c>
      <c r="L4" s="249" t="s">
        <v>583</v>
      </c>
      <c r="M4" s="249" t="s">
        <v>584</v>
      </c>
      <c r="N4" s="249" t="s">
        <v>585</v>
      </c>
      <c r="O4" s="249" t="s">
        <v>586</v>
      </c>
      <c r="P4" s="249" t="s">
        <v>587</v>
      </c>
    </row>
    <row r="5" spans="2:34">
      <c r="B5" s="244" t="s">
        <v>598</v>
      </c>
      <c r="C5" s="244"/>
      <c r="D5" s="244"/>
      <c r="E5" s="244"/>
      <c r="F5" s="245"/>
      <c r="G5" s="244"/>
      <c r="H5" s="244"/>
      <c r="I5" s="244"/>
      <c r="J5" s="244"/>
      <c r="K5" s="244"/>
      <c r="L5" s="244"/>
      <c r="M5" s="244"/>
      <c r="N5" s="244"/>
      <c r="O5" s="244"/>
      <c r="P5" s="244"/>
    </row>
    <row r="6" spans="2:34">
      <c r="B6" t="s">
        <v>588</v>
      </c>
      <c r="C6" s="242">
        <f>_xll.VisibleAlpha.UDF.VAData("WTC_AU",C$4,$B6)</f>
        <v>175.36274657051399</v>
      </c>
      <c r="D6" s="242" t="str">
        <f>_xll.VisibleAlpha.UDF.VAData("WTC_AU",D$4,$B6)</f>
        <v>#InvalidPeriod</v>
      </c>
      <c r="E6" s="242" t="str">
        <f>_xll.VisibleAlpha.UDF.VAData("WTC_AU",E$4,$B6)</f>
        <v>#InvalidPeriod</v>
      </c>
      <c r="F6" s="243">
        <f>_xll.VisibleAlpha.UDF.VAData("WTC_AU",F$4,$B6)</f>
        <v>187.55199287982214</v>
      </c>
      <c r="G6" s="242" t="str">
        <f>_xll.VisibleAlpha.UDF.VAData("WTC_AU",G$4,$B6)</f>
        <v>#InvalidPeriod</v>
      </c>
      <c r="H6" s="242" t="str">
        <f>_xll.VisibleAlpha.UDF.VAData("WTC_AU",H$4,$B6)</f>
        <v>#InvalidPeriod</v>
      </c>
      <c r="I6" s="242">
        <f>_xll.VisibleAlpha.UDF.VAData("WTC_AU",I$4,$B6)</f>
        <v>259.14611802612615</v>
      </c>
      <c r="J6" s="242" t="str">
        <f>_xll.VisibleAlpha.UDF.VAData("WTC_AU",J$4,$B6)</f>
        <v>#InvalidPeriod</v>
      </c>
      <c r="K6" s="242" t="str">
        <f>_xll.VisibleAlpha.UDF.VAData("WTC_AU",K$4,$B6)</f>
        <v>#InvalidPeriod</v>
      </c>
      <c r="L6" s="242">
        <f>_xll.VisibleAlpha.UDF.VAData("WTC_AU",L$4,$B6)</f>
        <v>337.74392987559833</v>
      </c>
      <c r="M6" s="242">
        <f>_xll.VisibleAlpha.UDF.VAData("WTC_AU",M$4,$B6)</f>
        <v>444.98347031920008</v>
      </c>
      <c r="N6" s="242">
        <f>_xll.VisibleAlpha.UDF.VAData("WTC_AU",N$4,$B6)</f>
        <v>579.0302384041662</v>
      </c>
      <c r="O6" s="242">
        <f>_xll.VisibleAlpha.UDF.VAData("WTC_AU",O$4,$B6)</f>
        <v>684.69978107333066</v>
      </c>
      <c r="P6" s="242">
        <f>_xll.VisibleAlpha.UDF.VAData("WTC_AU",P$4,$B6)</f>
        <v>790.81043933497608</v>
      </c>
    </row>
    <row r="7" spans="2:34">
      <c r="B7" t="s">
        <v>595</v>
      </c>
      <c r="C7" s="242">
        <f>_xll.VisibleAlpha.UDF.VAData("WTC_AU",C$4,$B7)</f>
        <v>130.08084039862115</v>
      </c>
      <c r="D7" s="242" t="str">
        <f>_xll.VisibleAlpha.UDF.VAData("WTC_AU",D$4,$B7)</f>
        <v>#InvalidPeriod</v>
      </c>
      <c r="E7" s="242" t="str">
        <f>_xll.VisibleAlpha.UDF.VAData("WTC_AU",E$4,$B7)</f>
        <v>#InvalidPeriod</v>
      </c>
      <c r="F7" s="243">
        <f>_xll.VisibleAlpha.UDF.VAData("WTC_AU",F$4,$B7)</f>
        <v>148.1456565454792</v>
      </c>
      <c r="G7" s="242" t="str">
        <f>_xll.VisibleAlpha.UDF.VAData("WTC_AU",G$4,$B7)</f>
        <v>#InvalidPeriod</v>
      </c>
      <c r="H7" s="242" t="str">
        <f>_xll.VisibleAlpha.UDF.VAData("WTC_AU",H$4,$B7)</f>
        <v>#InvalidPeriod</v>
      </c>
      <c r="I7" s="242">
        <f>_xll.VisibleAlpha.UDF.VAData("WTC_AU",I$4,$B7)</f>
        <v>157.48619699414127</v>
      </c>
      <c r="J7" s="242" t="str">
        <f>_xll.VisibleAlpha.UDF.VAData("WTC_AU",J$4,$B7)</f>
        <v>#InvalidPeriod</v>
      </c>
      <c r="K7" s="242" t="str">
        <f>_xll.VisibleAlpha.UDF.VAData("WTC_AU",K$4,$B7)</f>
        <v>#InvalidPeriod</v>
      </c>
      <c r="L7" s="242">
        <f>_xll.VisibleAlpha.UDF.VAData("WTC_AU",L$4,$B7)</f>
        <v>168.10990994897855</v>
      </c>
      <c r="M7" s="242">
        <f>_xll.VisibleAlpha.UDF.VAData("WTC_AU",M$4,$B7)</f>
        <v>157.75671247851113</v>
      </c>
      <c r="N7" s="242">
        <f>_xll.VisibleAlpha.UDF.VAData("WTC_AU",N$4,$B7)</f>
        <v>156.7882493587777</v>
      </c>
      <c r="O7" s="242">
        <f>_xll.VisibleAlpha.UDF.VAData("WTC_AU",O$4,$B7)</f>
        <v>145.47159551397061</v>
      </c>
      <c r="P7" s="242">
        <f>_xll.VisibleAlpha.UDF.VAData("WTC_AU",P$4,$B7)</f>
        <v>881.71416415254112</v>
      </c>
    </row>
    <row r="8" spans="2:34">
      <c r="B8" t="s">
        <v>106</v>
      </c>
      <c r="C8" s="242">
        <f>_xll.VisibleAlpha.UDF.VAData("WTC_AU",C$4,$B8)</f>
        <v>267.57747497267604</v>
      </c>
      <c r="D8" s="242" t="str">
        <f>_xll.VisibleAlpha.UDF.VAData("WTC_AU",D$4,$B8)</f>
        <v>#InvalidPeriod</v>
      </c>
      <c r="E8" s="242" t="str">
        <f>_xll.VisibleAlpha.UDF.VAData("WTC_AU",E$4,$B8)</f>
        <v>#InvalidPeriod</v>
      </c>
      <c r="F8" s="243">
        <f>_xll.VisibleAlpha.UDF.VAData("WTC_AU",F$4,$B8)</f>
        <v>288.65628000849506</v>
      </c>
      <c r="G8" s="242" t="str">
        <f>_xll.VisibleAlpha.UDF.VAData("WTC_AU",G$4,$B8)</f>
        <v>#InvalidPeriod</v>
      </c>
      <c r="H8" s="242" t="str">
        <f>_xll.VisibleAlpha.UDF.VAData("WTC_AU",H$4,$B8)</f>
        <v>#InvalidPeriod</v>
      </c>
      <c r="I8" s="242">
        <f>_xll.VisibleAlpha.UDF.VAData("WTC_AU",I$4,$B8)</f>
        <v>377.28859567610158</v>
      </c>
      <c r="J8" s="242" t="str">
        <f>_xll.VisibleAlpha.UDF.VAData("WTC_AU",J$4,$B8)</f>
        <v>#InvalidPeriod</v>
      </c>
      <c r="K8" s="242" t="str">
        <f>_xll.VisibleAlpha.UDF.VAData("WTC_AU",K$4,$B8)</f>
        <v>#InvalidPeriod</v>
      </c>
      <c r="L8" s="242">
        <f>_xll.VisibleAlpha.UDF.VAData("WTC_AU",L$4,$B8)</f>
        <v>459.01684324643963</v>
      </c>
      <c r="M8" s="242">
        <f>_xll.VisibleAlpha.UDF.VAData("WTC_AU",M$4,$B8)</f>
        <v>551.63035280008</v>
      </c>
      <c r="N8" s="242">
        <f>_xll.VisibleAlpha.UDF.VAData("WTC_AU",N$4,$B8)</f>
        <v>682.14853345603012</v>
      </c>
      <c r="O8" s="242">
        <f>_xll.VisibleAlpha.UDF.VAData("WTC_AU",O$4,$B8)</f>
        <v>778.73333333333335</v>
      </c>
      <c r="P8" s="242">
        <f>_xll.VisibleAlpha.UDF.VAData("WTC_AU",P$4,$B8)</f>
        <v>1428.7117761773093</v>
      </c>
    </row>
    <row r="9" spans="2:34">
      <c r="W9" s="248" t="s">
        <v>605</v>
      </c>
      <c r="X9" s="1156" t="s">
        <v>323</v>
      </c>
      <c r="Y9" s="1156"/>
      <c r="Z9" s="1156"/>
      <c r="AA9" s="259"/>
      <c r="AB9" s="1156" t="s">
        <v>327</v>
      </c>
      <c r="AC9" s="1156"/>
      <c r="AD9" s="1156"/>
      <c r="AE9" s="259"/>
      <c r="AF9" s="1156" t="s">
        <v>387</v>
      </c>
      <c r="AG9" s="1156"/>
      <c r="AH9" s="1156"/>
    </row>
    <row r="10" spans="2:34" ht="25.5">
      <c r="B10" t="s">
        <v>600</v>
      </c>
      <c r="C10" s="242" t="str">
        <f>_xll.VisibleAlpha.UDF.VAData("WTC_AU",C$4,$B10)</f>
        <v>-</v>
      </c>
      <c r="D10" s="242" t="str">
        <f>_xll.VisibleAlpha.UDF.VAData("WTC_AU",D$4,$B10)</f>
        <v>#InvalidPeriod</v>
      </c>
      <c r="E10" s="242" t="str">
        <f>_xll.VisibleAlpha.UDF.VAData("WTC_AU",E$4,$B10)</f>
        <v>#InvalidPeriod</v>
      </c>
      <c r="F10" s="243" t="str">
        <f>_xll.VisibleAlpha.UDF.VAData("WTC_AU",F$4,$B10)</f>
        <v>-</v>
      </c>
      <c r="G10" s="242" t="str">
        <f>_xll.VisibleAlpha.UDF.VAData("WTC_AU",G$4,$B10)</f>
        <v>#InvalidPeriod</v>
      </c>
      <c r="H10" s="242" t="str">
        <f>_xll.VisibleAlpha.UDF.VAData("WTC_AU",H$4,$B10)</f>
        <v>#InvalidPeriod</v>
      </c>
      <c r="I10" s="242" t="str">
        <f>_xll.VisibleAlpha.UDF.VAData("WTC_AU",I$4,$B10)</f>
        <v>-</v>
      </c>
      <c r="J10" s="242" t="str">
        <f>_xll.VisibleAlpha.UDF.VAData("WTC_AU",J$4,$B10)</f>
        <v>#InvalidPeriod</v>
      </c>
      <c r="K10" s="242" t="str">
        <f>_xll.VisibleAlpha.UDF.VAData("WTC_AU",K$4,$B10)</f>
        <v>#InvalidPeriod</v>
      </c>
      <c r="L10" s="242" t="str">
        <f>_xll.VisibleAlpha.UDF.VAData("WTC_AU",L$4,$B10)</f>
        <v>-</v>
      </c>
      <c r="M10" s="242" t="str">
        <f>_xll.VisibleAlpha.UDF.VAData("WTC_AU",M$4,$B10)</f>
        <v>-</v>
      </c>
      <c r="N10" s="242">
        <f>_xll.VisibleAlpha.UDF.VAData("WTC_AU",N$4,$B10)</f>
        <v>583.44212538226304</v>
      </c>
      <c r="O10" s="242">
        <f>_xll.VisibleAlpha.UDF.VAData("WTC_AU",O$4,$B10)</f>
        <v>681.3</v>
      </c>
      <c r="P10" s="242">
        <f>_xll.VisibleAlpha.UDF.VAData("WTC_AU",P$4,$B10)</f>
        <v>1256.5558072523099</v>
      </c>
      <c r="W10" s="248"/>
      <c r="X10" s="258" t="s">
        <v>599</v>
      </c>
      <c r="Y10" s="258" t="s">
        <v>606</v>
      </c>
      <c r="Z10" s="258" t="s">
        <v>607</v>
      </c>
      <c r="AA10" s="258"/>
      <c r="AB10" s="258" t="s">
        <v>599</v>
      </c>
      <c r="AC10" s="258" t="s">
        <v>606</v>
      </c>
      <c r="AD10" s="258" t="s">
        <v>607</v>
      </c>
      <c r="AE10" s="258"/>
      <c r="AF10" s="258" t="s">
        <v>599</v>
      </c>
      <c r="AG10" s="258" t="s">
        <v>606</v>
      </c>
      <c r="AH10" s="258" t="s">
        <v>607</v>
      </c>
    </row>
    <row r="11" spans="2:34">
      <c r="W11" s="200" t="s">
        <v>106</v>
      </c>
      <c r="X11" s="255">
        <f>M28</f>
        <v>552.19999999999993</v>
      </c>
      <c r="Y11" s="256">
        <f>M8</f>
        <v>551.63035280008</v>
      </c>
      <c r="Z11" s="257">
        <f>X11/Y11-1</f>
        <v>1.0326610873176989E-3</v>
      </c>
      <c r="AA11" s="200"/>
      <c r="AB11" s="255">
        <f>N28</f>
        <v>683.6</v>
      </c>
      <c r="AC11" s="256">
        <f>N8</f>
        <v>682.14853345603012</v>
      </c>
      <c r="AD11" s="257">
        <f>AB11/AC11-1</f>
        <v>2.1277866517079858E-3</v>
      </c>
      <c r="AE11" s="256"/>
      <c r="AF11" s="255">
        <f>O28</f>
        <v>778.7</v>
      </c>
      <c r="AG11" s="256">
        <f>O8</f>
        <v>778.73333333333335</v>
      </c>
      <c r="AH11" s="257">
        <f>AF11/AG11-1</f>
        <v>-4.2804554404529682E-5</v>
      </c>
    </row>
    <row r="12" spans="2:34">
      <c r="B12" t="s">
        <v>27</v>
      </c>
      <c r="C12" s="242">
        <f>_xll.VisibleAlpha.UDF.VAData("WTC_AU",C$4,$B12)</f>
        <v>29.146078343732132</v>
      </c>
      <c r="D12" s="242" t="str">
        <f>_xll.VisibleAlpha.UDF.VAData("WTC_AU",D$4,$B12)</f>
        <v>#InvalidPeriod</v>
      </c>
      <c r="E12" s="242" t="str">
        <f>_xll.VisibleAlpha.UDF.VAData("WTC_AU",E$4,$B12)</f>
        <v>#InvalidPeriod</v>
      </c>
      <c r="F12" s="243">
        <f>_xll.VisibleAlpha.UDF.VAData("WTC_AU",F$4,$B12)</f>
        <v>86.205664494560395</v>
      </c>
      <c r="G12" s="242" t="str">
        <f>_xll.VisibleAlpha.UDF.VAData("WTC_AU",G$4,$B12)</f>
        <v>#InvalidPeriod</v>
      </c>
      <c r="H12" s="242" t="str">
        <f>_xll.VisibleAlpha.UDF.VAData("WTC_AU",H$4,$B12)</f>
        <v>#InvalidPeriod</v>
      </c>
      <c r="I12" s="242">
        <f>_xll.VisibleAlpha.UDF.VAData("WTC_AU",I$4,$B12)</f>
        <v>155.18337301117887</v>
      </c>
      <c r="J12" s="242" t="str">
        <f>_xll.VisibleAlpha.UDF.VAData("WTC_AU",J$4,$B12)</f>
        <v>#InvalidPeriod</v>
      </c>
      <c r="K12" s="242" t="str">
        <f>_xll.VisibleAlpha.UDF.VAData("WTC_AU",K$4,$B12)</f>
        <v>#InvalidPeriod</v>
      </c>
      <c r="L12" s="242">
        <f>_xll.VisibleAlpha.UDF.VAData("WTC_AU",L$4,$B12)</f>
        <v>232.65841214355061</v>
      </c>
      <c r="M12" s="242">
        <f>_xll.VisibleAlpha.UDF.VAData("WTC_AU",M$4,$B12)</f>
        <v>262.82084273557712</v>
      </c>
      <c r="N12" s="242">
        <f>_xll.VisibleAlpha.UDF.VAData("WTC_AU",N$4,$B12)</f>
        <v>325.84712050947019</v>
      </c>
      <c r="O12" s="242">
        <f>_xll.VisibleAlpha.UDF.VAData("WTC_AU",O$4,$B12)</f>
        <v>386.28</v>
      </c>
      <c r="P12" s="242">
        <f>_xll.VisibleAlpha.UDF.VAData("WTC_AU",P$4,$B12)</f>
        <v>587.06009889659833</v>
      </c>
      <c r="W12" s="253" t="s">
        <v>654</v>
      </c>
      <c r="X12" s="208">
        <f>(X11/$L$8)-1</f>
        <v>0.20300596399581705</v>
      </c>
      <c r="Y12" s="208">
        <f>(Y11/$L$8)-1</f>
        <v>0.20176494809781409</v>
      </c>
      <c r="Z12" s="254">
        <f>ROUND((X12-Y12)*10000,0)</f>
        <v>12</v>
      </c>
      <c r="AB12" s="208">
        <f>(AB11/$L$8)^(1/2)-1</f>
        <v>0.22035649266576596</v>
      </c>
      <c r="AC12" s="208">
        <f>(AC11/$L$8)^(1/2)-1</f>
        <v>0.21906023179657752</v>
      </c>
      <c r="AD12" s="254">
        <f>ROUND((AB12-AC12)*10000,0)</f>
        <v>13</v>
      </c>
      <c r="AF12" s="208">
        <f>(AF11/$L$8)^(1/3)-1</f>
        <v>0.19265230244057863</v>
      </c>
      <c r="AG12" s="208">
        <f>(AG11/$L$8)^(1/3)-1</f>
        <v>0.19266931990965275</v>
      </c>
      <c r="AH12" s="254">
        <f>ROUND((AF12-AG12)*10000,0)</f>
        <v>0</v>
      </c>
    </row>
    <row r="14" spans="2:34">
      <c r="B14" t="s">
        <v>601</v>
      </c>
      <c r="C14" s="242">
        <f>_xll.VisibleAlpha.UDF.VAData("WTC_AU",C$4,$B14)</f>
        <v>31.242257911356166</v>
      </c>
      <c r="D14" s="242" t="str">
        <f>_xll.VisibleAlpha.UDF.VAData("WTC_AU",D$4,$B14)</f>
        <v>#InvalidPeriod</v>
      </c>
      <c r="E14" s="242" t="str">
        <f>_xll.VisibleAlpha.UDF.VAData("WTC_AU",E$4,$B14)</f>
        <v>#InvalidPeriod</v>
      </c>
      <c r="F14" s="243">
        <f>_xll.VisibleAlpha.UDF.VAData("WTC_AU",F$4,$B14)</f>
        <v>47.388381401310291</v>
      </c>
      <c r="G14" s="242" t="str">
        <f>_xll.VisibleAlpha.UDF.VAData("WTC_AU",G$4,$B14)</f>
        <v>#InvalidPeriod</v>
      </c>
      <c r="H14" s="242" t="str">
        <f>_xll.VisibleAlpha.UDF.VAData("WTC_AU",H$4,$B14)</f>
        <v>#InvalidPeriod</v>
      </c>
      <c r="I14" s="242">
        <f>_xll.VisibleAlpha.UDF.VAData("WTC_AU",I$4,$B14)</f>
        <v>55.450141022103246</v>
      </c>
      <c r="J14" s="242" t="str">
        <f>_xll.VisibleAlpha.UDF.VAData("WTC_AU",J$4,$B14)</f>
        <v>#InvalidPeriod</v>
      </c>
      <c r="K14" s="242" t="str">
        <f>_xll.VisibleAlpha.UDF.VAData("WTC_AU",K$4,$B14)</f>
        <v>#InvalidPeriod</v>
      </c>
      <c r="L14" s="242">
        <f>_xll.VisibleAlpha.UDF.VAData("WTC_AU",L$4,$B14)</f>
        <v>54.462547994875081</v>
      </c>
      <c r="M14" s="242">
        <f>_xll.VisibleAlpha.UDF.VAData("WTC_AU",M$4,$B14)</f>
        <v>77.406113341328805</v>
      </c>
      <c r="N14" s="242">
        <f>_xll.VisibleAlpha.UDF.VAData("WTC_AU",N$4,$B14)</f>
        <v>113.7581764883289</v>
      </c>
      <c r="O14" s="242">
        <f>_xll.VisibleAlpha.UDF.VAData("WTC_AU",O$4,$B14)</f>
        <v>126.5</v>
      </c>
      <c r="P14" s="242">
        <f>_xll.VisibleAlpha.UDF.VAData("WTC_AU",P$4,$B14)</f>
        <v>190.47153468863249</v>
      </c>
      <c r="W14" s="200" t="s">
        <v>347</v>
      </c>
      <c r="X14" s="255">
        <f>M30</f>
        <v>475.3</v>
      </c>
      <c r="Y14" s="256" t="str">
        <f>M10</f>
        <v>-</v>
      </c>
      <c r="Z14" s="257" t="e">
        <f>X14/Y14-1</f>
        <v>#VALUE!</v>
      </c>
      <c r="AA14" s="200"/>
      <c r="AB14" s="255">
        <f>N30</f>
        <v>583.4</v>
      </c>
      <c r="AC14" s="256">
        <f>N10</f>
        <v>583.44212538226304</v>
      </c>
      <c r="AD14" s="257">
        <f>AB14/AC14-1</f>
        <v>-7.2201475399880088E-5</v>
      </c>
      <c r="AE14" s="256"/>
      <c r="AF14" s="255">
        <f>O30</f>
        <v>681.3</v>
      </c>
      <c r="AG14" s="256">
        <f>O10</f>
        <v>681.3</v>
      </c>
      <c r="AH14" s="257">
        <f>AF14/AG14-1</f>
        <v>0</v>
      </c>
    </row>
    <row r="15" spans="2:34">
      <c r="B15" t="s">
        <v>602</v>
      </c>
      <c r="C15" s="242">
        <f>_xll.VisibleAlpha.UDF.VAData("WTC_AU",C$4,$B15)</f>
        <v>4.6832929619851758</v>
      </c>
      <c r="D15" s="242" t="str">
        <f>_xll.VisibleAlpha.UDF.VAData("WTC_AU",D$4,$B15)</f>
        <v>#InvalidPeriod</v>
      </c>
      <c r="E15" s="242" t="str">
        <f>_xll.VisibleAlpha.UDF.VAData("WTC_AU",E$4,$B15)</f>
        <v>#InvalidPeriod</v>
      </c>
      <c r="F15" s="243">
        <f>_xll.VisibleAlpha.UDF.VAData("WTC_AU",F$4,$B15)</f>
        <v>13.628295447438497</v>
      </c>
      <c r="G15" s="242" t="str">
        <f>_xll.VisibleAlpha.UDF.VAData("WTC_AU",G$4,$B15)</f>
        <v>#InvalidPeriod</v>
      </c>
      <c r="H15" s="242" t="str">
        <f>_xll.VisibleAlpha.UDF.VAData("WTC_AU",H$4,$B15)</f>
        <v>#InvalidPeriod</v>
      </c>
      <c r="I15" s="242">
        <f>_xll.VisibleAlpha.UDF.VAData("WTC_AU",I$4,$B15)</f>
        <v>12.065914523404246</v>
      </c>
      <c r="J15" s="242" t="str">
        <f>_xll.VisibleAlpha.UDF.VAData("WTC_AU",J$4,$B15)</f>
        <v>#InvalidPeriod</v>
      </c>
      <c r="K15" s="242" t="str">
        <f>_xll.VisibleAlpha.UDF.VAData("WTC_AU",K$4,$B15)</f>
        <v>#InvalidPeriod</v>
      </c>
      <c r="L15" s="242">
        <f>_xll.VisibleAlpha.UDF.VAData("WTC_AU",L$4,$B15)</f>
        <v>19.325326519840655</v>
      </c>
      <c r="M15" s="242">
        <f>_xll.VisibleAlpha.UDF.VAData("WTC_AU",M$4,$B15)</f>
        <v>18.097755299774573</v>
      </c>
      <c r="N15" s="242">
        <f>_xll.VisibleAlpha.UDF.VAData("WTC_AU",N$4,$B15)</f>
        <v>16.515667848156642</v>
      </c>
      <c r="O15" s="242">
        <f>_xll.VisibleAlpha.UDF.VAData("WTC_AU",O$4,$B15)</f>
        <v>23</v>
      </c>
      <c r="P15" s="242">
        <f>_xll.VisibleAlpha.UDF.VAData("WTC_AU",P$4,$B15)</f>
        <v>40.738574097077915</v>
      </c>
      <c r="W15" s="252" t="s">
        <v>609</v>
      </c>
      <c r="X15" s="208">
        <f>X14/X11</f>
        <v>0.86073886273089473</v>
      </c>
      <c r="Y15" s="208" t="e">
        <f>Y14/Y11</f>
        <v>#VALUE!</v>
      </c>
      <c r="Z15" s="254" t="e">
        <f>ROUND((X15-Y15)*10000,0)</f>
        <v>#VALUE!</v>
      </c>
      <c r="AA15" s="208"/>
      <c r="AB15" s="208">
        <f>AB14/AB11</f>
        <v>0.8534230544177881</v>
      </c>
      <c r="AC15" s="208">
        <f>AC14/AC11</f>
        <v>0.85530071057445223</v>
      </c>
      <c r="AD15" s="254">
        <f>ROUND((AB15-AC15)*10000,0)</f>
        <v>-19</v>
      </c>
      <c r="AE15" s="208"/>
      <c r="AF15" s="208">
        <f>AF14/AF11</f>
        <v>0.87491973802491319</v>
      </c>
      <c r="AG15" s="208">
        <f>AG14/AG11</f>
        <v>0.87488228747538732</v>
      </c>
      <c r="AH15" s="254">
        <f>ROUND((AF15-AG15)*10000,0)</f>
        <v>0</v>
      </c>
    </row>
    <row r="16" spans="2:34">
      <c r="B16" t="s">
        <v>603</v>
      </c>
      <c r="C16" s="242">
        <f>SUM(C14:C15)</f>
        <v>35.925550873341344</v>
      </c>
      <c r="D16" s="242">
        <f t="shared" ref="D16:P16" si="0">SUM(D14:D15)</f>
        <v>0</v>
      </c>
      <c r="E16" s="242">
        <f t="shared" si="0"/>
        <v>0</v>
      </c>
      <c r="F16" s="242">
        <f t="shared" si="0"/>
        <v>61.016676848748787</v>
      </c>
      <c r="G16" s="242">
        <f t="shared" si="0"/>
        <v>0</v>
      </c>
      <c r="H16" s="242">
        <f t="shared" si="0"/>
        <v>0</v>
      </c>
      <c r="I16" s="242">
        <f t="shared" si="0"/>
        <v>67.516055545507498</v>
      </c>
      <c r="J16" s="242">
        <f t="shared" si="0"/>
        <v>0</v>
      </c>
      <c r="K16" s="242">
        <f t="shared" si="0"/>
        <v>0</v>
      </c>
      <c r="L16" s="242">
        <f t="shared" si="0"/>
        <v>73.787874514715739</v>
      </c>
      <c r="M16" s="242">
        <f t="shared" si="0"/>
        <v>95.503868641103381</v>
      </c>
      <c r="N16" s="242">
        <f t="shared" si="0"/>
        <v>130.27384433648555</v>
      </c>
      <c r="O16" s="242">
        <f t="shared" si="0"/>
        <v>149.5</v>
      </c>
      <c r="P16" s="242">
        <f t="shared" si="0"/>
        <v>231.21010878571042</v>
      </c>
    </row>
    <row r="17" spans="2:36">
      <c r="W17" s="200" t="s">
        <v>27</v>
      </c>
      <c r="X17" s="256">
        <f>M32</f>
        <v>278.60000000000002</v>
      </c>
      <c r="Y17" s="256">
        <f>M12</f>
        <v>262.82084273557712</v>
      </c>
      <c r="Z17" s="257">
        <f>X17/Y17-1</f>
        <v>6.0037693739146247E-2</v>
      </c>
      <c r="AA17" s="200"/>
      <c r="AB17" s="256">
        <f>N32</f>
        <v>328.2</v>
      </c>
      <c r="AC17" s="256">
        <f>N12</f>
        <v>325.84712050947019</v>
      </c>
      <c r="AD17" s="257">
        <f>AB17/AC17-1</f>
        <v>7.2208079876570075E-3</v>
      </c>
      <c r="AE17" s="256"/>
      <c r="AF17" s="256">
        <f>O32</f>
        <v>411.19999999999993</v>
      </c>
      <c r="AG17" s="256">
        <f>O12</f>
        <v>386.28</v>
      </c>
      <c r="AH17" s="257">
        <f>AF17/AG17-1</f>
        <v>6.4512788650719521E-2</v>
      </c>
    </row>
    <row r="18" spans="2:36">
      <c r="B18" s="213" t="s">
        <v>656</v>
      </c>
      <c r="C18" s="242">
        <f>_xll.VisibleAlpha.UDF.VAData("WTC_AU",C$4,$B18)</f>
        <v>42.47280560184862</v>
      </c>
      <c r="D18" s="242" t="str">
        <f>_xll.VisibleAlpha.UDF.VAData("WTC_AU",D$4,$B18)</f>
        <v>#InvalidPeriod</v>
      </c>
      <c r="E18" s="242" t="str">
        <f>_xll.VisibleAlpha.UDF.VAData("WTC_AU",E$4,$B18)</f>
        <v>#InvalidPeriod</v>
      </c>
      <c r="F18" s="243">
        <f>_xll.VisibleAlpha.UDF.VAData("WTC_AU",F$4,$B18)</f>
        <v>40.768366629065191</v>
      </c>
      <c r="G18" s="242" t="str">
        <f>_xll.VisibleAlpha.UDF.VAData("WTC_AU",G$4,$B18)</f>
        <v>#InvalidPeriod</v>
      </c>
      <c r="H18" s="242" t="str">
        <f>_xll.VisibleAlpha.UDF.VAData("WTC_AU",H$4,$B18)</f>
        <v>#InvalidPeriod</v>
      </c>
      <c r="I18" s="242">
        <f>_xll.VisibleAlpha.UDF.VAData("WTC_AU",I$4,$B18)</f>
        <v>83.850647504580749</v>
      </c>
      <c r="J18" s="242" t="str">
        <f>_xll.VisibleAlpha.UDF.VAData("WTC_AU",J$4,$B18)</f>
        <v>#InvalidPeriod</v>
      </c>
      <c r="K18" s="242" t="str">
        <f>_xll.VisibleAlpha.UDF.VAData("WTC_AU",K$4,$B18)</f>
        <v>#InvalidPeriod</v>
      </c>
      <c r="L18" s="242">
        <f>_xll.VisibleAlpha.UDF.VAData("WTC_AU",L$4,$B18)</f>
        <v>141.67807995176534</v>
      </c>
      <c r="M18" s="242">
        <f>_xll.VisibleAlpha.UDF.VAData("WTC_AU",M$4,$B18)</f>
        <v>167.61001728033912</v>
      </c>
      <c r="N18" s="242">
        <f>_xll.VisibleAlpha.UDF.VAData("WTC_AU",N$4,$B18)</f>
        <v>185.92523157062266</v>
      </c>
      <c r="O18" s="242">
        <f>_xll.VisibleAlpha.UDF.VAData("WTC_AU",O$4,$B18)</f>
        <v>246.67777777777778</v>
      </c>
      <c r="P18" s="242">
        <f>_xll.VisibleAlpha.UDF.VAData("WTC_AU",P$4,$B18)</f>
        <v>273.67853868194697</v>
      </c>
      <c r="W18" s="252" t="s">
        <v>609</v>
      </c>
      <c r="X18" s="208">
        <f>X17/X$11</f>
        <v>0.50452734516479547</v>
      </c>
      <c r="Y18" s="208">
        <f>Y17/Y$11</f>
        <v>0.47644376601377436</v>
      </c>
      <c r="Z18" s="254">
        <f>ROUND((X18-Y18)*10000,0)</f>
        <v>281</v>
      </c>
      <c r="AA18" s="208"/>
      <c r="AB18" s="208">
        <f>AB17/AB$11</f>
        <v>0.48010532475131651</v>
      </c>
      <c r="AC18" s="208">
        <f>AC17/AC$11</f>
        <v>0.47767766773403703</v>
      </c>
      <c r="AD18" s="254">
        <f>ROUND((AB18-AC18)*10000,0)</f>
        <v>24</v>
      </c>
      <c r="AE18" s="208"/>
      <c r="AF18" s="208">
        <f>AF17/AF$11</f>
        <v>0.52805958649030427</v>
      </c>
      <c r="AG18" s="208">
        <f>AG17/AG$11</f>
        <v>0.49603629826213502</v>
      </c>
      <c r="AH18" s="254">
        <f>ROUND((AF18-AG18)*10000,0)</f>
        <v>320</v>
      </c>
    </row>
    <row r="20" spans="2:36">
      <c r="W20" t="s">
        <v>610</v>
      </c>
      <c r="X20" s="242">
        <f>X17-L36</f>
        <v>204.10000000000002</v>
      </c>
      <c r="Y20" s="242">
        <f>M12-L16</f>
        <v>189.03296822086139</v>
      </c>
      <c r="Z20" s="208">
        <f>X20/Y20-1</f>
        <v>7.9705841372255781E-2</v>
      </c>
      <c r="AB20" s="242">
        <f>AB17-M36</f>
        <v>232.6</v>
      </c>
      <c r="AC20" s="242">
        <f>N12-M16</f>
        <v>230.34325186836679</v>
      </c>
      <c r="AD20" s="208">
        <f>AB20/AC20-1</f>
        <v>9.7973268733866359E-3</v>
      </c>
      <c r="AF20" s="242">
        <f>AF17-O36</f>
        <v>261.69999999999993</v>
      </c>
      <c r="AG20" s="242">
        <f>O12-O16</f>
        <v>236.77999999999997</v>
      </c>
      <c r="AH20" s="208">
        <f>AF20/AG20-1</f>
        <v>0.10524537545400769</v>
      </c>
    </row>
    <row r="21" spans="2:36">
      <c r="B21" s="200" t="s">
        <v>154</v>
      </c>
      <c r="W21" s="252" t="s">
        <v>609</v>
      </c>
      <c r="X21" s="208">
        <f>X20/X$11</f>
        <v>0.36961245925389358</v>
      </c>
      <c r="Y21" s="208">
        <f>Y20/Y$11</f>
        <v>0.34268050563448615</v>
      </c>
      <c r="Z21" s="254">
        <f>ROUND((X21-Y21)*10000,0)</f>
        <v>269</v>
      </c>
      <c r="AB21" s="208">
        <f>AB20/AB$11</f>
        <v>0.34025746050321826</v>
      </c>
      <c r="AC21" s="208">
        <f>AC20/AC$11</f>
        <v>0.3376731614467573</v>
      </c>
      <c r="AD21" s="254">
        <f>ROUND((AB21-AC21)*10000,0)</f>
        <v>26</v>
      </c>
      <c r="AF21" s="208">
        <f>AF20/AF$11</f>
        <v>0.33607294208295868</v>
      </c>
      <c r="AG21" s="208">
        <f>AG20/AG$11</f>
        <v>0.30405787175755494</v>
      </c>
      <c r="AH21" s="254">
        <f>ROUND((AF21-AG21)*10000,0)</f>
        <v>320</v>
      </c>
    </row>
    <row r="22" spans="2:36">
      <c r="B22" t="s">
        <v>596</v>
      </c>
      <c r="C22" s="208" t="e">
        <f t="shared" ref="C22:P22" si="1">C10/C8</f>
        <v>#VALUE!</v>
      </c>
      <c r="D22" s="208" t="e">
        <f t="shared" si="1"/>
        <v>#VALUE!</v>
      </c>
      <c r="E22" s="208" t="e">
        <f t="shared" si="1"/>
        <v>#VALUE!</v>
      </c>
      <c r="F22" s="208" t="e">
        <f t="shared" si="1"/>
        <v>#VALUE!</v>
      </c>
      <c r="G22" s="208" t="e">
        <f t="shared" si="1"/>
        <v>#VALUE!</v>
      </c>
      <c r="H22" s="208" t="e">
        <f t="shared" si="1"/>
        <v>#VALUE!</v>
      </c>
      <c r="I22" s="208" t="e">
        <f t="shared" si="1"/>
        <v>#VALUE!</v>
      </c>
      <c r="J22" s="208" t="e">
        <f t="shared" si="1"/>
        <v>#VALUE!</v>
      </c>
      <c r="K22" s="208" t="e">
        <f t="shared" si="1"/>
        <v>#VALUE!</v>
      </c>
      <c r="L22" s="208" t="e">
        <f t="shared" si="1"/>
        <v>#VALUE!</v>
      </c>
      <c r="M22" s="208" t="e">
        <f t="shared" si="1"/>
        <v>#VALUE!</v>
      </c>
      <c r="N22" s="208">
        <f t="shared" si="1"/>
        <v>0.85530071057445223</v>
      </c>
      <c r="O22" s="208">
        <f t="shared" si="1"/>
        <v>0.87488228747538732</v>
      </c>
      <c r="P22" s="208">
        <f t="shared" si="1"/>
        <v>0.8795026598117478</v>
      </c>
    </row>
    <row r="23" spans="2:36">
      <c r="B23" t="s">
        <v>597</v>
      </c>
      <c r="C23" s="208">
        <f t="shared" ref="C23:P23" si="2">C12/C8</f>
        <v>0.10892575448179416</v>
      </c>
      <c r="D23" s="208" t="e">
        <f t="shared" si="2"/>
        <v>#VALUE!</v>
      </c>
      <c r="E23" s="208" t="e">
        <f t="shared" si="2"/>
        <v>#VALUE!</v>
      </c>
      <c r="F23" s="208">
        <f t="shared" si="2"/>
        <v>0.29864468734933947</v>
      </c>
      <c r="G23" s="208" t="e">
        <f t="shared" si="2"/>
        <v>#VALUE!</v>
      </c>
      <c r="H23" s="208" t="e">
        <f t="shared" si="2"/>
        <v>#VALUE!</v>
      </c>
      <c r="I23" s="208">
        <f t="shared" si="2"/>
        <v>0.41131212231074754</v>
      </c>
      <c r="J23" s="208" t="e">
        <f t="shared" si="2"/>
        <v>#VALUE!</v>
      </c>
      <c r="K23" s="208" t="e">
        <f t="shared" si="2"/>
        <v>#VALUE!</v>
      </c>
      <c r="L23" s="208">
        <f t="shared" si="2"/>
        <v>0.50686247262312245</v>
      </c>
      <c r="M23" s="208">
        <f t="shared" si="2"/>
        <v>0.47644376601377436</v>
      </c>
      <c r="N23" s="208">
        <f t="shared" si="2"/>
        <v>0.47767766773403703</v>
      </c>
      <c r="O23" s="208">
        <f t="shared" si="2"/>
        <v>0.49603629826213502</v>
      </c>
      <c r="P23" s="208">
        <f t="shared" si="2"/>
        <v>0.41090170087863942</v>
      </c>
      <c r="W23" s="248" t="s">
        <v>605</v>
      </c>
      <c r="X23" s="1156" t="s">
        <v>323</v>
      </c>
      <c r="Y23" s="1156"/>
      <c r="Z23" s="1156"/>
      <c r="AA23" s="259"/>
      <c r="AB23" s="1156" t="s">
        <v>327</v>
      </c>
      <c r="AC23" s="1156"/>
      <c r="AD23" s="1156"/>
      <c r="AE23" s="259"/>
      <c r="AF23" s="1156" t="s">
        <v>387</v>
      </c>
      <c r="AG23" s="1156"/>
      <c r="AH23" s="1156"/>
    </row>
    <row r="24" spans="2:36" ht="25.5">
      <c r="B24" t="s">
        <v>604</v>
      </c>
      <c r="C24" s="208">
        <f t="shared" ref="C24:P24" si="3">(C12-C16)/C8</f>
        <v>-2.5336484434280219E-2</v>
      </c>
      <c r="D24" s="208" t="e">
        <f t="shared" si="3"/>
        <v>#VALUE!</v>
      </c>
      <c r="E24" s="208" t="e">
        <f t="shared" si="3"/>
        <v>#VALUE!</v>
      </c>
      <c r="F24" s="208">
        <f t="shared" si="3"/>
        <v>8.7262912295101649E-2</v>
      </c>
      <c r="G24" s="208" t="e">
        <f t="shared" si="3"/>
        <v>#VALUE!</v>
      </c>
      <c r="H24" s="208" t="e">
        <f t="shared" si="3"/>
        <v>#VALUE!</v>
      </c>
      <c r="I24" s="208">
        <f t="shared" si="3"/>
        <v>0.23236142960688075</v>
      </c>
      <c r="J24" s="208" t="e">
        <f t="shared" si="3"/>
        <v>#VALUE!</v>
      </c>
      <c r="K24" s="208" t="e">
        <f t="shared" si="3"/>
        <v>#VALUE!</v>
      </c>
      <c r="L24" s="208">
        <f t="shared" si="3"/>
        <v>0.34611047495601277</v>
      </c>
      <c r="M24" s="208">
        <f t="shared" si="3"/>
        <v>0.30331357447096857</v>
      </c>
      <c r="N24" s="208">
        <f t="shared" si="3"/>
        <v>0.28670189347492142</v>
      </c>
      <c r="O24" s="208">
        <f t="shared" si="3"/>
        <v>0.30405787175755494</v>
      </c>
      <c r="P24" s="208">
        <f t="shared" si="3"/>
        <v>0.24907052356144743</v>
      </c>
      <c r="W24" s="248"/>
      <c r="X24" s="258" t="s">
        <v>599</v>
      </c>
      <c r="Y24" s="258" t="s">
        <v>606</v>
      </c>
      <c r="Z24" s="258" t="s">
        <v>607</v>
      </c>
      <c r="AA24" s="258"/>
      <c r="AB24" s="258" t="s">
        <v>599</v>
      </c>
      <c r="AC24" s="258" t="s">
        <v>606</v>
      </c>
      <c r="AD24" s="258" t="s">
        <v>607</v>
      </c>
      <c r="AE24" s="258"/>
      <c r="AF24" s="258" t="s">
        <v>599</v>
      </c>
      <c r="AG24" s="258" t="s">
        <v>606</v>
      </c>
      <c r="AH24" s="258" t="s">
        <v>607</v>
      </c>
    </row>
    <row r="25" spans="2:36">
      <c r="B25" s="244" t="s">
        <v>599</v>
      </c>
      <c r="C25" s="244"/>
      <c r="D25" s="244"/>
      <c r="E25" s="244"/>
      <c r="F25" s="245"/>
      <c r="G25" s="244"/>
      <c r="H25" s="244"/>
      <c r="I25" s="244"/>
      <c r="J25" s="244"/>
      <c r="K25" s="244"/>
      <c r="L25" s="244"/>
      <c r="M25" s="244"/>
      <c r="N25" s="244"/>
      <c r="O25" s="244"/>
      <c r="P25" s="244"/>
      <c r="W25" s="200" t="s">
        <v>106</v>
      </c>
      <c r="X25" s="255">
        <f>M28</f>
        <v>552.19999999999993</v>
      </c>
      <c r="Y25" s="256">
        <v>811.1</v>
      </c>
      <c r="Z25" s="257">
        <f>X25/Y25-1</f>
        <v>-0.31919615337196405</v>
      </c>
      <c r="AA25" s="200"/>
      <c r="AB25" s="255">
        <f>N28</f>
        <v>683.6</v>
      </c>
      <c r="AC25" s="256">
        <v>1078.5</v>
      </c>
      <c r="AD25" s="257">
        <f>AB25/AC25-1</f>
        <v>-0.36615669911914694</v>
      </c>
      <c r="AE25" s="256"/>
      <c r="AF25" s="255">
        <f>O28</f>
        <v>778.7</v>
      </c>
      <c r="AG25" s="256">
        <v>1325.5</v>
      </c>
      <c r="AH25" s="257">
        <f>AF25/AG25-1</f>
        <v>-0.41252357600905321</v>
      </c>
    </row>
    <row r="26" spans="2:36">
      <c r="B26" t="s">
        <v>588</v>
      </c>
      <c r="C26" s="207">
        <f>REVENUE!AM70</f>
        <v>0</v>
      </c>
      <c r="D26" s="207">
        <f>REVENUE!AN70</f>
        <v>91.8</v>
      </c>
      <c r="E26" s="207">
        <f>REVENUE!AO70</f>
        <v>94.7</v>
      </c>
      <c r="F26" s="207">
        <f>REVENUE!AP70</f>
        <v>186.5</v>
      </c>
      <c r="G26" s="207">
        <f>REVENUE!AQ70</f>
        <v>112.6</v>
      </c>
      <c r="H26" s="207">
        <f>REVENUE!AR70</f>
        <v>146.20000000000002</v>
      </c>
      <c r="I26" s="207">
        <f>REVENUE!AS70</f>
        <v>258.8</v>
      </c>
      <c r="J26" s="207">
        <f>REVENUE!AT70</f>
        <v>149.19999999999999</v>
      </c>
      <c r="K26" s="207">
        <f>REVENUE!AU70</f>
        <v>191.3</v>
      </c>
      <c r="L26" s="207">
        <f>REVENUE!AV70</f>
        <v>340.5</v>
      </c>
      <c r="M26" s="207">
        <f>REVENUE!AY70</f>
        <v>445.9</v>
      </c>
      <c r="N26" s="207">
        <f>REVENUE!BB70</f>
        <v>577.70000000000005</v>
      </c>
      <c r="O26" s="207">
        <f>REVENUE!BE70</f>
        <v>682.2</v>
      </c>
      <c r="P26" s="207">
        <f>REVENUE!BF70</f>
        <v>801.58500000000004</v>
      </c>
      <c r="W26" s="253" t="s">
        <v>654</v>
      </c>
      <c r="X26" s="208">
        <f>(X25/$L$8)-1</f>
        <v>0.20300596399581705</v>
      </c>
      <c r="Y26" s="208">
        <f>(Y25/$L$8)-1</f>
        <v>0.76703755414162855</v>
      </c>
      <c r="Z26" s="254">
        <f>ROUND((X26-Y26)*10000,0)</f>
        <v>-5640</v>
      </c>
      <c r="AB26" s="208">
        <f>(AB25/$L$8)^(1/2)-1</f>
        <v>0.22035649266576596</v>
      </c>
      <c r="AC26" s="208">
        <f>(AC25/$L$8)^(1/2)-1</f>
        <v>0.5328362545569294</v>
      </c>
      <c r="AD26" s="254">
        <f>ROUND((AB26-AC26)*10000,0)</f>
        <v>-3125</v>
      </c>
      <c r="AF26" s="208">
        <f>(AF25/$L$8)^(1/3)-1</f>
        <v>0.19265230244057863</v>
      </c>
      <c r="AG26" s="208">
        <f>(AG25/$L$8)^(1/3)-1</f>
        <v>0.42402310783726271</v>
      </c>
      <c r="AH26" s="254">
        <f>ROUND((AF26-AG26)*10000,0)</f>
        <v>-2314</v>
      </c>
    </row>
    <row r="27" spans="2:36">
      <c r="B27" t="s">
        <v>595</v>
      </c>
      <c r="C27" s="207">
        <f>REVENUE!AM71</f>
        <v>0</v>
      </c>
      <c r="D27" s="207">
        <f>REVENUE!AN71</f>
        <v>49.5</v>
      </c>
      <c r="E27" s="207">
        <f>REVENUE!AO71</f>
        <v>51.900000000000006</v>
      </c>
      <c r="F27" s="207">
        <f>REVENUE!AP71</f>
        <v>101.4</v>
      </c>
      <c r="G27" s="207">
        <f>REVENUE!AQ71</f>
        <v>57.4</v>
      </c>
      <c r="H27" s="207">
        <f>REVENUE!AR71</f>
        <v>60.800000000000004</v>
      </c>
      <c r="I27" s="207">
        <f>REVENUE!AS71</f>
        <v>118.2</v>
      </c>
      <c r="J27" s="207">
        <f>REVENUE!AT71</f>
        <v>58.5</v>
      </c>
      <c r="K27" s="207">
        <f>REVENUE!AU71</f>
        <v>61.900000000000006</v>
      </c>
      <c r="L27" s="207">
        <f>REVENUE!AV71</f>
        <v>120.4</v>
      </c>
      <c r="M27" s="207">
        <f>REVENUE!AY71</f>
        <v>106.3</v>
      </c>
      <c r="N27" s="207">
        <f>REVENUE!BB71</f>
        <v>105.9</v>
      </c>
      <c r="O27" s="207">
        <f>REVENUE!BE71</f>
        <v>96.5</v>
      </c>
      <c r="P27" s="207">
        <f>REVENUE!BF71</f>
        <v>614.12895397030002</v>
      </c>
    </row>
    <row r="28" spans="2:36">
      <c r="B28" t="s">
        <v>106</v>
      </c>
      <c r="C28" s="207">
        <f>SUM(C26:C27)</f>
        <v>0</v>
      </c>
      <c r="D28" s="207">
        <f t="shared" ref="D28:P28" si="4">SUM(D26:D27)</f>
        <v>141.30000000000001</v>
      </c>
      <c r="E28" s="207">
        <f t="shared" si="4"/>
        <v>146.60000000000002</v>
      </c>
      <c r="F28" s="207">
        <f t="shared" si="4"/>
        <v>287.89999999999998</v>
      </c>
      <c r="G28" s="207">
        <f t="shared" si="4"/>
        <v>170</v>
      </c>
      <c r="H28" s="207">
        <f t="shared" si="4"/>
        <v>207.00000000000003</v>
      </c>
      <c r="I28" s="207">
        <f t="shared" si="4"/>
        <v>377</v>
      </c>
      <c r="J28" s="207">
        <f t="shared" si="4"/>
        <v>207.7</v>
      </c>
      <c r="K28" s="207">
        <f t="shared" si="4"/>
        <v>253.20000000000002</v>
      </c>
      <c r="L28" s="207">
        <f t="shared" si="4"/>
        <v>460.9</v>
      </c>
      <c r="M28" s="207">
        <f t="shared" si="4"/>
        <v>552.19999999999993</v>
      </c>
      <c r="N28" s="207">
        <f t="shared" si="4"/>
        <v>683.6</v>
      </c>
      <c r="O28" s="207">
        <f t="shared" si="4"/>
        <v>778.7</v>
      </c>
      <c r="P28" s="207">
        <f t="shared" si="4"/>
        <v>1415.7139539703001</v>
      </c>
      <c r="W28" s="200" t="s">
        <v>27</v>
      </c>
      <c r="X28" s="275">
        <f>M32</f>
        <v>278.60000000000002</v>
      </c>
      <c r="Y28" s="256">
        <v>397.9</v>
      </c>
      <c r="Z28" s="257">
        <f>X28/Y28-1</f>
        <v>-0.29982407640110575</v>
      </c>
      <c r="AA28" s="200"/>
      <c r="AB28" s="275">
        <f>N32</f>
        <v>328.2</v>
      </c>
      <c r="AC28" s="256">
        <v>543</v>
      </c>
      <c r="AD28" s="257">
        <f>AB28/AC28-1</f>
        <v>-0.39558011049723762</v>
      </c>
      <c r="AE28" s="256"/>
      <c r="AF28" s="275">
        <f>O32</f>
        <v>411.19999999999993</v>
      </c>
      <c r="AG28" s="256">
        <v>691.5</v>
      </c>
      <c r="AH28" s="257">
        <f>AF28/AG28-1</f>
        <v>-0.40535068691250908</v>
      </c>
    </row>
    <row r="29" spans="2:36">
      <c r="C29" s="207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W29" s="252" t="s">
        <v>609</v>
      </c>
      <c r="X29" s="208">
        <f>X28/X$25</f>
        <v>0.50452734516479547</v>
      </c>
      <c r="Y29" s="208">
        <f>Y28/Y$25</f>
        <v>0.49056836395019104</v>
      </c>
      <c r="Z29" s="254">
        <f>ROUND((X29-Y29)*10000,0)</f>
        <v>140</v>
      </c>
      <c r="AA29" s="208"/>
      <c r="AB29" s="208">
        <f>AB28/AB$25</f>
        <v>0.48010532475131651</v>
      </c>
      <c r="AC29" s="208">
        <f>AC28/AC$25</f>
        <v>0.50347705146036159</v>
      </c>
      <c r="AD29" s="254">
        <f>ROUND((AB29-AC29)*10000,0)</f>
        <v>-234</v>
      </c>
      <c r="AE29" s="208"/>
      <c r="AF29" s="208">
        <f>AF28/AF$25</f>
        <v>0.52805958649030427</v>
      </c>
      <c r="AG29" s="208">
        <f>AG28/AG$25</f>
        <v>0.52168992832893246</v>
      </c>
      <c r="AH29" s="254">
        <f>ROUND((AF29-AG29)*10000,0)</f>
        <v>64</v>
      </c>
      <c r="AJ29">
        <f>537.4/1071.6</f>
        <v>0.50149309443822321</v>
      </c>
    </row>
    <row r="30" spans="2:36">
      <c r="B30" t="s">
        <v>570</v>
      </c>
      <c r="C30" s="207">
        <f>MODEL!Z12</f>
        <v>286.39999999999998</v>
      </c>
      <c r="D30" s="207">
        <f>MODEL!AA12</f>
        <v>116.3</v>
      </c>
      <c r="E30" s="207">
        <f>MODEL!AB12</f>
        <v>120.2</v>
      </c>
      <c r="F30" s="207">
        <f>MODEL!AC12</f>
        <v>236.5</v>
      </c>
      <c r="G30" s="207">
        <f>MODEL!AD12</f>
        <v>144.9</v>
      </c>
      <c r="H30" s="207">
        <f>MODEL!AE12</f>
        <v>174.1</v>
      </c>
      <c r="I30" s="207">
        <f>MODEL!AF12</f>
        <v>319</v>
      </c>
      <c r="J30" s="207">
        <f>MODEL!AG12</f>
        <v>179.4</v>
      </c>
      <c r="K30" s="207">
        <f>MODEL!AH12</f>
        <v>220.79999999999998</v>
      </c>
      <c r="L30" s="207">
        <f>MODEL!AI12</f>
        <v>400.2</v>
      </c>
      <c r="M30" s="207">
        <f>MODEL!AL12</f>
        <v>475.3</v>
      </c>
      <c r="N30" s="207">
        <f>MODEL!AO12</f>
        <v>583.4</v>
      </c>
      <c r="O30" s="207">
        <f>MODEL!AR12</f>
        <v>681.3</v>
      </c>
      <c r="P30" s="207">
        <f>MODEL!AS12</f>
        <v>1160.885442255646</v>
      </c>
    </row>
    <row r="31" spans="2:36">
      <c r="C31" s="207"/>
      <c r="D31" s="207"/>
      <c r="E31" s="207"/>
      <c r="F31" s="207"/>
      <c r="G31" s="207"/>
      <c r="H31" s="207"/>
      <c r="I31" s="207"/>
      <c r="J31" s="207"/>
      <c r="K31" s="207"/>
      <c r="L31" s="207"/>
      <c r="M31" s="207"/>
      <c r="N31" s="207"/>
      <c r="O31" s="207"/>
      <c r="P31" s="207"/>
    </row>
    <row r="32" spans="2:36">
      <c r="B32" t="s">
        <v>27</v>
      </c>
      <c r="C32" s="207">
        <f>MODEL!Z24</f>
        <v>108</v>
      </c>
      <c r="D32" s="207">
        <f>MODEL!AA24</f>
        <v>42.899999999999991</v>
      </c>
      <c r="E32" s="207">
        <f>MODEL!AB24</f>
        <v>42.200000000000031</v>
      </c>
      <c r="F32" s="207">
        <f>MODEL!AC24</f>
        <v>85.100000000000023</v>
      </c>
      <c r="G32" s="207">
        <f>MODEL!AD24</f>
        <v>63.7</v>
      </c>
      <c r="H32" s="207">
        <f>MODEL!AE24</f>
        <v>90.399999999999991</v>
      </c>
      <c r="I32" s="207">
        <f>MODEL!AF24</f>
        <v>154.1</v>
      </c>
      <c r="J32" s="207">
        <f>MODEL!AG24</f>
        <v>101.80000000000001</v>
      </c>
      <c r="K32" s="207">
        <f>MODEL!AH24</f>
        <v>132.29999999999995</v>
      </c>
      <c r="L32" s="207">
        <f>MODEL!AI24</f>
        <v>234.09999999999997</v>
      </c>
      <c r="M32" s="207">
        <f>MODEL!AL24</f>
        <v>278.60000000000002</v>
      </c>
      <c r="N32" s="207">
        <f>MODEL!AO24</f>
        <v>328.2</v>
      </c>
      <c r="O32" s="207">
        <f>MODEL!AR24</f>
        <v>411.19999999999993</v>
      </c>
      <c r="P32" s="207">
        <f>MODEL!AS24</f>
        <v>615.42949798863572</v>
      </c>
    </row>
    <row r="34" spans="2:34">
      <c r="B34" t="s">
        <v>655</v>
      </c>
      <c r="L34">
        <f>MODEL!AI40</f>
        <v>138.89999999999998</v>
      </c>
      <c r="M34">
        <f>MODEL!AL40</f>
        <v>167.60000000000002</v>
      </c>
      <c r="N34">
        <f>MODEL!AO40</f>
        <v>185.8</v>
      </c>
      <c r="O34">
        <f>MODEL!AR40</f>
        <v>241.89999999999992</v>
      </c>
      <c r="P34">
        <f>MODEL!AS40</f>
        <v>289.96523855181772</v>
      </c>
    </row>
    <row r="36" spans="2:34">
      <c r="B36" t="s">
        <v>603</v>
      </c>
      <c r="C36">
        <f>-MODEL!Z89</f>
        <v>50.4</v>
      </c>
      <c r="D36">
        <f>-MODEL!AA89</f>
        <v>28.6</v>
      </c>
      <c r="E36">
        <f>-MODEL!AB89</f>
        <v>32.1</v>
      </c>
      <c r="F36">
        <f>-MODEL!AC89</f>
        <v>60.7</v>
      </c>
      <c r="G36">
        <f>-MODEL!AD89</f>
        <v>30.9</v>
      </c>
      <c r="H36">
        <f>-MODEL!AE89</f>
        <v>36.4</v>
      </c>
      <c r="I36">
        <f>-MODEL!AF89</f>
        <v>67.3</v>
      </c>
      <c r="J36">
        <f>-MODEL!AG89</f>
        <v>32.9</v>
      </c>
      <c r="K36">
        <f>-MODEL!AH89</f>
        <v>41.6</v>
      </c>
      <c r="L36">
        <f>-MODEL!AI89</f>
        <v>74.5</v>
      </c>
      <c r="M36">
        <f>-MODEL!AL89</f>
        <v>95.6</v>
      </c>
      <c r="N36">
        <f>-MODEL!AO89</f>
        <v>130.1</v>
      </c>
      <c r="O36">
        <f>-MODEL!AR89</f>
        <v>149.5</v>
      </c>
      <c r="P36">
        <f>-MODEL!AS89</f>
        <v>285.9742187020006</v>
      </c>
      <c r="W36" t="s">
        <v>655</v>
      </c>
      <c r="X36" s="242">
        <f>M34</f>
        <v>167.60000000000002</v>
      </c>
      <c r="Y36" s="242">
        <v>241.1</v>
      </c>
      <c r="Z36" s="208">
        <f>X36/Y36-1</f>
        <v>-0.30485275819162161</v>
      </c>
      <c r="AB36" s="242">
        <f>N34</f>
        <v>185.8</v>
      </c>
      <c r="AC36" s="242">
        <v>326.2</v>
      </c>
      <c r="AD36" s="208">
        <f>AB36/AC36-1</f>
        <v>-0.43041079092581236</v>
      </c>
      <c r="AF36" s="242">
        <f>O34</f>
        <v>241.89999999999992</v>
      </c>
      <c r="AG36" s="242">
        <v>423.6</v>
      </c>
      <c r="AH36" s="208">
        <f>AF36/AG36-1</f>
        <v>-0.42894239848914095</v>
      </c>
    </row>
    <row r="37" spans="2:34">
      <c r="W37" s="252" t="s">
        <v>609</v>
      </c>
      <c r="X37" s="208">
        <f>X36/X$11</f>
        <v>0.30351321984788127</v>
      </c>
      <c r="Y37" s="208">
        <f>Y36/Y$11</f>
        <v>0.43706804525199622</v>
      </c>
      <c r="Z37" s="254">
        <f>ROUND((X37-Y37)*10000,0)</f>
        <v>-1336</v>
      </c>
      <c r="AB37" s="208">
        <f>AB36/AB$11</f>
        <v>0.27179637214745467</v>
      </c>
      <c r="AC37" s="208">
        <f>AC36/AC$11</f>
        <v>0.47819497367727781</v>
      </c>
      <c r="AD37" s="254">
        <f>ROUND((AB37-AC37)*10000,0)</f>
        <v>-2064</v>
      </c>
      <c r="AF37" s="208">
        <f>AF36/AF$11</f>
        <v>0.31064594837549753</v>
      </c>
      <c r="AG37" s="208">
        <f>AG36/AG$11</f>
        <v>0.5439602773735126</v>
      </c>
      <c r="AH37" s="254">
        <f>ROUND((AF37-AG37)*10000,0)</f>
        <v>-2333</v>
      </c>
    </row>
    <row r="38" spans="2:34">
      <c r="B38" s="200" t="s">
        <v>154</v>
      </c>
    </row>
    <row r="39" spans="2:34">
      <c r="B39" t="s">
        <v>596</v>
      </c>
      <c r="C39" s="208" t="e">
        <f>C30/C28</f>
        <v>#DIV/0!</v>
      </c>
      <c r="D39" s="208">
        <f t="shared" ref="D39:P39" si="5">D30/D28</f>
        <v>0.8230714791224345</v>
      </c>
      <c r="E39" s="208">
        <f t="shared" si="5"/>
        <v>0.81991814461118684</v>
      </c>
      <c r="F39" s="208">
        <f t="shared" si="5"/>
        <v>0.82146578673150406</v>
      </c>
      <c r="G39" s="208">
        <f t="shared" si="5"/>
        <v>0.85235294117647065</v>
      </c>
      <c r="H39" s="208">
        <f t="shared" si="5"/>
        <v>0.84106280193236704</v>
      </c>
      <c r="I39" s="208">
        <f t="shared" si="5"/>
        <v>0.84615384615384615</v>
      </c>
      <c r="J39" s="208">
        <f t="shared" si="5"/>
        <v>0.86374578719306705</v>
      </c>
      <c r="K39" s="208">
        <f t="shared" si="5"/>
        <v>0.87203791469194303</v>
      </c>
      <c r="L39" s="208">
        <f t="shared" si="5"/>
        <v>0.8683011499240616</v>
      </c>
      <c r="M39" s="208">
        <f t="shared" si="5"/>
        <v>0.86073886273089473</v>
      </c>
      <c r="N39" s="208">
        <f t="shared" si="5"/>
        <v>0.8534230544177881</v>
      </c>
      <c r="O39" s="208">
        <f t="shared" si="5"/>
        <v>0.87491973802491319</v>
      </c>
      <c r="P39" s="208">
        <f t="shared" si="5"/>
        <v>0.82</v>
      </c>
    </row>
    <row r="40" spans="2:34">
      <c r="B40" t="s">
        <v>597</v>
      </c>
      <c r="C40" s="208" t="e">
        <f>C32/C28</f>
        <v>#DIV/0!</v>
      </c>
      <c r="D40" s="208">
        <f t="shared" ref="D40:P40" si="6">D32/D28</f>
        <v>0.30360934182590227</v>
      </c>
      <c r="E40" s="208">
        <f t="shared" si="6"/>
        <v>0.28785811732605748</v>
      </c>
      <c r="F40" s="208">
        <f t="shared" si="6"/>
        <v>0.29558874609239327</v>
      </c>
      <c r="G40" s="208">
        <f t="shared" si="6"/>
        <v>0.37470588235294117</v>
      </c>
      <c r="H40" s="208">
        <f t="shared" si="6"/>
        <v>0.43671497584541052</v>
      </c>
      <c r="I40" s="208">
        <f t="shared" si="6"/>
        <v>0.40875331564986733</v>
      </c>
      <c r="J40" s="208">
        <f t="shared" si="6"/>
        <v>0.4901299951853636</v>
      </c>
      <c r="K40" s="208">
        <f t="shared" si="6"/>
        <v>0.52251184834123199</v>
      </c>
      <c r="L40" s="208">
        <f t="shared" si="6"/>
        <v>0.50791928834888256</v>
      </c>
      <c r="M40" s="208">
        <f t="shared" si="6"/>
        <v>0.50452734516479547</v>
      </c>
      <c r="N40" s="208">
        <f t="shared" si="6"/>
        <v>0.48010532475131651</v>
      </c>
      <c r="O40" s="208">
        <f t="shared" si="6"/>
        <v>0.52805958649030427</v>
      </c>
      <c r="P40" s="208">
        <f t="shared" si="6"/>
        <v>0.43471316805396598</v>
      </c>
    </row>
    <row r="41" spans="2:34">
      <c r="B41" t="s">
        <v>604</v>
      </c>
      <c r="C41" s="208" t="e">
        <f>(C32-C36)/C28</f>
        <v>#DIV/0!</v>
      </c>
      <c r="D41" s="208">
        <f t="shared" ref="D41:P41" si="7">(D32-D36)/D28</f>
        <v>0.10120311394196736</v>
      </c>
      <c r="E41" s="208">
        <f t="shared" si="7"/>
        <v>6.8894952251023392E-2</v>
      </c>
      <c r="F41" s="208">
        <f t="shared" si="7"/>
        <v>8.4751649878430091E-2</v>
      </c>
      <c r="G41" s="208">
        <f t="shared" si="7"/>
        <v>0.19294117647058825</v>
      </c>
      <c r="H41" s="208">
        <f t="shared" si="7"/>
        <v>0.26086956521739124</v>
      </c>
      <c r="I41" s="208">
        <f t="shared" si="7"/>
        <v>0.23023872679045093</v>
      </c>
      <c r="J41" s="208">
        <f t="shared" si="7"/>
        <v>0.33172845450168514</v>
      </c>
      <c r="K41" s="208">
        <f t="shared" si="7"/>
        <v>0.35821484992101088</v>
      </c>
      <c r="L41" s="208">
        <f t="shared" si="7"/>
        <v>0.34627901931004551</v>
      </c>
      <c r="M41" s="208">
        <f t="shared" si="7"/>
        <v>0.33140166606302074</v>
      </c>
      <c r="N41" s="208">
        <f t="shared" si="7"/>
        <v>0.28978935049736687</v>
      </c>
      <c r="O41" s="208">
        <f t="shared" si="7"/>
        <v>0.33607294208295868</v>
      </c>
      <c r="P41" s="208">
        <f t="shared" si="7"/>
        <v>0.232713168053966</v>
      </c>
    </row>
    <row r="43" spans="2:34">
      <c r="B43" s="246"/>
      <c r="C43" s="246"/>
      <c r="D43" s="246"/>
      <c r="E43" s="246"/>
      <c r="F43" s="247"/>
      <c r="G43" s="246"/>
      <c r="H43" s="246"/>
      <c r="I43" s="246"/>
      <c r="J43" s="246"/>
      <c r="K43" s="246"/>
      <c r="L43" s="246"/>
      <c r="M43" s="246"/>
      <c r="N43" s="246"/>
      <c r="O43" s="246"/>
      <c r="P43" s="246"/>
    </row>
    <row r="44" spans="2:34">
      <c r="B44" t="s">
        <v>588</v>
      </c>
      <c r="C44" s="250">
        <f t="shared" ref="C44:P44" si="8">C26/C6-1</f>
        <v>-1</v>
      </c>
      <c r="D44" s="250" t="e">
        <f t="shared" si="8"/>
        <v>#VALUE!</v>
      </c>
      <c r="E44" s="250" t="e">
        <f t="shared" si="8"/>
        <v>#VALUE!</v>
      </c>
      <c r="F44" s="250">
        <f t="shared" si="8"/>
        <v>-5.6090733223838063E-3</v>
      </c>
      <c r="G44" s="250" t="e">
        <f t="shared" si="8"/>
        <v>#VALUE!</v>
      </c>
      <c r="H44" s="250" t="e">
        <f t="shared" si="8"/>
        <v>#VALUE!</v>
      </c>
      <c r="I44" s="250">
        <f t="shared" si="8"/>
        <v>-1.3356095347384356E-3</v>
      </c>
      <c r="J44" s="250" t="e">
        <f t="shared" si="8"/>
        <v>#VALUE!</v>
      </c>
      <c r="K44" s="250" t="e">
        <f t="shared" si="8"/>
        <v>#VALUE!</v>
      </c>
      <c r="L44" s="250">
        <f t="shared" si="8"/>
        <v>8.1602358491441596E-3</v>
      </c>
      <c r="M44" s="250">
        <f t="shared" si="8"/>
        <v>2.0596937682706429E-3</v>
      </c>
      <c r="N44" s="250">
        <f t="shared" si="8"/>
        <v>-2.2973556749511514E-3</v>
      </c>
      <c r="O44" s="250">
        <f t="shared" si="8"/>
        <v>-3.6509155434691909E-3</v>
      </c>
      <c r="P44" s="250">
        <f t="shared" si="8"/>
        <v>1.3624707172662953E-2</v>
      </c>
    </row>
    <row r="45" spans="2:34">
      <c r="B45" t="s">
        <v>595</v>
      </c>
      <c r="C45" s="250">
        <f t="shared" ref="C45:P45" si="9">C27/C7-1</f>
        <v>-1</v>
      </c>
      <c r="D45" s="250" t="e">
        <f t="shared" si="9"/>
        <v>#VALUE!</v>
      </c>
      <c r="E45" s="250" t="e">
        <f t="shared" si="9"/>
        <v>#VALUE!</v>
      </c>
      <c r="F45" s="250">
        <f t="shared" si="9"/>
        <v>-0.31553848850863042</v>
      </c>
      <c r="G45" s="250" t="e">
        <f t="shared" si="9"/>
        <v>#VALUE!</v>
      </c>
      <c r="H45" s="250" t="e">
        <f t="shared" si="9"/>
        <v>#VALUE!</v>
      </c>
      <c r="I45" s="250">
        <f t="shared" si="9"/>
        <v>-0.24945803342754391</v>
      </c>
      <c r="J45" s="250" t="e">
        <f t="shared" si="9"/>
        <v>#VALUE!</v>
      </c>
      <c r="K45" s="250" t="e">
        <f t="shared" si="9"/>
        <v>#VALUE!</v>
      </c>
      <c r="L45" s="250">
        <f t="shared" si="9"/>
        <v>-0.28380188867782119</v>
      </c>
      <c r="M45" s="250">
        <f t="shared" si="9"/>
        <v>-0.32617764195308219</v>
      </c>
      <c r="N45" s="250">
        <f t="shared" si="9"/>
        <v>-0.32456672975747303</v>
      </c>
      <c r="O45" s="250">
        <f t="shared" si="9"/>
        <v>-0.33664025847071666</v>
      </c>
      <c r="P45" s="250">
        <f t="shared" si="9"/>
        <v>-0.30348294386245955</v>
      </c>
    </row>
    <row r="46" spans="2:34">
      <c r="B46" t="s">
        <v>106</v>
      </c>
      <c r="C46" s="250">
        <f t="shared" ref="C46:P46" si="10">C28/C8-1</f>
        <v>-1</v>
      </c>
      <c r="D46" s="250" t="e">
        <f t="shared" si="10"/>
        <v>#VALUE!</v>
      </c>
      <c r="E46" s="250" t="e">
        <f t="shared" si="10"/>
        <v>#VALUE!</v>
      </c>
      <c r="F46" s="250">
        <f t="shared" si="10"/>
        <v>-2.6200019222614168E-3</v>
      </c>
      <c r="G46" s="250" t="e">
        <f t="shared" si="10"/>
        <v>#VALUE!</v>
      </c>
      <c r="H46" s="250" t="e">
        <f t="shared" si="10"/>
        <v>#VALUE!</v>
      </c>
      <c r="I46" s="250">
        <f t="shared" si="10"/>
        <v>-7.6492022130802972E-4</v>
      </c>
      <c r="J46" s="250" t="e">
        <f t="shared" si="10"/>
        <v>#VALUE!</v>
      </c>
      <c r="K46" s="250" t="e">
        <f t="shared" si="10"/>
        <v>#VALUE!</v>
      </c>
      <c r="L46" s="250">
        <f t="shared" si="10"/>
        <v>4.1025874785804994E-3</v>
      </c>
      <c r="M46" s="250">
        <f t="shared" si="10"/>
        <v>1.0326610873176989E-3</v>
      </c>
      <c r="N46" s="250">
        <f t="shared" si="10"/>
        <v>2.1277866517079858E-3</v>
      </c>
      <c r="O46" s="250">
        <f t="shared" si="10"/>
        <v>-4.2804554404529682E-5</v>
      </c>
      <c r="P46" s="250">
        <f t="shared" si="10"/>
        <v>-9.0975817682321658E-3</v>
      </c>
    </row>
    <row r="48" spans="2:34">
      <c r="B48" t="s">
        <v>347</v>
      </c>
      <c r="C48" s="250" t="e">
        <f t="shared" ref="C48:P48" si="11">C30/C10-1</f>
        <v>#VALUE!</v>
      </c>
      <c r="D48" s="250" t="e">
        <f t="shared" si="11"/>
        <v>#VALUE!</v>
      </c>
      <c r="E48" s="250" t="e">
        <f t="shared" si="11"/>
        <v>#VALUE!</v>
      </c>
      <c r="F48" s="250" t="e">
        <f t="shared" si="11"/>
        <v>#VALUE!</v>
      </c>
      <c r="G48" s="250" t="e">
        <f t="shared" si="11"/>
        <v>#VALUE!</v>
      </c>
      <c r="H48" s="250" t="e">
        <f t="shared" si="11"/>
        <v>#VALUE!</v>
      </c>
      <c r="I48" s="250" t="e">
        <f t="shared" si="11"/>
        <v>#VALUE!</v>
      </c>
      <c r="J48" s="250" t="e">
        <f t="shared" si="11"/>
        <v>#VALUE!</v>
      </c>
      <c r="K48" s="250" t="e">
        <f t="shared" si="11"/>
        <v>#VALUE!</v>
      </c>
      <c r="L48" s="250" t="e">
        <f t="shared" si="11"/>
        <v>#VALUE!</v>
      </c>
      <c r="M48" s="250" t="e">
        <f t="shared" si="11"/>
        <v>#VALUE!</v>
      </c>
      <c r="N48" s="250">
        <f t="shared" si="11"/>
        <v>-7.2201475399880088E-5</v>
      </c>
      <c r="O48" s="250">
        <f t="shared" si="11"/>
        <v>0</v>
      </c>
      <c r="P48" s="250">
        <f t="shared" si="11"/>
        <v>-7.6136980502174989E-2</v>
      </c>
    </row>
    <row r="50" spans="2:16">
      <c r="B50" t="s">
        <v>27</v>
      </c>
      <c r="C50" s="250">
        <f t="shared" ref="C50:P50" si="12">C32/C12-1</f>
        <v>2.7054727818374031</v>
      </c>
      <c r="D50" s="250" t="e">
        <f t="shared" si="12"/>
        <v>#VALUE!</v>
      </c>
      <c r="E50" s="250" t="e">
        <f t="shared" si="12"/>
        <v>#VALUE!</v>
      </c>
      <c r="F50" s="250">
        <f t="shared" si="12"/>
        <v>-1.2825891442784898E-2</v>
      </c>
      <c r="G50" s="250" t="e">
        <f t="shared" si="12"/>
        <v>#VALUE!</v>
      </c>
      <c r="H50" s="250" t="e">
        <f t="shared" si="12"/>
        <v>#VALUE!</v>
      </c>
      <c r="I50" s="250">
        <f t="shared" si="12"/>
        <v>-6.9812441253022106E-3</v>
      </c>
      <c r="J50" s="250" t="e">
        <f t="shared" si="12"/>
        <v>#VALUE!</v>
      </c>
      <c r="K50" s="250" t="e">
        <f t="shared" si="12"/>
        <v>#VALUE!</v>
      </c>
      <c r="L50" s="250">
        <f t="shared" si="12"/>
        <v>6.1961561723369307E-3</v>
      </c>
      <c r="M50" s="250">
        <f t="shared" si="12"/>
        <v>6.0037693739146247E-2</v>
      </c>
      <c r="N50" s="250">
        <f t="shared" si="12"/>
        <v>7.2208079876570075E-3</v>
      </c>
      <c r="O50" s="250">
        <f t="shared" si="12"/>
        <v>6.4512788650719521E-2</v>
      </c>
      <c r="P50" s="250">
        <f t="shared" si="12"/>
        <v>4.8324522728352193E-2</v>
      </c>
    </row>
    <row r="54" spans="2:16">
      <c r="B54" t="s">
        <v>603</v>
      </c>
      <c r="C54" s="250">
        <f t="shared" ref="C54:P54" si="13">C36/C16-1</f>
        <v>0.40290124367722524</v>
      </c>
      <c r="D54" s="250" t="e">
        <f t="shared" si="13"/>
        <v>#DIV/0!</v>
      </c>
      <c r="E54" s="250" t="e">
        <f t="shared" si="13"/>
        <v>#DIV/0!</v>
      </c>
      <c r="F54" s="250">
        <f t="shared" si="13"/>
        <v>-5.1900048495557849E-3</v>
      </c>
      <c r="G54" s="250" t="e">
        <f t="shared" si="13"/>
        <v>#DIV/0!</v>
      </c>
      <c r="H54" s="250" t="e">
        <f t="shared" si="13"/>
        <v>#DIV/0!</v>
      </c>
      <c r="I54" s="250">
        <f t="shared" si="13"/>
        <v>-3.2000617299373646E-3</v>
      </c>
      <c r="J54" s="250" t="e">
        <f t="shared" si="13"/>
        <v>#DIV/0!</v>
      </c>
      <c r="K54" s="250" t="e">
        <f t="shared" si="13"/>
        <v>#DIV/0!</v>
      </c>
      <c r="L54" s="250">
        <f t="shared" si="13"/>
        <v>9.6509824949930767E-3</v>
      </c>
      <c r="M54" s="250">
        <f t="shared" si="13"/>
        <v>1.0065703124326753E-3</v>
      </c>
      <c r="N54" s="250">
        <f t="shared" si="13"/>
        <v>-1.3344531081506128E-3</v>
      </c>
      <c r="O54" s="250">
        <f t="shared" si="13"/>
        <v>0</v>
      </c>
      <c r="P54" s="250">
        <f t="shared" si="13"/>
        <v>0.23685863132847063</v>
      </c>
    </row>
    <row r="56" spans="2:16">
      <c r="B56" s="200" t="s">
        <v>154</v>
      </c>
    </row>
    <row r="57" spans="2:16">
      <c r="B57" t="s">
        <v>596</v>
      </c>
      <c r="C57" s="251" t="e">
        <f t="shared" ref="C57:P57" si="14">ROUND((C39-C22)*10000,0)&amp;"bps"</f>
        <v>#DIV/0!</v>
      </c>
      <c r="D57" s="251" t="e">
        <f t="shared" si="14"/>
        <v>#VALUE!</v>
      </c>
      <c r="E57" s="251" t="e">
        <f t="shared" si="14"/>
        <v>#VALUE!</v>
      </c>
      <c r="F57" s="251" t="e">
        <f t="shared" si="14"/>
        <v>#VALUE!</v>
      </c>
      <c r="G57" s="251" t="e">
        <f t="shared" si="14"/>
        <v>#VALUE!</v>
      </c>
      <c r="H57" s="251" t="e">
        <f t="shared" si="14"/>
        <v>#VALUE!</v>
      </c>
      <c r="I57" s="251" t="e">
        <f t="shared" si="14"/>
        <v>#VALUE!</v>
      </c>
      <c r="J57" s="251" t="e">
        <f t="shared" si="14"/>
        <v>#VALUE!</v>
      </c>
      <c r="K57" s="251" t="e">
        <f t="shared" si="14"/>
        <v>#VALUE!</v>
      </c>
      <c r="L57" s="251" t="e">
        <f t="shared" si="14"/>
        <v>#VALUE!</v>
      </c>
      <c r="M57" s="251" t="e">
        <f t="shared" si="14"/>
        <v>#VALUE!</v>
      </c>
      <c r="N57" s="251" t="str">
        <f t="shared" si="14"/>
        <v>-19bps</v>
      </c>
      <c r="O57" s="251" t="str">
        <f t="shared" si="14"/>
        <v>0bps</v>
      </c>
      <c r="P57" s="251" t="str">
        <f t="shared" si="14"/>
        <v>-595bps</v>
      </c>
    </row>
    <row r="58" spans="2:16">
      <c r="B58" t="s">
        <v>597</v>
      </c>
      <c r="C58" s="251" t="e">
        <f t="shared" ref="C58:P58" si="15">ROUND((C40-C23)*10000,0)&amp;"bps"</f>
        <v>#DIV/0!</v>
      </c>
      <c r="D58" s="251" t="e">
        <f t="shared" si="15"/>
        <v>#VALUE!</v>
      </c>
      <c r="E58" s="251" t="e">
        <f t="shared" si="15"/>
        <v>#VALUE!</v>
      </c>
      <c r="F58" s="251" t="str">
        <f t="shared" si="15"/>
        <v>-31bps</v>
      </c>
      <c r="G58" s="251" t="e">
        <f t="shared" si="15"/>
        <v>#VALUE!</v>
      </c>
      <c r="H58" s="251" t="e">
        <f t="shared" si="15"/>
        <v>#VALUE!</v>
      </c>
      <c r="I58" s="251" t="str">
        <f t="shared" si="15"/>
        <v>-26bps</v>
      </c>
      <c r="J58" s="251" t="e">
        <f t="shared" si="15"/>
        <v>#VALUE!</v>
      </c>
      <c r="K58" s="251" t="e">
        <f t="shared" si="15"/>
        <v>#VALUE!</v>
      </c>
      <c r="L58" s="251" t="str">
        <f t="shared" si="15"/>
        <v>11bps</v>
      </c>
      <c r="M58" s="251" t="str">
        <f t="shared" si="15"/>
        <v>281bps</v>
      </c>
      <c r="N58" s="251" t="str">
        <f t="shared" si="15"/>
        <v>24bps</v>
      </c>
      <c r="O58" s="251" t="str">
        <f t="shared" si="15"/>
        <v>320bps</v>
      </c>
      <c r="P58" s="251" t="str">
        <f t="shared" si="15"/>
        <v>238bps</v>
      </c>
    </row>
    <row r="59" spans="2:16">
      <c r="B59" t="s">
        <v>604</v>
      </c>
      <c r="C59" s="251" t="e">
        <f t="shared" ref="C59:P59" si="16">ROUND((C41-C24)*10000,0)&amp;"bps"</f>
        <v>#DIV/0!</v>
      </c>
      <c r="D59" s="251" t="e">
        <f t="shared" si="16"/>
        <v>#VALUE!</v>
      </c>
      <c r="E59" s="251" t="e">
        <f t="shared" si="16"/>
        <v>#VALUE!</v>
      </c>
      <c r="F59" s="251" t="str">
        <f t="shared" si="16"/>
        <v>-25bps</v>
      </c>
      <c r="G59" s="251" t="e">
        <f t="shared" si="16"/>
        <v>#VALUE!</v>
      </c>
      <c r="H59" s="251" t="e">
        <f t="shared" si="16"/>
        <v>#VALUE!</v>
      </c>
      <c r="I59" s="251" t="str">
        <f t="shared" si="16"/>
        <v>-21bps</v>
      </c>
      <c r="J59" s="251" t="e">
        <f t="shared" si="16"/>
        <v>#VALUE!</v>
      </c>
      <c r="K59" s="251" t="e">
        <f t="shared" si="16"/>
        <v>#VALUE!</v>
      </c>
      <c r="L59" s="251" t="str">
        <f t="shared" si="16"/>
        <v>2bps</v>
      </c>
      <c r="M59" s="251" t="str">
        <f t="shared" si="16"/>
        <v>281bps</v>
      </c>
      <c r="N59" s="251" t="str">
        <f t="shared" si="16"/>
        <v>31bps</v>
      </c>
      <c r="O59" s="251" t="str">
        <f t="shared" si="16"/>
        <v>320bps</v>
      </c>
      <c r="P59" s="251" t="str">
        <f t="shared" si="16"/>
        <v>-164bps</v>
      </c>
    </row>
  </sheetData>
  <mergeCells count="6">
    <mergeCell ref="X9:Z9"/>
    <mergeCell ref="AB9:AD9"/>
    <mergeCell ref="AF9:AH9"/>
    <mergeCell ref="X23:Z23"/>
    <mergeCell ref="AB23:AD23"/>
    <mergeCell ref="AF23:AH23"/>
  </mergeCells>
  <conditionalFormatting sqref="Z11:Z21 AD11:AD21 AH11:AH21 Z25:Z30 Z36:Z37 AD25:AD30 AD36:AD37 AH25:AH30 AH36:AH37">
    <cfRule type="cellIs" dxfId="1" priority="9" operator="lessThan">
      <formula>0</formula>
    </cfRule>
    <cfRule type="cellIs" dxfId="0" priority="10" operator="greaterThan">
      <formula>0</formula>
    </cfRule>
  </conditionalFormatting>
  <printOptions horizontalCentered="1" verticalCentered="1"/>
  <pageMargins left="0.7" right="0.7" top="0.75" bottom="0.75" header="0.3" footer="0.3"/>
  <pageSetup paperSize="0" scale="31" orientation="portrait" r:id="rId1"/>
  <customProperties>
    <customPr name="Qube.Worksheet.Visibility" r:id="rId2"/>
  </customPropertie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B12:X91"/>
  <sheetViews>
    <sheetView zoomScaleNormal="100" workbookViewId="0"/>
  </sheetViews>
  <sheetFormatPr defaultRowHeight="12.75"/>
  <cols>
    <col min="2" max="2" width="42" customWidth="1"/>
  </cols>
  <sheetData>
    <row r="12" ht="12" customHeight="1"/>
    <row r="13" hidden="1"/>
    <row r="30" spans="2:18">
      <c r="B30" s="200" t="s">
        <v>367</v>
      </c>
    </row>
    <row r="31" spans="2:18" ht="13.5" thickBot="1">
      <c r="C31" t="s">
        <v>378</v>
      </c>
      <c r="D31" t="s">
        <v>379</v>
      </c>
      <c r="E31" t="s">
        <v>380</v>
      </c>
      <c r="F31" t="s">
        <v>381</v>
      </c>
      <c r="G31" t="s">
        <v>382</v>
      </c>
      <c r="H31" t="s">
        <v>383</v>
      </c>
      <c r="I31" t="s">
        <v>384</v>
      </c>
      <c r="J31" t="s">
        <v>385</v>
      </c>
      <c r="K31" t="s">
        <v>386</v>
      </c>
      <c r="L31" t="s">
        <v>319</v>
      </c>
      <c r="M31" t="s">
        <v>320</v>
      </c>
      <c r="N31" t="s">
        <v>321</v>
      </c>
      <c r="O31" t="s">
        <v>315</v>
      </c>
      <c r="P31" t="s">
        <v>314</v>
      </c>
      <c r="Q31" t="s">
        <v>324</v>
      </c>
      <c r="R31" t="s">
        <v>325</v>
      </c>
    </row>
    <row r="32" spans="2:18" ht="15" thickBot="1">
      <c r="B32" t="s">
        <v>368</v>
      </c>
      <c r="D32" s="203">
        <v>18269</v>
      </c>
      <c r="E32" s="206">
        <f>D32</f>
        <v>18269</v>
      </c>
      <c r="F32" s="206">
        <f t="shared" ref="F32:R40" si="0">E32</f>
        <v>18269</v>
      </c>
      <c r="G32" s="206">
        <f t="shared" si="0"/>
        <v>18269</v>
      </c>
      <c r="H32" s="206">
        <f t="shared" si="0"/>
        <v>18269</v>
      </c>
      <c r="I32" s="206">
        <f t="shared" si="0"/>
        <v>18269</v>
      </c>
      <c r="J32" s="206">
        <f t="shared" si="0"/>
        <v>18269</v>
      </c>
      <c r="K32" s="206">
        <f t="shared" si="0"/>
        <v>18269</v>
      </c>
      <c r="L32" s="206">
        <f t="shared" si="0"/>
        <v>18269</v>
      </c>
      <c r="M32" s="206">
        <f t="shared" si="0"/>
        <v>18269</v>
      </c>
      <c r="N32" s="206">
        <f t="shared" si="0"/>
        <v>18269</v>
      </c>
      <c r="O32" s="206">
        <f t="shared" si="0"/>
        <v>18269</v>
      </c>
      <c r="P32" s="206">
        <f t="shared" si="0"/>
        <v>18269</v>
      </c>
      <c r="Q32" s="206">
        <f t="shared" si="0"/>
        <v>18269</v>
      </c>
      <c r="R32" s="206">
        <f t="shared" si="0"/>
        <v>18269</v>
      </c>
    </row>
    <row r="33" spans="2:22" ht="15" thickBot="1">
      <c r="B33" t="s">
        <v>369</v>
      </c>
      <c r="E33" s="203">
        <v>7260</v>
      </c>
      <c r="F33" s="206">
        <f t="shared" si="0"/>
        <v>7260</v>
      </c>
      <c r="G33" s="206">
        <f t="shared" si="0"/>
        <v>7260</v>
      </c>
      <c r="H33" s="206">
        <f t="shared" si="0"/>
        <v>7260</v>
      </c>
      <c r="I33" s="206">
        <f t="shared" si="0"/>
        <v>7260</v>
      </c>
      <c r="J33" s="206">
        <f t="shared" si="0"/>
        <v>7260</v>
      </c>
      <c r="K33" s="206">
        <f t="shared" si="0"/>
        <v>7260</v>
      </c>
      <c r="L33" s="206">
        <f t="shared" si="0"/>
        <v>7260</v>
      </c>
      <c r="M33" s="206">
        <f t="shared" si="0"/>
        <v>7260</v>
      </c>
      <c r="N33" s="206">
        <f t="shared" si="0"/>
        <v>7260</v>
      </c>
      <c r="O33" s="206">
        <f t="shared" si="0"/>
        <v>7260</v>
      </c>
      <c r="P33" s="206">
        <f t="shared" si="0"/>
        <v>7260</v>
      </c>
      <c r="Q33" s="206">
        <f t="shared" si="0"/>
        <v>7260</v>
      </c>
      <c r="R33" s="206">
        <f t="shared" si="0"/>
        <v>7260</v>
      </c>
    </row>
    <row r="34" spans="2:22" ht="15" thickBot="1">
      <c r="B34" t="s">
        <v>370</v>
      </c>
      <c r="F34" s="204">
        <v>4248</v>
      </c>
      <c r="G34" s="206">
        <f t="shared" si="0"/>
        <v>4248</v>
      </c>
      <c r="H34" s="206">
        <f t="shared" si="0"/>
        <v>4248</v>
      </c>
      <c r="I34" s="206">
        <f t="shared" si="0"/>
        <v>4248</v>
      </c>
      <c r="J34" s="206">
        <f t="shared" si="0"/>
        <v>4248</v>
      </c>
      <c r="K34" s="206">
        <f t="shared" si="0"/>
        <v>4248</v>
      </c>
      <c r="L34" s="206">
        <f t="shared" si="0"/>
        <v>4248</v>
      </c>
      <c r="M34" s="206">
        <f t="shared" si="0"/>
        <v>4248</v>
      </c>
      <c r="N34" s="206">
        <f t="shared" si="0"/>
        <v>4248</v>
      </c>
      <c r="O34" s="206">
        <f t="shared" si="0"/>
        <v>4248</v>
      </c>
      <c r="P34" s="206">
        <f t="shared" si="0"/>
        <v>4248</v>
      </c>
      <c r="Q34" s="206">
        <f t="shared" si="0"/>
        <v>4248</v>
      </c>
      <c r="R34" s="206">
        <f t="shared" si="0"/>
        <v>4248</v>
      </c>
    </row>
    <row r="35" spans="2:22" ht="15" thickBot="1">
      <c r="B35" t="s">
        <v>371</v>
      </c>
      <c r="G35" s="205">
        <v>2467</v>
      </c>
      <c r="H35" s="206">
        <f t="shared" si="0"/>
        <v>2467</v>
      </c>
      <c r="I35" s="206">
        <f t="shared" si="0"/>
        <v>2467</v>
      </c>
      <c r="J35" s="206">
        <f t="shared" si="0"/>
        <v>2467</v>
      </c>
      <c r="K35" s="206">
        <f t="shared" si="0"/>
        <v>2467</v>
      </c>
      <c r="L35" s="206">
        <f t="shared" si="0"/>
        <v>2467</v>
      </c>
      <c r="M35" s="206">
        <f t="shared" si="0"/>
        <v>2467</v>
      </c>
      <c r="N35" s="206">
        <f t="shared" si="0"/>
        <v>2467</v>
      </c>
      <c r="O35" s="206">
        <f t="shared" si="0"/>
        <v>2467</v>
      </c>
      <c r="P35" s="206">
        <f t="shared" si="0"/>
        <v>2467</v>
      </c>
      <c r="Q35" s="206">
        <f t="shared" si="0"/>
        <v>2467</v>
      </c>
      <c r="R35" s="206">
        <f t="shared" si="0"/>
        <v>2467</v>
      </c>
    </row>
    <row r="36" spans="2:22" ht="15" thickBot="1">
      <c r="B36" t="s">
        <v>372</v>
      </c>
      <c r="H36" s="203">
        <v>9135</v>
      </c>
      <c r="I36" s="206">
        <f t="shared" si="0"/>
        <v>9135</v>
      </c>
      <c r="J36" s="206">
        <f t="shared" si="0"/>
        <v>9135</v>
      </c>
      <c r="K36" s="206">
        <f t="shared" si="0"/>
        <v>9135</v>
      </c>
      <c r="L36" s="206">
        <f t="shared" si="0"/>
        <v>9135</v>
      </c>
      <c r="M36" s="206">
        <f t="shared" si="0"/>
        <v>9135</v>
      </c>
      <c r="N36" s="206">
        <f t="shared" si="0"/>
        <v>9135</v>
      </c>
      <c r="O36" s="206">
        <f t="shared" si="0"/>
        <v>9135</v>
      </c>
      <c r="P36" s="206">
        <f t="shared" si="0"/>
        <v>9135</v>
      </c>
      <c r="Q36" s="206">
        <f t="shared" si="0"/>
        <v>9135</v>
      </c>
      <c r="R36" s="206">
        <f t="shared" si="0"/>
        <v>9135</v>
      </c>
    </row>
    <row r="37" spans="2:22" ht="14.25">
      <c r="B37" t="s">
        <v>373</v>
      </c>
      <c r="L37" s="203">
        <v>1292</v>
      </c>
      <c r="M37" s="206">
        <f t="shared" si="0"/>
        <v>1292</v>
      </c>
      <c r="N37" s="206">
        <f t="shared" si="0"/>
        <v>1292</v>
      </c>
      <c r="O37" s="206">
        <f t="shared" si="0"/>
        <v>1292</v>
      </c>
      <c r="P37" s="206">
        <f t="shared" si="0"/>
        <v>1292</v>
      </c>
      <c r="Q37" s="206">
        <f t="shared" si="0"/>
        <v>1292</v>
      </c>
      <c r="R37" s="206">
        <f t="shared" si="0"/>
        <v>1292</v>
      </c>
    </row>
    <row r="38" spans="2:22" ht="15" thickBot="1">
      <c r="B38" t="s">
        <v>374</v>
      </c>
      <c r="M38" s="202">
        <v>28453</v>
      </c>
      <c r="N38" s="206">
        <f t="shared" si="0"/>
        <v>28453</v>
      </c>
      <c r="O38" s="206">
        <f t="shared" si="0"/>
        <v>28453</v>
      </c>
      <c r="P38" s="206">
        <f t="shared" si="0"/>
        <v>28453</v>
      </c>
      <c r="Q38" s="206">
        <f t="shared" si="0"/>
        <v>28453</v>
      </c>
      <c r="R38" s="206">
        <f t="shared" si="0"/>
        <v>28453</v>
      </c>
    </row>
    <row r="39" spans="2:22" ht="15" thickBot="1">
      <c r="B39" t="s">
        <v>375</v>
      </c>
      <c r="P39" s="204">
        <v>5265</v>
      </c>
      <c r="Q39" s="206">
        <f t="shared" si="0"/>
        <v>5265</v>
      </c>
      <c r="R39" s="206">
        <f t="shared" si="0"/>
        <v>5265</v>
      </c>
    </row>
    <row r="40" spans="2:22" ht="15" thickBot="1">
      <c r="B40" t="s">
        <v>376</v>
      </c>
      <c r="Q40" s="203">
        <v>2972</v>
      </c>
      <c r="R40" s="206">
        <f t="shared" si="0"/>
        <v>2972</v>
      </c>
    </row>
    <row r="41" spans="2:22" ht="14.25">
      <c r="B41" t="s">
        <v>377</v>
      </c>
      <c r="R41" s="203">
        <v>7416</v>
      </c>
    </row>
    <row r="43" spans="2:22" ht="13.5" thickBot="1">
      <c r="C43" t="s">
        <v>378</v>
      </c>
      <c r="D43" t="s">
        <v>379</v>
      </c>
      <c r="E43" t="s">
        <v>380</v>
      </c>
      <c r="F43" t="s">
        <v>381</v>
      </c>
      <c r="G43" t="s">
        <v>382</v>
      </c>
      <c r="H43" t="s">
        <v>383</v>
      </c>
      <c r="I43" t="s">
        <v>384</v>
      </c>
      <c r="J43" t="s">
        <v>385</v>
      </c>
      <c r="K43" t="s">
        <v>386</v>
      </c>
      <c r="L43" t="s">
        <v>319</v>
      </c>
      <c r="M43" t="s">
        <v>320</v>
      </c>
      <c r="N43" t="s">
        <v>321</v>
      </c>
      <c r="O43" t="s">
        <v>315</v>
      </c>
      <c r="P43" t="s">
        <v>314</v>
      </c>
      <c r="Q43" t="s">
        <v>324</v>
      </c>
      <c r="R43" t="s">
        <v>325</v>
      </c>
      <c r="S43" t="s">
        <v>322</v>
      </c>
      <c r="T43" t="s">
        <v>323</v>
      </c>
      <c r="U43" t="s">
        <v>327</v>
      </c>
      <c r="V43" t="s">
        <v>387</v>
      </c>
    </row>
    <row r="44" spans="2:22" ht="15" thickBot="1">
      <c r="B44" t="s">
        <v>368</v>
      </c>
      <c r="C44" s="199">
        <v>0</v>
      </c>
      <c r="D44" s="203">
        <f>(H44-C44)/5+C44</f>
        <v>3653.8</v>
      </c>
      <c r="E44" s="203">
        <f>(H44-C44)/5+D44</f>
        <v>7307.6</v>
      </c>
      <c r="F44" s="203">
        <f>(H44-C44)/5+E44</f>
        <v>10961.400000000001</v>
      </c>
      <c r="G44" s="203">
        <f>(H44-C44)/5+F44</f>
        <v>14615.2</v>
      </c>
      <c r="H44" s="206">
        <f>D32</f>
        <v>18269</v>
      </c>
      <c r="I44" s="206">
        <f t="shared" ref="I44:R47" si="1">H44</f>
        <v>18269</v>
      </c>
      <c r="J44" s="206">
        <f t="shared" si="1"/>
        <v>18269</v>
      </c>
      <c r="K44" s="206">
        <f t="shared" si="1"/>
        <v>18269</v>
      </c>
      <c r="L44" s="206">
        <f t="shared" si="1"/>
        <v>18269</v>
      </c>
      <c r="M44" s="206">
        <f t="shared" si="1"/>
        <v>18269</v>
      </c>
      <c r="N44" s="206">
        <f t="shared" si="1"/>
        <v>18269</v>
      </c>
      <c r="O44" s="206">
        <f t="shared" si="1"/>
        <v>18269</v>
      </c>
      <c r="P44" s="206">
        <f t="shared" si="1"/>
        <v>18269</v>
      </c>
      <c r="Q44" s="206">
        <f t="shared" si="1"/>
        <v>18269</v>
      </c>
      <c r="R44" s="206">
        <f t="shared" si="1"/>
        <v>18269</v>
      </c>
      <c r="S44" s="206">
        <f t="shared" ref="S44:V49" si="2">R44</f>
        <v>18269</v>
      </c>
      <c r="T44" s="206">
        <f t="shared" si="2"/>
        <v>18269</v>
      </c>
      <c r="U44" s="206">
        <f t="shared" si="2"/>
        <v>18269</v>
      </c>
      <c r="V44" s="206">
        <f t="shared" si="2"/>
        <v>18269</v>
      </c>
    </row>
    <row r="45" spans="2:22" ht="15" thickBot="1">
      <c r="B45" t="s">
        <v>369</v>
      </c>
      <c r="D45" s="199">
        <v>0</v>
      </c>
      <c r="E45" s="203">
        <f>(I45-D45)/5+D45</f>
        <v>1452</v>
      </c>
      <c r="F45" s="203">
        <f>(I45-D45)/5+E45</f>
        <v>2904</v>
      </c>
      <c r="G45" s="203">
        <f>(I45-D45)/5+F45</f>
        <v>4356</v>
      </c>
      <c r="H45" s="203">
        <f>(I45-D45)/5+G45</f>
        <v>5808</v>
      </c>
      <c r="I45" s="206">
        <f>E33</f>
        <v>7260</v>
      </c>
      <c r="J45" s="206">
        <f t="shared" si="1"/>
        <v>7260</v>
      </c>
      <c r="K45" s="206">
        <f t="shared" si="1"/>
        <v>7260</v>
      </c>
      <c r="L45" s="206">
        <f t="shared" si="1"/>
        <v>7260</v>
      </c>
      <c r="M45" s="206">
        <f t="shared" si="1"/>
        <v>7260</v>
      </c>
      <c r="N45" s="206">
        <f t="shared" si="1"/>
        <v>7260</v>
      </c>
      <c r="O45" s="206">
        <f t="shared" si="1"/>
        <v>7260</v>
      </c>
      <c r="P45" s="206">
        <f t="shared" si="1"/>
        <v>7260</v>
      </c>
      <c r="Q45" s="206">
        <f t="shared" si="1"/>
        <v>7260</v>
      </c>
      <c r="R45" s="206">
        <f t="shared" si="1"/>
        <v>7260</v>
      </c>
      <c r="S45" s="206">
        <f t="shared" si="2"/>
        <v>7260</v>
      </c>
      <c r="T45" s="206">
        <f t="shared" si="2"/>
        <v>7260</v>
      </c>
      <c r="U45" s="206">
        <f t="shared" si="2"/>
        <v>7260</v>
      </c>
      <c r="V45" s="206">
        <f t="shared" si="2"/>
        <v>7260</v>
      </c>
    </row>
    <row r="46" spans="2:22" ht="15" thickBot="1">
      <c r="B46" t="s">
        <v>370</v>
      </c>
      <c r="E46" s="199">
        <v>0</v>
      </c>
      <c r="F46" s="203">
        <f>(J46-E46)/5+E46</f>
        <v>849.6</v>
      </c>
      <c r="G46" s="203">
        <f>(J46-E46)/5+F46</f>
        <v>1699.2</v>
      </c>
      <c r="H46" s="203">
        <f>(J46-E46)/5+G46</f>
        <v>2548.8000000000002</v>
      </c>
      <c r="I46" s="203">
        <f>(J46-E46)/5+H46</f>
        <v>3398.4</v>
      </c>
      <c r="J46" s="206">
        <f>F34</f>
        <v>4248</v>
      </c>
      <c r="K46" s="206">
        <f t="shared" si="1"/>
        <v>4248</v>
      </c>
      <c r="L46" s="206">
        <f t="shared" si="1"/>
        <v>4248</v>
      </c>
      <c r="M46" s="206">
        <f t="shared" si="1"/>
        <v>4248</v>
      </c>
      <c r="N46" s="206">
        <f t="shared" si="1"/>
        <v>4248</v>
      </c>
      <c r="O46" s="206">
        <f t="shared" si="1"/>
        <v>4248</v>
      </c>
      <c r="P46" s="206">
        <f t="shared" si="1"/>
        <v>4248</v>
      </c>
      <c r="Q46" s="206">
        <f t="shared" si="1"/>
        <v>4248</v>
      </c>
      <c r="R46" s="206">
        <f t="shared" si="1"/>
        <v>4248</v>
      </c>
      <c r="S46" s="206">
        <f t="shared" si="2"/>
        <v>4248</v>
      </c>
      <c r="T46" s="206">
        <f t="shared" si="2"/>
        <v>4248</v>
      </c>
      <c r="U46" s="206">
        <f t="shared" si="2"/>
        <v>4248</v>
      </c>
      <c r="V46" s="206">
        <f t="shared" si="2"/>
        <v>4248</v>
      </c>
    </row>
    <row r="47" spans="2:22" ht="15" thickBot="1">
      <c r="B47" t="s">
        <v>371</v>
      </c>
      <c r="F47" s="199">
        <v>0</v>
      </c>
      <c r="G47" s="203">
        <f>(K47-F47)/5+F47</f>
        <v>493.4</v>
      </c>
      <c r="H47" s="203">
        <f>(K47-F47)/5+G47</f>
        <v>986.8</v>
      </c>
      <c r="I47" s="203">
        <f>(K47-F47)/5+H47</f>
        <v>1480.1999999999998</v>
      </c>
      <c r="J47" s="203">
        <f>(K47-F47)/5+I47</f>
        <v>1973.6</v>
      </c>
      <c r="K47" s="206">
        <f>G35</f>
        <v>2467</v>
      </c>
      <c r="L47" s="206">
        <f t="shared" si="1"/>
        <v>2467</v>
      </c>
      <c r="M47" s="206">
        <f t="shared" ref="M47:R47" si="3">L47</f>
        <v>2467</v>
      </c>
      <c r="N47" s="206">
        <f t="shared" si="3"/>
        <v>2467</v>
      </c>
      <c r="O47" s="206">
        <f t="shared" si="3"/>
        <v>2467</v>
      </c>
      <c r="P47" s="206">
        <f t="shared" si="3"/>
        <v>2467</v>
      </c>
      <c r="Q47" s="206">
        <f t="shared" si="3"/>
        <v>2467</v>
      </c>
      <c r="R47" s="206">
        <f t="shared" si="3"/>
        <v>2467</v>
      </c>
      <c r="S47" s="206">
        <f t="shared" si="2"/>
        <v>2467</v>
      </c>
      <c r="T47" s="206">
        <f t="shared" si="2"/>
        <v>2467</v>
      </c>
      <c r="U47" s="206">
        <f t="shared" si="2"/>
        <v>2467</v>
      </c>
      <c r="V47" s="206">
        <f t="shared" si="2"/>
        <v>2467</v>
      </c>
    </row>
    <row r="48" spans="2:22" ht="15" thickBot="1">
      <c r="B48" t="s">
        <v>372</v>
      </c>
      <c r="G48" s="199">
        <v>0</v>
      </c>
      <c r="H48" s="203">
        <f>(L48-G48)/5+G48</f>
        <v>1827</v>
      </c>
      <c r="I48" s="203">
        <f>(L48-G48)/5+H48</f>
        <v>3654</v>
      </c>
      <c r="J48" s="203">
        <f>(L48-G48)/5+I48</f>
        <v>5481</v>
      </c>
      <c r="K48" s="203">
        <f>(L48-G48)/5+J48</f>
        <v>7308</v>
      </c>
      <c r="L48" s="206">
        <f>H36</f>
        <v>9135</v>
      </c>
      <c r="M48" s="206">
        <f t="shared" ref="M48:R49" si="4">L48</f>
        <v>9135</v>
      </c>
      <c r="N48" s="206">
        <f t="shared" si="4"/>
        <v>9135</v>
      </c>
      <c r="O48" s="206">
        <f t="shared" si="4"/>
        <v>9135</v>
      </c>
      <c r="P48" s="206">
        <f t="shared" si="4"/>
        <v>9135</v>
      </c>
      <c r="Q48" s="206">
        <f t="shared" si="4"/>
        <v>9135</v>
      </c>
      <c r="R48" s="206">
        <f t="shared" si="4"/>
        <v>9135</v>
      </c>
      <c r="S48" s="206">
        <f t="shared" si="2"/>
        <v>9135</v>
      </c>
      <c r="T48" s="206">
        <f t="shared" si="2"/>
        <v>9135</v>
      </c>
      <c r="U48" s="206">
        <f t="shared" si="2"/>
        <v>9135</v>
      </c>
      <c r="V48" s="206">
        <f t="shared" si="2"/>
        <v>9135</v>
      </c>
    </row>
    <row r="49" spans="2:24" ht="15" thickBot="1">
      <c r="B49" t="s">
        <v>373</v>
      </c>
      <c r="L49" s="199">
        <v>0</v>
      </c>
      <c r="M49" s="203">
        <f>(Q49-L49)/5+L49</f>
        <v>258.39999999999998</v>
      </c>
      <c r="N49" s="203">
        <f>(Q49-L49)/5+M49</f>
        <v>516.79999999999995</v>
      </c>
      <c r="O49" s="203">
        <f>(Q49-L49)/5+N49</f>
        <v>775.19999999999993</v>
      </c>
      <c r="P49" s="203">
        <f>(Q49-L49)/5+O49</f>
        <v>1033.5999999999999</v>
      </c>
      <c r="Q49" s="206">
        <f>M37</f>
        <v>1292</v>
      </c>
      <c r="R49" s="206">
        <f t="shared" si="4"/>
        <v>1292</v>
      </c>
      <c r="S49" s="206">
        <f t="shared" si="2"/>
        <v>1292</v>
      </c>
      <c r="T49" s="206">
        <f t="shared" si="2"/>
        <v>1292</v>
      </c>
      <c r="U49" s="206">
        <f t="shared" si="2"/>
        <v>1292</v>
      </c>
      <c r="V49" s="206">
        <f t="shared" si="2"/>
        <v>1292</v>
      </c>
    </row>
    <row r="50" spans="2:24" ht="15" thickBot="1">
      <c r="B50" t="s">
        <v>374</v>
      </c>
      <c r="M50" s="199">
        <v>0</v>
      </c>
      <c r="N50" s="203">
        <f>(R50-M50)/5+M50</f>
        <v>5690.6</v>
      </c>
      <c r="O50" s="203">
        <f>(R50-M50)/5+N50</f>
        <v>11381.2</v>
      </c>
      <c r="P50" s="203">
        <f>(R50-M50)/5+O50</f>
        <v>17071.800000000003</v>
      </c>
      <c r="Q50" s="203">
        <f>(R50-M50)/5+P50</f>
        <v>22762.400000000001</v>
      </c>
      <c r="R50" s="206">
        <f>N38</f>
        <v>28453</v>
      </c>
      <c r="S50" s="206">
        <f>R50</f>
        <v>28453</v>
      </c>
      <c r="T50" s="206">
        <f t="shared" ref="T50:V52" si="5">S50</f>
        <v>28453</v>
      </c>
      <c r="U50" s="206">
        <f t="shared" si="5"/>
        <v>28453</v>
      </c>
      <c r="V50" s="206">
        <f t="shared" si="5"/>
        <v>28453</v>
      </c>
    </row>
    <row r="51" spans="2:24" ht="15" thickBot="1">
      <c r="B51" t="s">
        <v>375</v>
      </c>
      <c r="O51" s="199">
        <v>0</v>
      </c>
      <c r="P51" s="203">
        <f>(T51-O51)/5+O51</f>
        <v>1053</v>
      </c>
      <c r="Q51" s="203">
        <f>(T51-O51)/5+P51</f>
        <v>2106</v>
      </c>
      <c r="R51" s="203">
        <f>(T51-O51)/5+Q51</f>
        <v>3159</v>
      </c>
      <c r="S51" s="203">
        <f>(T51-O51)/5+R51</f>
        <v>4212</v>
      </c>
      <c r="T51" s="206">
        <f>P39</f>
        <v>5265</v>
      </c>
      <c r="U51" s="206">
        <f t="shared" si="5"/>
        <v>5265</v>
      </c>
      <c r="V51" s="206">
        <f t="shared" si="5"/>
        <v>5265</v>
      </c>
    </row>
    <row r="52" spans="2:24" ht="15" thickBot="1">
      <c r="B52" t="s">
        <v>376</v>
      </c>
      <c r="P52" s="199">
        <v>0</v>
      </c>
      <c r="Q52" s="203">
        <f>(U52-P52)/5+P52</f>
        <v>594.4</v>
      </c>
      <c r="R52" s="203">
        <f>(U52-P52)/5+Q52</f>
        <v>1188.8</v>
      </c>
      <c r="S52" s="203">
        <f>(U52-P52)/5+R52</f>
        <v>1783.1999999999998</v>
      </c>
      <c r="T52" s="203">
        <f>(U52-P52)/5+S52</f>
        <v>2377.6</v>
      </c>
      <c r="U52" s="206">
        <f>Q40</f>
        <v>2972</v>
      </c>
      <c r="V52" s="206">
        <f t="shared" si="5"/>
        <v>2972</v>
      </c>
    </row>
    <row r="53" spans="2:24" ht="14.25">
      <c r="B53" t="s">
        <v>377</v>
      </c>
      <c r="Q53" s="199">
        <v>0</v>
      </c>
      <c r="R53" s="203">
        <f>(V53-Q53)/5+Q53</f>
        <v>1483.2</v>
      </c>
      <c r="S53" s="203">
        <f>(V53-Q53)/5+R53</f>
        <v>2966.4</v>
      </c>
      <c r="T53" s="203">
        <f>(V53-Q53)/5+S53</f>
        <v>4449.6000000000004</v>
      </c>
      <c r="U53" s="203">
        <f>(V53-Q53)/5+T53</f>
        <v>5932.8</v>
      </c>
      <c r="V53" s="206">
        <f>R41</f>
        <v>7416</v>
      </c>
      <c r="X53" t="s">
        <v>405</v>
      </c>
    </row>
    <row r="54" spans="2:24">
      <c r="B54" t="s">
        <v>388</v>
      </c>
      <c r="L54">
        <f>REVENUE!AA8</f>
        <v>79.600000000000009</v>
      </c>
      <c r="M54">
        <f>REVENUE!AD8</f>
        <v>103.30000000000001</v>
      </c>
      <c r="N54">
        <f>REVENUE!AG8</f>
        <v>153.80000000000001</v>
      </c>
      <c r="O54">
        <f>REVENUE!AJ8</f>
        <v>221.6</v>
      </c>
      <c r="P54">
        <f>REVENUE!AM8</f>
        <v>348.3</v>
      </c>
      <c r="Q54">
        <f>REVENUE!AP8</f>
        <v>429.4</v>
      </c>
      <c r="R54">
        <f>REVENUE!AS8</f>
        <v>507.5</v>
      </c>
      <c r="S54">
        <f>REVENUE!AV8</f>
        <v>632.30000000000007</v>
      </c>
      <c r="T54">
        <f>REVENUE!AY8</f>
        <v>816.9</v>
      </c>
      <c r="U54">
        <f>REVENUE!BB8</f>
        <v>1041.7</v>
      </c>
      <c r="V54">
        <f>REVENUE!BE8</f>
        <v>0</v>
      </c>
    </row>
    <row r="63" spans="2:24">
      <c r="B63" t="s">
        <v>389</v>
      </c>
    </row>
    <row r="64" spans="2:24">
      <c r="C64" t="s">
        <v>390</v>
      </c>
      <c r="D64" t="s">
        <v>391</v>
      </c>
      <c r="E64" t="s">
        <v>392</v>
      </c>
      <c r="F64" t="s">
        <v>393</v>
      </c>
      <c r="G64" t="s">
        <v>394</v>
      </c>
      <c r="H64" t="s">
        <v>395</v>
      </c>
      <c r="I64" t="s">
        <v>396</v>
      </c>
      <c r="J64" t="s">
        <v>398</v>
      </c>
      <c r="K64" t="s">
        <v>399</v>
      </c>
      <c r="L64" t="s">
        <v>400</v>
      </c>
      <c r="M64" t="s">
        <v>401</v>
      </c>
      <c r="N64" t="s">
        <v>402</v>
      </c>
    </row>
    <row r="65" spans="2:18">
      <c r="B65" t="s">
        <v>397</v>
      </c>
      <c r="C65">
        <v>100</v>
      </c>
      <c r="D65">
        <v>80</v>
      </c>
      <c r="E65">
        <v>65</v>
      </c>
      <c r="F65">
        <v>50</v>
      </c>
      <c r="G65">
        <v>45</v>
      </c>
      <c r="H65">
        <v>40</v>
      </c>
      <c r="I65">
        <v>0</v>
      </c>
      <c r="P65" t="s">
        <v>403</v>
      </c>
    </row>
    <row r="66" spans="2:18">
      <c r="B66" t="s">
        <v>389</v>
      </c>
      <c r="D66">
        <v>25</v>
      </c>
      <c r="E66">
        <v>50</v>
      </c>
      <c r="F66">
        <v>75</v>
      </c>
      <c r="G66">
        <v>90</v>
      </c>
      <c r="H66">
        <v>105</v>
      </c>
      <c r="I66">
        <v>120</v>
      </c>
      <c r="P66" s="209" t="e">
        <f>REVENUE!#REF!+REVENUE!AS125+REVENUE!AS126</f>
        <v>#REF!</v>
      </c>
      <c r="R66" s="201" t="s">
        <v>404</v>
      </c>
    </row>
    <row r="67" spans="2:18">
      <c r="J67" t="e">
        <f>I66*(1+$P$66)</f>
        <v>#REF!</v>
      </c>
      <c r="K67" s="207" t="e">
        <f>J67*(1+$P$66)</f>
        <v>#REF!</v>
      </c>
      <c r="L67" s="207" t="e">
        <f>K67*(1+$P$66)</f>
        <v>#REF!</v>
      </c>
      <c r="M67" s="207" t="e">
        <f>L67*(1+$P$66)</f>
        <v>#REF!</v>
      </c>
      <c r="N67" s="207" t="e">
        <f>M67*(1+$P$66)</f>
        <v>#REF!</v>
      </c>
    </row>
    <row r="75" spans="2:18">
      <c r="B75" s="1" t="s">
        <v>342</v>
      </c>
      <c r="E75" t="e">
        <f>REVENUE!#REF!</f>
        <v>#REF!</v>
      </c>
      <c r="F75" t="e">
        <f>REVENUE!#REF!</f>
        <v>#REF!</v>
      </c>
      <c r="G75" t="e">
        <f>REVENUE!#REF!</f>
        <v>#REF!</v>
      </c>
      <c r="H75" t="e">
        <f>REVENUE!#REF!</f>
        <v>#REF!</v>
      </c>
      <c r="I75" t="e">
        <f>REVENUE!#REF!</f>
        <v>#REF!</v>
      </c>
      <c r="J75" t="e">
        <f>REVENUE!#REF!</f>
        <v>#REF!</v>
      </c>
    </row>
    <row r="76" spans="2:18">
      <c r="B76" s="1" t="s">
        <v>343</v>
      </c>
      <c r="E76" t="e">
        <f>REVENUE!#REF!</f>
        <v>#REF!</v>
      </c>
      <c r="F76" t="e">
        <f>REVENUE!#REF!</f>
        <v>#REF!</v>
      </c>
      <c r="G76" t="e">
        <f>REVENUE!#REF!</f>
        <v>#REF!</v>
      </c>
      <c r="H76" t="e">
        <f>REVENUE!#REF!</f>
        <v>#REF!</v>
      </c>
      <c r="I76" t="e">
        <f>REVENUE!#REF!</f>
        <v>#REF!</v>
      </c>
      <c r="J76" t="e">
        <f>REVENUE!#REF!</f>
        <v>#REF!</v>
      </c>
    </row>
    <row r="77" spans="2:18">
      <c r="B77" s="1" t="s">
        <v>344</v>
      </c>
      <c r="E77" t="e">
        <f>REVENUE!#REF!</f>
        <v>#REF!</v>
      </c>
      <c r="F77" t="e">
        <f>REVENUE!#REF!</f>
        <v>#REF!</v>
      </c>
      <c r="G77" t="e">
        <f>REVENUE!#REF!</f>
        <v>#REF!</v>
      </c>
      <c r="H77" t="e">
        <f>REVENUE!#REF!</f>
        <v>#REF!</v>
      </c>
      <c r="I77" t="e">
        <f>REVENUE!#REF!</f>
        <v>#REF!</v>
      </c>
      <c r="J77" t="e">
        <f>REVENUE!#REF!</f>
        <v>#REF!</v>
      </c>
    </row>
    <row r="80" spans="2:18">
      <c r="E80">
        <f>REVENUE!AA8</f>
        <v>79.600000000000009</v>
      </c>
      <c r="F80">
        <f>REVENUE!AD8</f>
        <v>103.30000000000001</v>
      </c>
      <c r="G80">
        <f>REVENUE!AG8</f>
        <v>153.80000000000001</v>
      </c>
      <c r="H80">
        <f>REVENUE!AJ8</f>
        <v>221.6</v>
      </c>
      <c r="I80">
        <f>REVENUE!AM8</f>
        <v>348.3</v>
      </c>
      <c r="J80">
        <f>REVENUE!AP8</f>
        <v>429.4</v>
      </c>
      <c r="K80">
        <f>REVENUE!AS8</f>
        <v>507.5</v>
      </c>
    </row>
    <row r="82" spans="2:11">
      <c r="B82" t="s">
        <v>230</v>
      </c>
      <c r="E82" t="s">
        <v>320</v>
      </c>
      <c r="F82" t="s">
        <v>321</v>
      </c>
      <c r="G82" t="s">
        <v>315</v>
      </c>
      <c r="H82" t="s">
        <v>314</v>
      </c>
      <c r="I82" t="s">
        <v>324</v>
      </c>
      <c r="J82" t="s">
        <v>325</v>
      </c>
    </row>
    <row r="83" spans="2:11">
      <c r="B83" s="1" t="str">
        <f>B75&amp;" - Growth"</f>
        <v>New Customers - Growth</v>
      </c>
      <c r="E83" s="208" t="e">
        <f t="shared" ref="E83:K85" si="6">E75/E$80</f>
        <v>#REF!</v>
      </c>
      <c r="F83" s="208" t="e">
        <f t="shared" si="6"/>
        <v>#REF!</v>
      </c>
      <c r="G83" s="208" t="e">
        <f t="shared" si="6"/>
        <v>#REF!</v>
      </c>
      <c r="H83" s="208" t="e">
        <f t="shared" si="6"/>
        <v>#REF!</v>
      </c>
      <c r="I83" s="208" t="e">
        <f t="shared" si="6"/>
        <v>#REF!</v>
      </c>
      <c r="J83" s="208" t="e">
        <f t="shared" si="6"/>
        <v>#REF!</v>
      </c>
      <c r="K83" s="208">
        <f t="shared" si="6"/>
        <v>0</v>
      </c>
    </row>
    <row r="84" spans="2:11">
      <c r="B84" s="1" t="str">
        <f>B76&amp;" - Growth"</f>
        <v>Existing Customers - Growth</v>
      </c>
      <c r="E84" s="208" t="e">
        <f t="shared" si="6"/>
        <v>#REF!</v>
      </c>
      <c r="F84" s="208" t="e">
        <f t="shared" si="6"/>
        <v>#REF!</v>
      </c>
      <c r="G84" s="208" t="e">
        <f t="shared" si="6"/>
        <v>#REF!</v>
      </c>
      <c r="H84" s="208" t="e">
        <f t="shared" si="6"/>
        <v>#REF!</v>
      </c>
      <c r="I84" s="208" t="e">
        <f t="shared" si="6"/>
        <v>#REF!</v>
      </c>
      <c r="J84" s="208" t="e">
        <f t="shared" si="6"/>
        <v>#REF!</v>
      </c>
      <c r="K84" s="208">
        <f t="shared" si="6"/>
        <v>0</v>
      </c>
    </row>
    <row r="85" spans="2:11">
      <c r="B85" s="1" t="str">
        <f>B77&amp;" - Growth"</f>
        <v>M&amp;A - Growth</v>
      </c>
      <c r="E85" s="208" t="e">
        <f t="shared" si="6"/>
        <v>#REF!</v>
      </c>
      <c r="F85" s="208" t="e">
        <f t="shared" si="6"/>
        <v>#REF!</v>
      </c>
      <c r="G85" s="208" t="e">
        <f t="shared" si="6"/>
        <v>#REF!</v>
      </c>
      <c r="H85" s="208" t="e">
        <f t="shared" si="6"/>
        <v>#REF!</v>
      </c>
      <c r="I85" s="208" t="e">
        <f t="shared" si="6"/>
        <v>#REF!</v>
      </c>
      <c r="J85" s="208" t="e">
        <f t="shared" si="6"/>
        <v>#REF!</v>
      </c>
      <c r="K85" s="208">
        <f t="shared" si="6"/>
        <v>0</v>
      </c>
    </row>
    <row r="87" spans="2:11">
      <c r="E87" s="208">
        <f t="shared" ref="E87:J87" si="7">F80/E80-1</f>
        <v>0.29773869346733672</v>
      </c>
      <c r="F87" s="208">
        <f t="shared" si="7"/>
        <v>0.48886737657308799</v>
      </c>
      <c r="G87" s="208">
        <f t="shared" si="7"/>
        <v>0.44083224967490242</v>
      </c>
      <c r="H87" s="208">
        <f t="shared" si="7"/>
        <v>0.57175090252707594</v>
      </c>
      <c r="I87" s="208">
        <f t="shared" si="7"/>
        <v>0.23284524834912412</v>
      </c>
      <c r="J87" s="208">
        <f t="shared" si="7"/>
        <v>0.18188169538891485</v>
      </c>
    </row>
    <row r="89" spans="2:11">
      <c r="J89" s="199">
        <v>84.5</v>
      </c>
    </row>
    <row r="90" spans="2:11">
      <c r="J90" t="e">
        <f>SUM(F75:J76)</f>
        <v>#REF!</v>
      </c>
    </row>
    <row r="91" spans="2:11">
      <c r="J91" t="e">
        <f>J89+J90</f>
        <v>#REF!</v>
      </c>
      <c r="K91" s="208" t="e">
        <f>(J91/J89)^(1/5)-1</f>
        <v>#REF!</v>
      </c>
    </row>
  </sheetData>
  <pageMargins left="0.7" right="0.7" top="0.75" bottom="0.75" header="0.3" footer="0.3"/>
  <pageSetup paperSize="9" orientation="portrait" r:id="rId1"/>
  <customProperties>
    <customPr name="Qube.Worksheet.Visibility" r:id="rId2"/>
  </customPropertie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pageSetUpPr fitToPage="1"/>
  </sheetPr>
  <dimension ref="B4:AM134"/>
  <sheetViews>
    <sheetView zoomScale="70" zoomScaleNormal="70" workbookViewId="0">
      <pane xSplit="2" ySplit="6" topLeftCell="C7" activePane="bottomRight" state="frozen"/>
      <selection pane="topRight" activeCell="D1" sqref="D1"/>
      <selection pane="bottomLeft" activeCell="A7" sqref="A7"/>
      <selection pane="bottomRight" activeCell="H64" sqref="H64"/>
    </sheetView>
  </sheetViews>
  <sheetFormatPr defaultRowHeight="12.75"/>
  <cols>
    <col min="2" max="2" width="21" customWidth="1"/>
    <col min="3" max="3" width="11.42578125" customWidth="1"/>
    <col min="4" max="4" width="14.28515625" customWidth="1"/>
    <col min="5" max="6" width="16.42578125" customWidth="1"/>
    <col min="7" max="7" width="12.5703125" customWidth="1"/>
    <col min="8" max="8" width="10.42578125" customWidth="1"/>
    <col min="9" max="9" width="11.28515625" customWidth="1"/>
    <col min="10" max="10" width="3" customWidth="1"/>
    <col min="12" max="12" width="14.28515625" customWidth="1"/>
    <col min="14" max="14" width="12.7109375" customWidth="1"/>
    <col min="15" max="15" width="15.7109375" customWidth="1"/>
    <col min="16" max="16" width="12.85546875" customWidth="1"/>
    <col min="17" max="17" width="12.42578125" customWidth="1"/>
    <col min="18" max="18" width="12.85546875" customWidth="1"/>
    <col min="19" max="19" width="11.7109375" customWidth="1"/>
    <col min="39" max="39" width="23" customWidth="1"/>
  </cols>
  <sheetData>
    <row r="4" spans="2:33">
      <c r="K4" s="1157"/>
      <c r="L4" s="1157"/>
      <c r="M4" s="1157"/>
      <c r="N4" s="1157"/>
      <c r="O4" s="1157"/>
      <c r="P4" s="1157"/>
      <c r="Q4" s="1157"/>
      <c r="R4" s="1157"/>
      <c r="S4" s="1157"/>
      <c r="T4" s="211"/>
    </row>
    <row r="5" spans="2:33" ht="13.5" customHeight="1" thickBot="1">
      <c r="B5" s="218"/>
      <c r="C5" s="218"/>
      <c r="D5" s="218"/>
      <c r="E5" s="218"/>
      <c r="F5" s="218"/>
      <c r="G5" s="218"/>
      <c r="H5" s="218"/>
      <c r="I5" s="218"/>
      <c r="J5" s="236"/>
      <c r="K5" s="1173" t="s">
        <v>473</v>
      </c>
      <c r="L5" s="1174" t="s">
        <v>474</v>
      </c>
      <c r="M5" s="1175" t="s">
        <v>455</v>
      </c>
      <c r="N5" s="1176" t="s">
        <v>484</v>
      </c>
      <c r="O5" s="1160" t="s">
        <v>424</v>
      </c>
      <c r="P5" s="1161" t="s">
        <v>426</v>
      </c>
      <c r="Q5" s="1162" t="s">
        <v>429</v>
      </c>
      <c r="R5" s="1163" t="s">
        <v>421</v>
      </c>
      <c r="S5" s="1164" t="s">
        <v>408</v>
      </c>
      <c r="T5" s="1166" t="s">
        <v>31</v>
      </c>
      <c r="V5" s="1177" t="s">
        <v>472</v>
      </c>
      <c r="W5" s="1177"/>
      <c r="X5" s="1177"/>
      <c r="Y5" s="1177"/>
      <c r="Z5" s="1172" t="s">
        <v>505</v>
      </c>
      <c r="AA5" s="1172" t="s">
        <v>510</v>
      </c>
      <c r="AB5" s="1172" t="s">
        <v>504</v>
      </c>
      <c r="AC5" s="1172" t="s">
        <v>421</v>
      </c>
      <c r="AD5" s="1172" t="s">
        <v>408</v>
      </c>
      <c r="AE5" s="1172" t="s">
        <v>31</v>
      </c>
    </row>
    <row r="6" spans="2:33" ht="38.25" customHeight="1">
      <c r="B6" s="224" t="s">
        <v>406</v>
      </c>
      <c r="C6" s="224" t="s">
        <v>477</v>
      </c>
      <c r="D6" s="224" t="s">
        <v>410</v>
      </c>
      <c r="E6" s="238" t="s">
        <v>413</v>
      </c>
      <c r="F6" s="238" t="s">
        <v>414</v>
      </c>
      <c r="G6" s="224" t="s">
        <v>271</v>
      </c>
      <c r="H6" s="224" t="s">
        <v>123</v>
      </c>
      <c r="I6" s="224" t="s">
        <v>407</v>
      </c>
      <c r="J6" s="236"/>
      <c r="K6" s="1173"/>
      <c r="L6" s="1174"/>
      <c r="M6" s="1175"/>
      <c r="N6" s="1176"/>
      <c r="O6" s="1160"/>
      <c r="P6" s="1161"/>
      <c r="Q6" s="1162"/>
      <c r="R6" s="1163"/>
      <c r="S6" s="1164"/>
      <c r="T6" s="1166"/>
      <c r="V6" s="234" t="s">
        <v>509</v>
      </c>
      <c r="W6" s="235" t="s">
        <v>508</v>
      </c>
      <c r="X6" s="234" t="s">
        <v>507</v>
      </c>
      <c r="Y6" s="234" t="s">
        <v>506</v>
      </c>
      <c r="Z6" s="1172"/>
      <c r="AA6" s="1172"/>
      <c r="AB6" s="1172"/>
      <c r="AC6" s="1172"/>
      <c r="AD6" s="1172"/>
      <c r="AE6" s="1172"/>
      <c r="AG6" s="200" t="s">
        <v>503</v>
      </c>
    </row>
    <row r="7" spans="2:33">
      <c r="B7" s="219" t="s">
        <v>498</v>
      </c>
      <c r="C7" s="220"/>
      <c r="D7" s="220"/>
      <c r="E7" s="220"/>
      <c r="F7" s="220"/>
      <c r="G7" s="220"/>
      <c r="H7" s="220"/>
      <c r="I7" s="220"/>
      <c r="K7" s="220"/>
      <c r="L7" s="220"/>
      <c r="M7" s="220"/>
      <c r="N7" s="220"/>
      <c r="O7" s="220"/>
      <c r="P7" s="220"/>
      <c r="Q7" s="220"/>
      <c r="R7" s="220"/>
      <c r="S7" s="220"/>
      <c r="T7" s="220"/>
    </row>
    <row r="8" spans="2:33" ht="18">
      <c r="B8" t="s">
        <v>471</v>
      </c>
      <c r="C8" s="214">
        <v>42494</v>
      </c>
      <c r="D8" t="s">
        <v>463</v>
      </c>
      <c r="E8" s="216">
        <f>3.4-1.5</f>
        <v>1.9</v>
      </c>
      <c r="F8" s="216">
        <v>1.5</v>
      </c>
      <c r="G8" s="216">
        <f>SUM(E8:F8)</f>
        <v>3.4</v>
      </c>
      <c r="H8" s="216">
        <v>1.5</v>
      </c>
      <c r="I8" s="217">
        <f>G8/H8</f>
        <v>2.2666666666666666</v>
      </c>
      <c r="M8" s="212" t="s">
        <v>412</v>
      </c>
      <c r="R8" s="212" t="s">
        <v>412</v>
      </c>
      <c r="V8" t="str">
        <f t="shared" ref="V8:V39" si="0">IF(K8="✓",1/$AG8*$G8,"")</f>
        <v/>
      </c>
      <c r="W8" t="str">
        <f t="shared" ref="W8:W39" si="1">IF(L8="✓",1/$AG8*$G8,"")</f>
        <v/>
      </c>
      <c r="X8">
        <f t="shared" ref="X8:X39" si="2">IF(M8="✓",1/$AG8*$G8,"")</f>
        <v>1.7</v>
      </c>
      <c r="Y8" t="str">
        <f t="shared" ref="Y8:Y39" si="3">IF(N8="✓",1/$AG8*$G8,"")</f>
        <v/>
      </c>
      <c r="Z8" t="str">
        <f t="shared" ref="Z8:Z39" si="4">IF(O8="✓",1/$AG8*$G8,"")</f>
        <v/>
      </c>
      <c r="AA8" t="str">
        <f t="shared" ref="AA8:AA39" si="5">IF(P8="✓",1/$AG8*$G8,"")</f>
        <v/>
      </c>
      <c r="AB8" t="str">
        <f t="shared" ref="AB8:AB39" si="6">IF(Q8="✓",1/$AG8*$G8,"")</f>
        <v/>
      </c>
      <c r="AC8">
        <f t="shared" ref="AC8:AC39" si="7">IF(R8="✓",1/$AG8*$G8,"")</f>
        <v>1.7</v>
      </c>
      <c r="AD8" t="str">
        <f t="shared" ref="AD8:AD39" si="8">IF(S8="✓",1/$AG8*$G8,"")</f>
        <v/>
      </c>
      <c r="AE8" t="str">
        <f t="shared" ref="AE8:AE39" si="9">IF(T8="✓",1/$AG8*$G8,"")</f>
        <v/>
      </c>
      <c r="AG8">
        <f>COUNTIF(K8:T8,"✓")</f>
        <v>2</v>
      </c>
    </row>
    <row r="9" spans="2:33" ht="25.5">
      <c r="B9" t="s">
        <v>500</v>
      </c>
      <c r="C9" s="237" t="s">
        <v>512</v>
      </c>
      <c r="D9" t="s">
        <v>501</v>
      </c>
      <c r="E9" s="216">
        <v>24.9</v>
      </c>
      <c r="F9" s="216"/>
      <c r="G9" s="216">
        <f>SUM(E9:F9)</f>
        <v>24.9</v>
      </c>
      <c r="H9" s="217">
        <v>7.392754</v>
      </c>
      <c r="I9" s="217">
        <f>G9/H9</f>
        <v>3.3681629335968704</v>
      </c>
      <c r="M9" s="212" t="s">
        <v>412</v>
      </c>
      <c r="Q9" s="212" t="s">
        <v>412</v>
      </c>
      <c r="R9" s="212"/>
      <c r="S9" s="212" t="s">
        <v>412</v>
      </c>
      <c r="V9" t="str">
        <f t="shared" si="0"/>
        <v/>
      </c>
      <c r="W9" t="str">
        <f t="shared" si="1"/>
        <v/>
      </c>
      <c r="X9">
        <f t="shared" si="2"/>
        <v>8.2999999999999989</v>
      </c>
      <c r="Y9" t="str">
        <f t="shared" si="3"/>
        <v/>
      </c>
      <c r="Z9" t="str">
        <f t="shared" si="4"/>
        <v/>
      </c>
      <c r="AA9" t="str">
        <f t="shared" si="5"/>
        <v/>
      </c>
      <c r="AB9">
        <f t="shared" si="6"/>
        <v>8.2999999999999989</v>
      </c>
      <c r="AC9" t="str">
        <f t="shared" si="7"/>
        <v/>
      </c>
      <c r="AD9">
        <f t="shared" si="8"/>
        <v>8.2999999999999989</v>
      </c>
      <c r="AE9" t="str">
        <f t="shared" si="9"/>
        <v/>
      </c>
      <c r="AG9">
        <f t="shared" ref="AG9:AG62" si="10">COUNTIF(K9:T9,"✓")</f>
        <v>3</v>
      </c>
    </row>
    <row r="10" spans="2:33" ht="18">
      <c r="B10" s="200" t="s">
        <v>502</v>
      </c>
      <c r="C10" s="214"/>
      <c r="E10" s="221">
        <f>E8+E9</f>
        <v>26.799999999999997</v>
      </c>
      <c r="F10" s="221">
        <f>F8+F9</f>
        <v>1.5</v>
      </c>
      <c r="G10" s="222">
        <f>G8+G9</f>
        <v>28.299999999999997</v>
      </c>
      <c r="H10" s="222">
        <f>H8+H9</f>
        <v>8.892754</v>
      </c>
      <c r="I10" s="222">
        <f>G10/H10</f>
        <v>3.1823662276050815</v>
      </c>
      <c r="M10" s="212"/>
      <c r="Q10" s="212"/>
      <c r="R10" s="212"/>
      <c r="S10" s="212"/>
      <c r="V10" t="str">
        <f t="shared" si="0"/>
        <v/>
      </c>
      <c r="W10" t="str">
        <f t="shared" si="1"/>
        <v/>
      </c>
      <c r="X10" t="str">
        <f t="shared" si="2"/>
        <v/>
      </c>
      <c r="Y10" t="str">
        <f t="shared" si="3"/>
        <v/>
      </c>
      <c r="Z10" t="str">
        <f t="shared" si="4"/>
        <v/>
      </c>
      <c r="AA10" t="str">
        <f t="shared" si="5"/>
        <v/>
      </c>
      <c r="AB10" t="str">
        <f t="shared" si="6"/>
        <v/>
      </c>
      <c r="AC10" t="str">
        <f t="shared" si="7"/>
        <v/>
      </c>
      <c r="AD10" t="str">
        <f t="shared" si="8"/>
        <v/>
      </c>
      <c r="AE10" t="str">
        <f t="shared" si="9"/>
        <v/>
      </c>
      <c r="AG10">
        <f t="shared" si="10"/>
        <v>0</v>
      </c>
    </row>
    <row r="11" spans="2:33">
      <c r="E11" s="216"/>
      <c r="F11" s="216"/>
      <c r="G11" s="216"/>
      <c r="H11" s="216"/>
      <c r="I11" s="216"/>
      <c r="V11" t="str">
        <f t="shared" si="0"/>
        <v/>
      </c>
      <c r="W11" t="str">
        <f t="shared" si="1"/>
        <v/>
      </c>
      <c r="X11" t="str">
        <f t="shared" si="2"/>
        <v/>
      </c>
      <c r="Y11" t="str">
        <f t="shared" si="3"/>
        <v/>
      </c>
      <c r="Z11" t="str">
        <f t="shared" si="4"/>
        <v/>
      </c>
      <c r="AA11" t="str">
        <f t="shared" si="5"/>
        <v/>
      </c>
      <c r="AB11" t="str">
        <f t="shared" si="6"/>
        <v/>
      </c>
      <c r="AC11" t="str">
        <f t="shared" si="7"/>
        <v/>
      </c>
      <c r="AD11" t="str">
        <f t="shared" si="8"/>
        <v/>
      </c>
      <c r="AE11" t="str">
        <f t="shared" si="9"/>
        <v/>
      </c>
      <c r="AG11">
        <f t="shared" si="10"/>
        <v>0</v>
      </c>
    </row>
    <row r="12" spans="2:33">
      <c r="B12" s="219" t="s">
        <v>475</v>
      </c>
      <c r="C12" s="220"/>
      <c r="D12" s="220"/>
      <c r="E12" s="231"/>
      <c r="F12" s="231"/>
      <c r="G12" s="231"/>
      <c r="H12" s="231"/>
      <c r="I12" s="231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V12" t="str">
        <f t="shared" si="0"/>
        <v/>
      </c>
      <c r="W12" t="str">
        <f t="shared" si="1"/>
        <v/>
      </c>
      <c r="X12" t="str">
        <f t="shared" si="2"/>
        <v/>
      </c>
      <c r="Y12" t="str">
        <f t="shared" si="3"/>
        <v/>
      </c>
      <c r="Z12" t="str">
        <f t="shared" si="4"/>
        <v/>
      </c>
      <c r="AA12" t="str">
        <f t="shared" si="5"/>
        <v/>
      </c>
      <c r="AB12" t="str">
        <f t="shared" si="6"/>
        <v/>
      </c>
      <c r="AC12" t="str">
        <f t="shared" si="7"/>
        <v/>
      </c>
      <c r="AD12" t="str">
        <f t="shared" si="8"/>
        <v/>
      </c>
      <c r="AE12" t="str">
        <f t="shared" si="9"/>
        <v/>
      </c>
      <c r="AG12">
        <f t="shared" si="10"/>
        <v>0</v>
      </c>
    </row>
    <row r="13" spans="2:33" ht="18">
      <c r="B13" t="s">
        <v>499</v>
      </c>
      <c r="C13" s="214">
        <v>42552</v>
      </c>
      <c r="D13" t="s">
        <v>454</v>
      </c>
      <c r="E13" s="216">
        <f>13.8+7.9</f>
        <v>21.700000000000003</v>
      </c>
      <c r="F13" s="216"/>
      <c r="G13" s="216">
        <f>SUM(E13:F13)</f>
        <v>21.700000000000003</v>
      </c>
      <c r="H13" s="217">
        <f>14.1*0.7697</f>
        <v>10.85277</v>
      </c>
      <c r="I13" s="217">
        <f>G13/H13</f>
        <v>1.9994895312440975</v>
      </c>
      <c r="L13" s="212" t="s">
        <v>412</v>
      </c>
      <c r="M13" s="212"/>
      <c r="R13" s="212"/>
      <c r="V13" t="str">
        <f t="shared" si="0"/>
        <v/>
      </c>
      <c r="W13">
        <f t="shared" si="1"/>
        <v>21.700000000000003</v>
      </c>
      <c r="X13" t="str">
        <f t="shared" si="2"/>
        <v/>
      </c>
      <c r="Y13" t="str">
        <f t="shared" si="3"/>
        <v/>
      </c>
      <c r="Z13" t="str">
        <f t="shared" si="4"/>
        <v/>
      </c>
      <c r="AA13" t="str">
        <f t="shared" si="5"/>
        <v/>
      </c>
      <c r="AB13" t="str">
        <f t="shared" si="6"/>
        <v/>
      </c>
      <c r="AC13" t="str">
        <f t="shared" si="7"/>
        <v/>
      </c>
      <c r="AD13" t="str">
        <f t="shared" si="8"/>
        <v/>
      </c>
      <c r="AE13" t="str">
        <f t="shared" si="9"/>
        <v/>
      </c>
      <c r="AG13">
        <f t="shared" si="10"/>
        <v>1</v>
      </c>
    </row>
    <row r="14" spans="2:33" ht="18">
      <c r="B14" t="s">
        <v>469</v>
      </c>
      <c r="C14" s="214">
        <v>42767</v>
      </c>
      <c r="D14" t="s">
        <v>470</v>
      </c>
      <c r="E14" s="1167">
        <v>4.8</v>
      </c>
      <c r="F14" s="1167">
        <v>3.7</v>
      </c>
      <c r="G14" s="1167">
        <f>G16-G13</f>
        <v>8.5</v>
      </c>
      <c r="H14" s="1168">
        <f>H16-H13</f>
        <v>3.5</v>
      </c>
      <c r="I14" s="1168">
        <f>G14/H14</f>
        <v>2.4285714285714284</v>
      </c>
      <c r="S14" s="212" t="s">
        <v>412</v>
      </c>
      <c r="T14" s="212"/>
      <c r="V14" t="str">
        <f t="shared" si="0"/>
        <v/>
      </c>
      <c r="W14" t="str">
        <f t="shared" si="1"/>
        <v/>
      </c>
      <c r="X14" t="str">
        <f t="shared" si="2"/>
        <v/>
      </c>
      <c r="Y14" t="str">
        <f t="shared" si="3"/>
        <v/>
      </c>
      <c r="Z14" t="str">
        <f t="shared" si="4"/>
        <v/>
      </c>
      <c r="AA14" t="str">
        <f t="shared" si="5"/>
        <v/>
      </c>
      <c r="AB14" t="str">
        <f t="shared" si="6"/>
        <v/>
      </c>
      <c r="AC14" t="str">
        <f t="shared" si="7"/>
        <v/>
      </c>
      <c r="AD14">
        <f t="shared" si="8"/>
        <v>8.5</v>
      </c>
      <c r="AE14" t="str">
        <f t="shared" si="9"/>
        <v/>
      </c>
      <c r="AG14">
        <f t="shared" si="10"/>
        <v>1</v>
      </c>
    </row>
    <row r="15" spans="2:33" ht="18">
      <c r="B15" t="s">
        <v>468</v>
      </c>
      <c r="C15" s="214">
        <v>42776</v>
      </c>
      <c r="D15" t="s">
        <v>467</v>
      </c>
      <c r="E15" s="1167"/>
      <c r="F15" s="1167"/>
      <c r="G15" s="1167"/>
      <c r="H15" s="1168"/>
      <c r="I15" s="1168"/>
      <c r="S15" s="212" t="s">
        <v>412</v>
      </c>
      <c r="T15" s="212"/>
      <c r="V15" t="str">
        <f t="shared" si="0"/>
        <v/>
      </c>
      <c r="W15" t="str">
        <f t="shared" si="1"/>
        <v/>
      </c>
      <c r="X15" t="str">
        <f t="shared" si="2"/>
        <v/>
      </c>
      <c r="Y15" t="str">
        <f t="shared" si="3"/>
        <v/>
      </c>
      <c r="Z15" t="str">
        <f t="shared" si="4"/>
        <v/>
      </c>
      <c r="AA15" t="str">
        <f t="shared" si="5"/>
        <v/>
      </c>
      <c r="AB15" t="str">
        <f t="shared" si="6"/>
        <v/>
      </c>
      <c r="AC15" t="str">
        <f t="shared" si="7"/>
        <v/>
      </c>
      <c r="AD15">
        <f t="shared" si="8"/>
        <v>0</v>
      </c>
      <c r="AE15" t="str">
        <f t="shared" si="9"/>
        <v/>
      </c>
      <c r="AG15">
        <f t="shared" si="10"/>
        <v>1</v>
      </c>
    </row>
    <row r="16" spans="2:33" ht="18">
      <c r="B16" s="200" t="s">
        <v>480</v>
      </c>
      <c r="C16" s="216"/>
      <c r="E16" s="221">
        <f>E14+E13</f>
        <v>26.500000000000004</v>
      </c>
      <c r="F16" s="221">
        <f>F14+F13</f>
        <v>3.7</v>
      </c>
      <c r="G16" s="221">
        <f>SUM(E16:F16)</f>
        <v>30.200000000000003</v>
      </c>
      <c r="H16" s="222">
        <f>3.5+14.1*0.7697</f>
        <v>14.35277</v>
      </c>
      <c r="I16" s="222">
        <f>G16/H16</f>
        <v>2.104123454914975</v>
      </c>
      <c r="S16" s="212"/>
      <c r="T16" s="212"/>
      <c r="V16" t="str">
        <f t="shared" si="0"/>
        <v/>
      </c>
      <c r="W16" t="str">
        <f t="shared" si="1"/>
        <v/>
      </c>
      <c r="X16" t="str">
        <f t="shared" si="2"/>
        <v/>
      </c>
      <c r="Y16" t="str">
        <f t="shared" si="3"/>
        <v/>
      </c>
      <c r="Z16" t="str">
        <f t="shared" si="4"/>
        <v/>
      </c>
      <c r="AA16" t="str">
        <f t="shared" si="5"/>
        <v/>
      </c>
      <c r="AB16" t="str">
        <f t="shared" si="6"/>
        <v/>
      </c>
      <c r="AC16" t="str">
        <f t="shared" si="7"/>
        <v/>
      </c>
      <c r="AD16" t="str">
        <f t="shared" si="8"/>
        <v/>
      </c>
      <c r="AE16" t="str">
        <f t="shared" si="9"/>
        <v/>
      </c>
      <c r="AG16">
        <f t="shared" si="10"/>
        <v>0</v>
      </c>
    </row>
    <row r="17" spans="2:33" ht="18">
      <c r="C17" s="214"/>
      <c r="E17" s="232"/>
      <c r="F17" s="216"/>
      <c r="G17" s="232"/>
      <c r="H17" s="232"/>
      <c r="I17" s="217"/>
      <c r="S17" s="212"/>
      <c r="T17" s="212"/>
      <c r="V17" t="str">
        <f t="shared" si="0"/>
        <v/>
      </c>
      <c r="W17" t="str">
        <f t="shared" si="1"/>
        <v/>
      </c>
      <c r="X17" t="str">
        <f t="shared" si="2"/>
        <v/>
      </c>
      <c r="Y17" t="str">
        <f t="shared" si="3"/>
        <v/>
      </c>
      <c r="Z17" t="str">
        <f t="shared" si="4"/>
        <v/>
      </c>
      <c r="AA17" t="str">
        <f t="shared" si="5"/>
        <v/>
      </c>
      <c r="AB17" t="str">
        <f t="shared" si="6"/>
        <v/>
      </c>
      <c r="AC17" t="str">
        <f t="shared" si="7"/>
        <v/>
      </c>
      <c r="AD17" t="str">
        <f t="shared" si="8"/>
        <v/>
      </c>
      <c r="AE17" t="str">
        <f t="shared" si="9"/>
        <v/>
      </c>
      <c r="AG17">
        <f t="shared" si="10"/>
        <v>0</v>
      </c>
    </row>
    <row r="18" spans="2:33">
      <c r="B18" s="219" t="s">
        <v>476</v>
      </c>
      <c r="C18" s="220"/>
      <c r="D18" s="220"/>
      <c r="E18" s="231"/>
      <c r="F18" s="231"/>
      <c r="G18" s="231"/>
      <c r="H18" s="231"/>
      <c r="I18" s="231"/>
      <c r="K18" s="220"/>
      <c r="L18" s="220"/>
      <c r="M18" s="220"/>
      <c r="N18" s="220"/>
      <c r="O18" s="220"/>
      <c r="P18" s="220"/>
      <c r="Q18" s="220"/>
      <c r="R18" s="220"/>
      <c r="S18" s="220"/>
      <c r="T18" s="220"/>
      <c r="V18" t="str">
        <f t="shared" si="0"/>
        <v/>
      </c>
      <c r="W18" t="str">
        <f t="shared" si="1"/>
        <v/>
      </c>
      <c r="X18" t="str">
        <f t="shared" si="2"/>
        <v/>
      </c>
      <c r="Y18" t="str">
        <f t="shared" si="3"/>
        <v/>
      </c>
      <c r="Z18" t="str">
        <f t="shared" si="4"/>
        <v/>
      </c>
      <c r="AA18" t="str">
        <f t="shared" si="5"/>
        <v/>
      </c>
      <c r="AB18" t="str">
        <f t="shared" si="6"/>
        <v/>
      </c>
      <c r="AC18" t="str">
        <f t="shared" si="7"/>
        <v/>
      </c>
      <c r="AD18" t="str">
        <f t="shared" si="8"/>
        <v/>
      </c>
      <c r="AE18" t="str">
        <f t="shared" si="9"/>
        <v/>
      </c>
      <c r="AG18">
        <f t="shared" si="10"/>
        <v>0</v>
      </c>
    </row>
    <row r="19" spans="2:33">
      <c r="B19" t="s">
        <v>478</v>
      </c>
      <c r="C19" s="214">
        <v>42942</v>
      </c>
      <c r="E19" s="216"/>
      <c r="F19" s="216"/>
      <c r="G19" s="216"/>
      <c r="H19" s="216"/>
      <c r="I19" s="216"/>
      <c r="V19" t="str">
        <f t="shared" si="0"/>
        <v/>
      </c>
      <c r="W19" t="str">
        <f t="shared" si="1"/>
        <v/>
      </c>
      <c r="X19" t="str">
        <f t="shared" si="2"/>
        <v/>
      </c>
      <c r="Y19" t="str">
        <f t="shared" si="3"/>
        <v/>
      </c>
      <c r="Z19" t="str">
        <f t="shared" si="4"/>
        <v/>
      </c>
      <c r="AA19" t="str">
        <f t="shared" si="5"/>
        <v/>
      </c>
      <c r="AB19" t="str">
        <f t="shared" si="6"/>
        <v/>
      </c>
      <c r="AC19" t="str">
        <f t="shared" si="7"/>
        <v/>
      </c>
      <c r="AD19" t="str">
        <f t="shared" si="8"/>
        <v/>
      </c>
      <c r="AE19" t="str">
        <f t="shared" si="9"/>
        <v/>
      </c>
      <c r="AG19">
        <f t="shared" si="10"/>
        <v>0</v>
      </c>
    </row>
    <row r="20" spans="2:33" ht="18">
      <c r="B20" t="s">
        <v>465</v>
      </c>
      <c r="C20" s="214">
        <v>42947</v>
      </c>
      <c r="D20" t="s">
        <v>464</v>
      </c>
      <c r="E20" s="216">
        <v>11.8</v>
      </c>
      <c r="F20" s="216"/>
      <c r="G20" s="216">
        <f>SUM(E20:F20)</f>
        <v>11.8</v>
      </c>
      <c r="H20" s="216">
        <v>3.4</v>
      </c>
      <c r="I20" s="217" t="s">
        <v>466</v>
      </c>
      <c r="S20" s="212" t="s">
        <v>412</v>
      </c>
      <c r="T20" s="212"/>
      <c r="V20" t="str">
        <f t="shared" si="0"/>
        <v/>
      </c>
      <c r="W20" t="str">
        <f t="shared" si="1"/>
        <v/>
      </c>
      <c r="X20" t="str">
        <f t="shared" si="2"/>
        <v/>
      </c>
      <c r="Y20" t="str">
        <f t="shared" si="3"/>
        <v/>
      </c>
      <c r="Z20" t="str">
        <f t="shared" si="4"/>
        <v/>
      </c>
      <c r="AA20" t="str">
        <f t="shared" si="5"/>
        <v/>
      </c>
      <c r="AB20" t="str">
        <f t="shared" si="6"/>
        <v/>
      </c>
      <c r="AC20" t="str">
        <f t="shared" si="7"/>
        <v/>
      </c>
      <c r="AD20">
        <f t="shared" si="8"/>
        <v>11.8</v>
      </c>
      <c r="AE20" t="str">
        <f t="shared" si="9"/>
        <v/>
      </c>
      <c r="AG20">
        <f t="shared" si="10"/>
        <v>1</v>
      </c>
    </row>
    <row r="21" spans="2:33" ht="18">
      <c r="B21" t="s">
        <v>462</v>
      </c>
      <c r="C21" s="214">
        <v>42956</v>
      </c>
      <c r="D21" t="s">
        <v>463</v>
      </c>
      <c r="E21" s="216">
        <v>6</v>
      </c>
      <c r="F21" s="216"/>
      <c r="G21" s="216">
        <f>SUM(E21:F21)</f>
        <v>6</v>
      </c>
      <c r="H21" s="216">
        <v>0.7</v>
      </c>
      <c r="I21" s="217">
        <f>G21/H21</f>
        <v>8.5714285714285712</v>
      </c>
      <c r="S21" s="212" t="s">
        <v>412</v>
      </c>
      <c r="T21" s="212"/>
      <c r="V21" t="str">
        <f t="shared" si="0"/>
        <v/>
      </c>
      <c r="W21" t="str">
        <f t="shared" si="1"/>
        <v/>
      </c>
      <c r="X21" t="str">
        <f t="shared" si="2"/>
        <v/>
      </c>
      <c r="Y21" t="str">
        <f t="shared" si="3"/>
        <v/>
      </c>
      <c r="Z21" t="str">
        <f t="shared" si="4"/>
        <v/>
      </c>
      <c r="AA21" t="str">
        <f t="shared" si="5"/>
        <v/>
      </c>
      <c r="AB21" t="str">
        <f t="shared" si="6"/>
        <v/>
      </c>
      <c r="AC21" t="str">
        <f t="shared" si="7"/>
        <v/>
      </c>
      <c r="AD21">
        <f t="shared" si="8"/>
        <v>6</v>
      </c>
      <c r="AE21" t="str">
        <f t="shared" si="9"/>
        <v/>
      </c>
      <c r="AG21">
        <f t="shared" si="10"/>
        <v>1</v>
      </c>
    </row>
    <row r="22" spans="2:33" s="210" customFormat="1" ht="25.5">
      <c r="B22" s="210" t="s">
        <v>459</v>
      </c>
      <c r="C22" s="215">
        <v>42978</v>
      </c>
      <c r="D22" s="268" t="s">
        <v>633</v>
      </c>
      <c r="E22" s="216">
        <v>3.7</v>
      </c>
      <c r="F22" s="216"/>
      <c r="G22" s="216"/>
      <c r="H22" s="216">
        <v>3</v>
      </c>
      <c r="I22" s="217" t="s">
        <v>461</v>
      </c>
      <c r="Q22" s="212" t="s">
        <v>412</v>
      </c>
      <c r="S22" s="212" t="s">
        <v>412</v>
      </c>
      <c r="T22" s="212"/>
      <c r="V22" s="210" t="str">
        <f t="shared" si="0"/>
        <v/>
      </c>
      <c r="W22" s="210" t="str">
        <f t="shared" si="1"/>
        <v/>
      </c>
      <c r="X22" s="210" t="str">
        <f t="shared" si="2"/>
        <v/>
      </c>
      <c r="Y22" s="210" t="str">
        <f t="shared" si="3"/>
        <v/>
      </c>
      <c r="Z22" s="210" t="str">
        <f t="shared" si="4"/>
        <v/>
      </c>
      <c r="AA22" s="210" t="str">
        <f t="shared" si="5"/>
        <v/>
      </c>
      <c r="AB22" s="210">
        <f t="shared" si="6"/>
        <v>0</v>
      </c>
      <c r="AC22" s="210" t="str">
        <f t="shared" si="7"/>
        <v/>
      </c>
      <c r="AD22" s="210">
        <f t="shared" si="8"/>
        <v>0</v>
      </c>
      <c r="AE22" s="210" t="str">
        <f t="shared" si="9"/>
        <v/>
      </c>
      <c r="AG22" s="210">
        <f t="shared" si="10"/>
        <v>2</v>
      </c>
    </row>
    <row r="23" spans="2:33" ht="18">
      <c r="B23" t="s">
        <v>456</v>
      </c>
      <c r="C23" s="214">
        <v>42978</v>
      </c>
      <c r="D23" t="s">
        <v>457</v>
      </c>
      <c r="E23" s="216">
        <v>5</v>
      </c>
      <c r="F23" s="216">
        <v>4</v>
      </c>
      <c r="G23" s="216">
        <f t="shared" ref="G23:G55" si="11">SUM(E23:F23)</f>
        <v>9</v>
      </c>
      <c r="H23" s="216">
        <v>3.9</v>
      </c>
      <c r="I23" s="217">
        <f>G23/H23</f>
        <v>2.3076923076923079</v>
      </c>
      <c r="K23" s="212" t="s">
        <v>412</v>
      </c>
      <c r="V23">
        <f t="shared" si="0"/>
        <v>9</v>
      </c>
      <c r="W23" t="str">
        <f t="shared" si="1"/>
        <v/>
      </c>
      <c r="X23" t="str">
        <f t="shared" si="2"/>
        <v/>
      </c>
      <c r="Y23" t="str">
        <f t="shared" si="3"/>
        <v/>
      </c>
      <c r="Z23" t="str">
        <f t="shared" si="4"/>
        <v/>
      </c>
      <c r="AA23" t="str">
        <f t="shared" si="5"/>
        <v/>
      </c>
      <c r="AB23" t="str">
        <f t="shared" si="6"/>
        <v/>
      </c>
      <c r="AC23" t="str">
        <f t="shared" si="7"/>
        <v/>
      </c>
      <c r="AD23" t="str">
        <f t="shared" si="8"/>
        <v/>
      </c>
      <c r="AE23" t="str">
        <f t="shared" si="9"/>
        <v/>
      </c>
      <c r="AG23">
        <f t="shared" si="10"/>
        <v>1</v>
      </c>
    </row>
    <row r="24" spans="2:33" ht="18">
      <c r="B24" t="s">
        <v>452</v>
      </c>
      <c r="C24" s="214">
        <v>42990</v>
      </c>
      <c r="D24" t="s">
        <v>445</v>
      </c>
      <c r="E24" s="216">
        <v>6.9</v>
      </c>
      <c r="F24" s="216"/>
      <c r="G24" s="216">
        <f>SUM(E24:F24)</f>
        <v>6.9</v>
      </c>
      <c r="H24" s="216">
        <v>2</v>
      </c>
      <c r="I24" s="217">
        <f>G24/H24</f>
        <v>3.45</v>
      </c>
      <c r="M24" s="212" t="s">
        <v>412</v>
      </c>
      <c r="V24" t="str">
        <f t="shared" si="0"/>
        <v/>
      </c>
      <c r="W24" t="str">
        <f t="shared" si="1"/>
        <v/>
      </c>
      <c r="X24">
        <f t="shared" si="2"/>
        <v>6.9</v>
      </c>
      <c r="Y24" t="str">
        <f t="shared" si="3"/>
        <v/>
      </c>
      <c r="Z24" t="str">
        <f t="shared" si="4"/>
        <v/>
      </c>
      <c r="AA24" t="str">
        <f t="shared" si="5"/>
        <v/>
      </c>
      <c r="AB24" t="str">
        <f t="shared" si="6"/>
        <v/>
      </c>
      <c r="AC24" t="str">
        <f t="shared" si="7"/>
        <v/>
      </c>
      <c r="AD24" t="str">
        <f t="shared" si="8"/>
        <v/>
      </c>
      <c r="AE24" t="str">
        <f t="shared" si="9"/>
        <v/>
      </c>
      <c r="AG24">
        <f t="shared" si="10"/>
        <v>1</v>
      </c>
    </row>
    <row r="25" spans="2:33" ht="18">
      <c r="B25" t="s">
        <v>453</v>
      </c>
      <c r="C25" s="214">
        <v>43007</v>
      </c>
      <c r="D25" t="s">
        <v>434</v>
      </c>
      <c r="E25" s="216">
        <v>11.5</v>
      </c>
      <c r="F25" s="216"/>
      <c r="G25" s="216">
        <f t="shared" si="11"/>
        <v>11.5</v>
      </c>
      <c r="H25" s="216">
        <v>4</v>
      </c>
      <c r="I25" s="217">
        <f>G25/H25</f>
        <v>2.875</v>
      </c>
      <c r="L25" s="212" t="s">
        <v>412</v>
      </c>
      <c r="V25" t="str">
        <f t="shared" si="0"/>
        <v/>
      </c>
      <c r="W25">
        <f t="shared" si="1"/>
        <v>11.5</v>
      </c>
      <c r="X25" t="str">
        <f t="shared" si="2"/>
        <v/>
      </c>
      <c r="Y25" t="str">
        <f t="shared" si="3"/>
        <v/>
      </c>
      <c r="Z25" t="str">
        <f t="shared" si="4"/>
        <v/>
      </c>
      <c r="AA25" t="str">
        <f t="shared" si="5"/>
        <v/>
      </c>
      <c r="AB25" t="str">
        <f t="shared" si="6"/>
        <v/>
      </c>
      <c r="AC25" t="str">
        <f t="shared" si="7"/>
        <v/>
      </c>
      <c r="AD25" t="str">
        <f t="shared" si="8"/>
        <v/>
      </c>
      <c r="AE25" t="str">
        <f t="shared" si="9"/>
        <v/>
      </c>
      <c r="AG25">
        <f t="shared" si="10"/>
        <v>1</v>
      </c>
    </row>
    <row r="26" spans="2:33" ht="18">
      <c r="B26" t="s">
        <v>513</v>
      </c>
      <c r="C26" s="215">
        <v>42965</v>
      </c>
      <c r="D26" t="s">
        <v>454</v>
      </c>
      <c r="E26" s="232">
        <f>432221*10/1000000</f>
        <v>4.3222100000000001</v>
      </c>
      <c r="F26" s="216"/>
      <c r="G26" s="232">
        <f>SUM(E26:F26)</f>
        <v>4.3222100000000001</v>
      </c>
      <c r="H26" s="217">
        <f>14.1*(1-0.7697)</f>
        <v>3.2472299999999992</v>
      </c>
      <c r="I26" s="217"/>
      <c r="L26" s="229" t="s">
        <v>497</v>
      </c>
      <c r="M26" s="212"/>
      <c r="V26" t="str">
        <f t="shared" si="0"/>
        <v/>
      </c>
      <c r="W26" t="str">
        <f t="shared" si="1"/>
        <v/>
      </c>
      <c r="X26" t="str">
        <f t="shared" si="2"/>
        <v/>
      </c>
      <c r="Y26" t="str">
        <f t="shared" si="3"/>
        <v/>
      </c>
      <c r="Z26" t="str">
        <f t="shared" si="4"/>
        <v/>
      </c>
      <c r="AA26" t="str">
        <f t="shared" si="5"/>
        <v/>
      </c>
      <c r="AB26" t="str">
        <f t="shared" si="6"/>
        <v/>
      </c>
      <c r="AC26" t="str">
        <f t="shared" si="7"/>
        <v/>
      </c>
      <c r="AD26" t="str">
        <f t="shared" si="8"/>
        <v/>
      </c>
      <c r="AE26" t="str">
        <f t="shared" si="9"/>
        <v/>
      </c>
      <c r="AG26">
        <f t="shared" si="10"/>
        <v>0</v>
      </c>
    </row>
    <row r="27" spans="2:33" ht="18">
      <c r="B27" t="s">
        <v>448</v>
      </c>
      <c r="C27" s="215">
        <v>43131</v>
      </c>
      <c r="D27" t="s">
        <v>451</v>
      </c>
      <c r="E27" s="216">
        <v>12.3</v>
      </c>
      <c r="F27" s="216">
        <v>4.9000000000000004</v>
      </c>
      <c r="G27" s="1158">
        <f>SUM(E27:F27)</f>
        <v>17.200000000000003</v>
      </c>
      <c r="H27" s="1158">
        <v>4.0999999999999996</v>
      </c>
      <c r="I27" s="1159">
        <f>G27/H27</f>
        <v>4.1951219512195133</v>
      </c>
      <c r="S27" s="212" t="s">
        <v>412</v>
      </c>
      <c r="T27" s="212"/>
      <c r="V27" t="str">
        <f t="shared" si="0"/>
        <v/>
      </c>
      <c r="W27" t="str">
        <f t="shared" si="1"/>
        <v/>
      </c>
      <c r="X27" t="str">
        <f t="shared" si="2"/>
        <v/>
      </c>
      <c r="Y27" t="str">
        <f t="shared" si="3"/>
        <v/>
      </c>
      <c r="Z27" t="str">
        <f t="shared" si="4"/>
        <v/>
      </c>
      <c r="AA27" t="str">
        <f t="shared" si="5"/>
        <v/>
      </c>
      <c r="AB27" t="str">
        <f t="shared" si="6"/>
        <v/>
      </c>
      <c r="AC27" t="str">
        <f t="shared" si="7"/>
        <v/>
      </c>
      <c r="AD27">
        <f t="shared" si="8"/>
        <v>17.200000000000003</v>
      </c>
      <c r="AE27" t="str">
        <f t="shared" si="9"/>
        <v/>
      </c>
      <c r="AG27">
        <f t="shared" si="10"/>
        <v>1</v>
      </c>
    </row>
    <row r="28" spans="2:33" ht="18">
      <c r="B28" t="s">
        <v>449</v>
      </c>
      <c r="C28" s="215">
        <v>43131</v>
      </c>
      <c r="D28" t="s">
        <v>450</v>
      </c>
      <c r="E28" s="216">
        <v>1.4</v>
      </c>
      <c r="F28" s="216">
        <v>1.4</v>
      </c>
      <c r="G28" s="1158"/>
      <c r="H28" s="1158"/>
      <c r="I28" s="1159"/>
      <c r="N28" s="212" t="s">
        <v>412</v>
      </c>
      <c r="S28" s="212" t="s">
        <v>412</v>
      </c>
      <c r="T28" s="212"/>
      <c r="V28" t="str">
        <f t="shared" si="0"/>
        <v/>
      </c>
      <c r="W28" t="str">
        <f t="shared" si="1"/>
        <v/>
      </c>
      <c r="X28" t="str">
        <f t="shared" si="2"/>
        <v/>
      </c>
      <c r="Y28">
        <f t="shared" si="3"/>
        <v>0</v>
      </c>
      <c r="Z28" t="str">
        <f t="shared" si="4"/>
        <v/>
      </c>
      <c r="AA28" t="str">
        <f t="shared" si="5"/>
        <v/>
      </c>
      <c r="AB28" t="str">
        <f t="shared" si="6"/>
        <v/>
      </c>
      <c r="AC28" t="str">
        <f t="shared" si="7"/>
        <v/>
      </c>
      <c r="AD28">
        <f t="shared" si="8"/>
        <v>0</v>
      </c>
      <c r="AE28" t="str">
        <f t="shared" si="9"/>
        <v/>
      </c>
      <c r="AG28">
        <f t="shared" si="10"/>
        <v>2</v>
      </c>
    </row>
    <row r="29" spans="2:33" ht="18">
      <c r="B29" t="s">
        <v>446</v>
      </c>
      <c r="C29" s="215">
        <v>43159</v>
      </c>
      <c r="D29" t="s">
        <v>447</v>
      </c>
      <c r="E29" s="216">
        <v>11.9</v>
      </c>
      <c r="F29" s="216">
        <v>5</v>
      </c>
      <c r="G29" s="216">
        <f t="shared" si="11"/>
        <v>16.899999999999999</v>
      </c>
      <c r="H29" s="216">
        <v>7.1</v>
      </c>
      <c r="I29" s="217">
        <f>G29/H29</f>
        <v>2.380281690140845</v>
      </c>
      <c r="Q29" s="212" t="s">
        <v>412</v>
      </c>
      <c r="S29" s="212" t="s">
        <v>412</v>
      </c>
      <c r="T29" s="212"/>
      <c r="V29" t="str">
        <f t="shared" si="0"/>
        <v/>
      </c>
      <c r="W29" t="str">
        <f t="shared" si="1"/>
        <v/>
      </c>
      <c r="X29" t="str">
        <f t="shared" si="2"/>
        <v/>
      </c>
      <c r="Y29" t="str">
        <f t="shared" si="3"/>
        <v/>
      </c>
      <c r="Z29" t="str">
        <f t="shared" si="4"/>
        <v/>
      </c>
      <c r="AA29" t="str">
        <f t="shared" si="5"/>
        <v/>
      </c>
      <c r="AB29">
        <f t="shared" si="6"/>
        <v>8.4499999999999993</v>
      </c>
      <c r="AC29" t="str">
        <f t="shared" si="7"/>
        <v/>
      </c>
      <c r="AD29">
        <f t="shared" si="8"/>
        <v>8.4499999999999993</v>
      </c>
      <c r="AE29" t="str">
        <f t="shared" si="9"/>
        <v/>
      </c>
      <c r="AG29">
        <f t="shared" si="10"/>
        <v>2</v>
      </c>
    </row>
    <row r="30" spans="2:33" ht="18">
      <c r="B30" t="s">
        <v>493</v>
      </c>
      <c r="C30" s="215">
        <v>43132</v>
      </c>
      <c r="E30" s="216"/>
      <c r="F30" s="216"/>
      <c r="G30" s="216"/>
      <c r="H30" s="216"/>
      <c r="I30" s="217"/>
      <c r="N30" s="212" t="s">
        <v>412</v>
      </c>
      <c r="Q30" s="212"/>
      <c r="S30" s="212"/>
      <c r="T30" s="212"/>
      <c r="V30" t="str">
        <f t="shared" si="0"/>
        <v/>
      </c>
      <c r="W30" t="str">
        <f t="shared" si="1"/>
        <v/>
      </c>
      <c r="X30" t="str">
        <f t="shared" si="2"/>
        <v/>
      </c>
      <c r="Y30">
        <f t="shared" si="3"/>
        <v>0</v>
      </c>
      <c r="Z30" t="str">
        <f t="shared" si="4"/>
        <v/>
      </c>
      <c r="AA30" t="str">
        <f t="shared" si="5"/>
        <v/>
      </c>
      <c r="AB30" t="str">
        <f t="shared" si="6"/>
        <v/>
      </c>
      <c r="AC30" t="str">
        <f t="shared" si="7"/>
        <v/>
      </c>
      <c r="AD30" t="str">
        <f t="shared" si="8"/>
        <v/>
      </c>
      <c r="AE30" t="str">
        <f t="shared" si="9"/>
        <v/>
      </c>
      <c r="AG30">
        <f t="shared" si="10"/>
        <v>1</v>
      </c>
    </row>
    <row r="31" spans="2:33" ht="18">
      <c r="B31" t="s">
        <v>444</v>
      </c>
      <c r="C31" s="215">
        <v>43190</v>
      </c>
      <c r="D31" t="s">
        <v>445</v>
      </c>
      <c r="E31" s="232">
        <v>3.2</v>
      </c>
      <c r="F31" s="232">
        <v>1.8</v>
      </c>
      <c r="G31" s="232">
        <v>5</v>
      </c>
      <c r="H31" s="232">
        <v>2</v>
      </c>
      <c r="I31" s="216">
        <f>G31/H31</f>
        <v>2.5</v>
      </c>
      <c r="N31" s="212" t="s">
        <v>412</v>
      </c>
      <c r="S31" s="212" t="s">
        <v>412</v>
      </c>
      <c r="T31" s="212"/>
      <c r="V31" t="str">
        <f t="shared" si="0"/>
        <v/>
      </c>
      <c r="W31" t="str">
        <f t="shared" si="1"/>
        <v/>
      </c>
      <c r="X31" t="str">
        <f t="shared" si="2"/>
        <v/>
      </c>
      <c r="Y31">
        <f t="shared" si="3"/>
        <v>2.5</v>
      </c>
      <c r="Z31" t="str">
        <f t="shared" si="4"/>
        <v/>
      </c>
      <c r="AA31" t="str">
        <f t="shared" si="5"/>
        <v/>
      </c>
      <c r="AB31" t="str">
        <f t="shared" si="6"/>
        <v/>
      </c>
      <c r="AC31" t="str">
        <f t="shared" si="7"/>
        <v/>
      </c>
      <c r="AD31">
        <f t="shared" si="8"/>
        <v>2.5</v>
      </c>
      <c r="AE31" t="str">
        <f t="shared" si="9"/>
        <v/>
      </c>
      <c r="AG31">
        <f t="shared" si="10"/>
        <v>2</v>
      </c>
    </row>
    <row r="32" spans="2:33" ht="18">
      <c r="B32" t="s">
        <v>439</v>
      </c>
      <c r="C32" s="1169">
        <v>43221</v>
      </c>
      <c r="D32" t="s">
        <v>442</v>
      </c>
      <c r="E32" s="1158">
        <v>10.1</v>
      </c>
      <c r="F32" s="1158">
        <v>14.9</v>
      </c>
      <c r="G32" s="1158">
        <f t="shared" si="11"/>
        <v>25</v>
      </c>
      <c r="H32" s="1158">
        <v>6.7</v>
      </c>
      <c r="I32" s="1159">
        <f>G32/H32</f>
        <v>3.7313432835820897</v>
      </c>
      <c r="Q32" s="212" t="s">
        <v>412</v>
      </c>
      <c r="S32" s="212" t="s">
        <v>412</v>
      </c>
      <c r="T32" s="212"/>
      <c r="V32" t="str">
        <f t="shared" si="0"/>
        <v/>
      </c>
      <c r="W32" t="str">
        <f t="shared" si="1"/>
        <v/>
      </c>
      <c r="X32" t="str">
        <f t="shared" si="2"/>
        <v/>
      </c>
      <c r="Y32" t="str">
        <f t="shared" si="3"/>
        <v/>
      </c>
      <c r="Z32" t="str">
        <f t="shared" si="4"/>
        <v/>
      </c>
      <c r="AA32" t="str">
        <f t="shared" si="5"/>
        <v/>
      </c>
      <c r="AB32">
        <f>IF(Q32="✓",1/$AG32*$G32,"")</f>
        <v>12.5</v>
      </c>
      <c r="AC32" t="str">
        <f t="shared" si="7"/>
        <v/>
      </c>
      <c r="AD32">
        <f t="shared" si="8"/>
        <v>12.5</v>
      </c>
      <c r="AE32" t="str">
        <f t="shared" si="9"/>
        <v/>
      </c>
      <c r="AG32">
        <f t="shared" si="10"/>
        <v>2</v>
      </c>
    </row>
    <row r="33" spans="2:33" ht="18">
      <c r="B33" t="s">
        <v>440</v>
      </c>
      <c r="C33" s="1169"/>
      <c r="D33" t="s">
        <v>443</v>
      </c>
      <c r="E33" s="1158"/>
      <c r="F33" s="1158"/>
      <c r="G33" s="1158"/>
      <c r="H33" s="1158"/>
      <c r="I33" s="1159"/>
      <c r="Q33" s="212" t="s">
        <v>412</v>
      </c>
      <c r="V33" t="str">
        <f t="shared" si="0"/>
        <v/>
      </c>
      <c r="W33" t="str">
        <f t="shared" si="1"/>
        <v/>
      </c>
      <c r="X33" t="str">
        <f t="shared" si="2"/>
        <v/>
      </c>
      <c r="Y33" t="str">
        <f t="shared" si="3"/>
        <v/>
      </c>
      <c r="Z33" t="str">
        <f t="shared" si="4"/>
        <v/>
      </c>
      <c r="AA33" t="str">
        <f t="shared" si="5"/>
        <v/>
      </c>
      <c r="AB33">
        <f t="shared" si="6"/>
        <v>0</v>
      </c>
      <c r="AC33" t="str">
        <f t="shared" si="7"/>
        <v/>
      </c>
      <c r="AD33" t="str">
        <f t="shared" si="8"/>
        <v/>
      </c>
      <c r="AE33" t="str">
        <f t="shared" si="9"/>
        <v/>
      </c>
      <c r="AG33">
        <f t="shared" si="10"/>
        <v>1</v>
      </c>
    </row>
    <row r="34" spans="2:33" ht="18">
      <c r="B34" t="s">
        <v>441</v>
      </c>
      <c r="C34" s="1169"/>
      <c r="D34" t="s">
        <v>443</v>
      </c>
      <c r="E34" s="1158"/>
      <c r="F34" s="1158"/>
      <c r="G34" s="1158"/>
      <c r="H34" s="1158"/>
      <c r="I34" s="1159"/>
      <c r="Q34" s="212" t="s">
        <v>412</v>
      </c>
      <c r="V34" t="str">
        <f t="shared" si="0"/>
        <v/>
      </c>
      <c r="W34" t="str">
        <f t="shared" si="1"/>
        <v/>
      </c>
      <c r="X34" t="str">
        <f t="shared" si="2"/>
        <v/>
      </c>
      <c r="Y34" t="str">
        <f t="shared" si="3"/>
        <v/>
      </c>
      <c r="Z34" t="str">
        <f t="shared" si="4"/>
        <v/>
      </c>
      <c r="AA34" t="str">
        <f t="shared" si="5"/>
        <v/>
      </c>
      <c r="AB34">
        <f t="shared" si="6"/>
        <v>0</v>
      </c>
      <c r="AC34" t="str">
        <f t="shared" si="7"/>
        <v/>
      </c>
      <c r="AD34" t="str">
        <f t="shared" si="8"/>
        <v/>
      </c>
      <c r="AE34" t="str">
        <f t="shared" si="9"/>
        <v/>
      </c>
      <c r="AG34">
        <f t="shared" si="10"/>
        <v>1</v>
      </c>
    </row>
    <row r="35" spans="2:33">
      <c r="B35" s="200" t="s">
        <v>479</v>
      </c>
      <c r="C35" s="216"/>
      <c r="E35" s="221">
        <v>95.9</v>
      </c>
      <c r="F35" s="221">
        <v>102.5</v>
      </c>
      <c r="G35" s="221">
        <f>SUM(E35:F35)</f>
        <v>198.4</v>
      </c>
      <c r="H35" s="221">
        <v>42.3</v>
      </c>
      <c r="I35" s="222">
        <f>G35/H35</f>
        <v>4.6903073286052015</v>
      </c>
      <c r="V35" t="str">
        <f t="shared" si="0"/>
        <v/>
      </c>
      <c r="W35" t="str">
        <f t="shared" si="1"/>
        <v/>
      </c>
      <c r="X35" t="str">
        <f t="shared" si="2"/>
        <v/>
      </c>
      <c r="Y35" t="str">
        <f t="shared" si="3"/>
        <v/>
      </c>
      <c r="Z35" t="str">
        <f t="shared" si="4"/>
        <v/>
      </c>
      <c r="AA35" t="str">
        <f t="shared" si="5"/>
        <v/>
      </c>
      <c r="AB35" t="str">
        <f t="shared" si="6"/>
        <v/>
      </c>
      <c r="AC35" t="str">
        <f t="shared" si="7"/>
        <v/>
      </c>
      <c r="AD35" t="str">
        <f t="shared" si="8"/>
        <v/>
      </c>
      <c r="AE35" t="str">
        <f t="shared" si="9"/>
        <v/>
      </c>
      <c r="AG35">
        <f t="shared" si="10"/>
        <v>0</v>
      </c>
    </row>
    <row r="36" spans="2:33">
      <c r="B36" s="200"/>
      <c r="C36" s="216"/>
      <c r="E36" s="216"/>
      <c r="F36" s="216"/>
      <c r="G36" s="216"/>
      <c r="H36" s="216"/>
      <c r="I36" s="217"/>
      <c r="V36" t="str">
        <f t="shared" si="0"/>
        <v/>
      </c>
      <c r="W36" t="str">
        <f t="shared" si="1"/>
        <v/>
      </c>
      <c r="X36" t="str">
        <f t="shared" si="2"/>
        <v/>
      </c>
      <c r="Y36" t="str">
        <f t="shared" si="3"/>
        <v/>
      </c>
      <c r="Z36" t="str">
        <f t="shared" si="4"/>
        <v/>
      </c>
      <c r="AA36" t="str">
        <f t="shared" si="5"/>
        <v/>
      </c>
      <c r="AB36" t="str">
        <f t="shared" si="6"/>
        <v/>
      </c>
      <c r="AC36" t="str">
        <f t="shared" si="7"/>
        <v/>
      </c>
      <c r="AD36" t="str">
        <f t="shared" si="8"/>
        <v/>
      </c>
      <c r="AE36" t="str">
        <f t="shared" si="9"/>
        <v/>
      </c>
      <c r="AG36">
        <f t="shared" si="10"/>
        <v>0</v>
      </c>
    </row>
    <row r="37" spans="2:33">
      <c r="B37" s="219" t="s">
        <v>481</v>
      </c>
      <c r="C37" s="220"/>
      <c r="D37" s="220"/>
      <c r="E37" s="231"/>
      <c r="F37" s="231"/>
      <c r="G37" s="231"/>
      <c r="H37" s="231"/>
      <c r="I37" s="231"/>
      <c r="K37" s="220"/>
      <c r="L37" s="220"/>
      <c r="M37" s="220"/>
      <c r="N37" s="220"/>
      <c r="O37" s="220"/>
      <c r="P37" s="220"/>
      <c r="Q37" s="220"/>
      <c r="R37" s="220"/>
      <c r="S37" s="220"/>
      <c r="T37" s="220"/>
      <c r="V37" t="str">
        <f t="shared" si="0"/>
        <v/>
      </c>
      <c r="W37" t="str">
        <f t="shared" si="1"/>
        <v/>
      </c>
      <c r="X37" t="str">
        <f t="shared" si="2"/>
        <v/>
      </c>
      <c r="Y37" t="str">
        <f t="shared" si="3"/>
        <v/>
      </c>
      <c r="Z37" t="str">
        <f t="shared" si="4"/>
        <v/>
      </c>
      <c r="AA37" t="str">
        <f t="shared" si="5"/>
        <v/>
      </c>
      <c r="AB37" t="str">
        <f t="shared" si="6"/>
        <v/>
      </c>
      <c r="AC37" t="str">
        <f t="shared" si="7"/>
        <v/>
      </c>
      <c r="AD37" t="str">
        <f t="shared" si="8"/>
        <v/>
      </c>
      <c r="AE37" t="str">
        <f t="shared" si="9"/>
        <v/>
      </c>
      <c r="AG37">
        <f t="shared" si="10"/>
        <v>0</v>
      </c>
    </row>
    <row r="38" spans="2:33" ht="18">
      <c r="B38" t="s">
        <v>438</v>
      </c>
      <c r="C38" s="215">
        <v>43283</v>
      </c>
      <c r="D38" s="223" t="s">
        <v>437</v>
      </c>
      <c r="E38" s="216">
        <v>2.9</v>
      </c>
      <c r="F38" s="216">
        <v>4.5999999999999996</v>
      </c>
      <c r="G38" s="216">
        <f t="shared" si="11"/>
        <v>7.5</v>
      </c>
      <c r="H38" s="216">
        <v>1.9</v>
      </c>
      <c r="I38" s="217">
        <f>G38/H38</f>
        <v>3.9473684210526319</v>
      </c>
      <c r="S38" s="212" t="s">
        <v>412</v>
      </c>
      <c r="T38" s="212"/>
      <c r="V38" t="str">
        <f t="shared" si="0"/>
        <v/>
      </c>
      <c r="W38" t="str">
        <f t="shared" si="1"/>
        <v/>
      </c>
      <c r="X38" t="str">
        <f t="shared" si="2"/>
        <v/>
      </c>
      <c r="Y38" t="str">
        <f t="shared" si="3"/>
        <v/>
      </c>
      <c r="Z38" t="str">
        <f t="shared" si="4"/>
        <v/>
      </c>
      <c r="AA38" t="str">
        <f t="shared" si="5"/>
        <v/>
      </c>
      <c r="AB38" t="str">
        <f t="shared" si="6"/>
        <v/>
      </c>
      <c r="AC38" t="str">
        <f t="shared" si="7"/>
        <v/>
      </c>
      <c r="AD38">
        <f t="shared" si="8"/>
        <v>7.5</v>
      </c>
      <c r="AE38" t="str">
        <f t="shared" si="9"/>
        <v/>
      </c>
      <c r="AG38">
        <f t="shared" si="10"/>
        <v>1</v>
      </c>
    </row>
    <row r="39" spans="2:33" ht="18">
      <c r="B39" t="s">
        <v>436</v>
      </c>
      <c r="C39" s="215">
        <v>43283</v>
      </c>
      <c r="D39" s="223" t="s">
        <v>434</v>
      </c>
      <c r="E39" s="216">
        <v>2.1</v>
      </c>
      <c r="F39" s="216">
        <v>1.7</v>
      </c>
      <c r="G39" s="216">
        <f t="shared" si="11"/>
        <v>3.8</v>
      </c>
      <c r="H39" s="216">
        <v>1.8</v>
      </c>
      <c r="I39" s="217">
        <f>G39/H39</f>
        <v>2.1111111111111112</v>
      </c>
      <c r="K39" s="212" t="s">
        <v>412</v>
      </c>
      <c r="L39" s="212"/>
      <c r="M39" s="212"/>
      <c r="V39">
        <f t="shared" si="0"/>
        <v>3.8</v>
      </c>
      <c r="W39" t="str">
        <f t="shared" si="1"/>
        <v/>
      </c>
      <c r="X39" t="str">
        <f t="shared" si="2"/>
        <v/>
      </c>
      <c r="Y39" t="str">
        <f t="shared" si="3"/>
        <v/>
      </c>
      <c r="Z39" t="str">
        <f t="shared" si="4"/>
        <v/>
      </c>
      <c r="AA39" t="str">
        <f t="shared" si="5"/>
        <v/>
      </c>
      <c r="AB39" t="str">
        <f t="shared" si="6"/>
        <v/>
      </c>
      <c r="AC39" t="str">
        <f t="shared" si="7"/>
        <v/>
      </c>
      <c r="AD39" t="str">
        <f t="shared" si="8"/>
        <v/>
      </c>
      <c r="AE39" t="str">
        <f t="shared" si="9"/>
        <v/>
      </c>
      <c r="AG39">
        <f t="shared" si="10"/>
        <v>1</v>
      </c>
    </row>
    <row r="40" spans="2:33" ht="18">
      <c r="B40" t="s">
        <v>435</v>
      </c>
      <c r="C40" s="215">
        <v>43283</v>
      </c>
      <c r="D40" s="223" t="s">
        <v>517</v>
      </c>
      <c r="E40" s="216">
        <v>2.5</v>
      </c>
      <c r="F40" s="216">
        <v>0.8</v>
      </c>
      <c r="G40" s="216">
        <f t="shared" si="11"/>
        <v>3.3</v>
      </c>
      <c r="H40" s="216">
        <v>0.9</v>
      </c>
      <c r="I40" s="217">
        <f>G40/H40</f>
        <v>3.6666666666666665</v>
      </c>
      <c r="S40" s="212" t="s">
        <v>412</v>
      </c>
      <c r="T40" s="212"/>
      <c r="V40" t="str">
        <f t="shared" ref="V40:V62" si="12">IF(K40="✓",1/$AG40*$G40,"")</f>
        <v/>
      </c>
      <c r="W40" t="str">
        <f t="shared" ref="W40:W62" si="13">IF(L40="✓",1/$AG40*$G40,"")</f>
        <v/>
      </c>
      <c r="X40" t="str">
        <f t="shared" ref="X40:X62" si="14">IF(M40="✓",1/$AG40*$G40,"")</f>
        <v/>
      </c>
      <c r="Y40" t="str">
        <f t="shared" ref="Y40:Y62" si="15">IF(N40="✓",1/$AG40*$G40,"")</f>
        <v/>
      </c>
      <c r="Z40" t="str">
        <f t="shared" ref="Z40:Z62" si="16">IF(O40="✓",1/$AG40*$G40,"")</f>
        <v/>
      </c>
      <c r="AA40" t="str">
        <f t="shared" ref="AA40:AA62" si="17">IF(P40="✓",1/$AG40*$G40,"")</f>
        <v/>
      </c>
      <c r="AB40" t="str">
        <f t="shared" ref="AB40:AB62" si="18">IF(Q40="✓",1/$AG40*$G40,"")</f>
        <v/>
      </c>
      <c r="AC40" t="str">
        <f t="shared" ref="AC40:AC62" si="19">IF(R40="✓",1/$AG40*$G40,"")</f>
        <v/>
      </c>
      <c r="AD40">
        <f t="shared" ref="AD40:AD62" si="20">IF(S40="✓",1/$AG40*$G40,"")</f>
        <v>3.3</v>
      </c>
      <c r="AE40" t="str">
        <f t="shared" ref="AE40:AE62" si="21">IF(T40="✓",1/$AG40*$G40,"")</f>
        <v/>
      </c>
      <c r="AG40">
        <f t="shared" si="10"/>
        <v>1</v>
      </c>
    </row>
    <row r="41" spans="2:33" ht="18">
      <c r="B41" t="s">
        <v>433</v>
      </c>
      <c r="C41" s="215">
        <v>43283</v>
      </c>
      <c r="D41" s="223" t="s">
        <v>434</v>
      </c>
      <c r="E41" s="216">
        <v>37</v>
      </c>
      <c r="F41" s="216">
        <v>22.4</v>
      </c>
      <c r="G41" s="216">
        <f t="shared" si="11"/>
        <v>59.4</v>
      </c>
      <c r="H41" s="216">
        <v>9.3000000000000007</v>
      </c>
      <c r="I41" s="217">
        <f>G41/H41</f>
        <v>6.387096774193548</v>
      </c>
      <c r="P41" s="212" t="s">
        <v>412</v>
      </c>
      <c r="V41" t="str">
        <f t="shared" si="12"/>
        <v/>
      </c>
      <c r="W41" t="str">
        <f t="shared" si="13"/>
        <v/>
      </c>
      <c r="X41" t="str">
        <f t="shared" si="14"/>
        <v/>
      </c>
      <c r="Y41" t="str">
        <f t="shared" si="15"/>
        <v/>
      </c>
      <c r="Z41" t="str">
        <f t="shared" si="16"/>
        <v/>
      </c>
      <c r="AA41">
        <f t="shared" si="17"/>
        <v>59.4</v>
      </c>
      <c r="AB41" t="str">
        <f t="shared" si="18"/>
        <v/>
      </c>
      <c r="AC41" t="str">
        <f t="shared" si="19"/>
        <v/>
      </c>
      <c r="AD41" t="str">
        <f t="shared" si="20"/>
        <v/>
      </c>
      <c r="AE41" t="str">
        <f t="shared" si="21"/>
        <v/>
      </c>
      <c r="AG41">
        <f t="shared" si="10"/>
        <v>1</v>
      </c>
    </row>
    <row r="42" spans="2:33" ht="18">
      <c r="B42" t="s">
        <v>489</v>
      </c>
      <c r="C42" s="215">
        <v>43362</v>
      </c>
      <c r="D42" s="223" t="s">
        <v>467</v>
      </c>
      <c r="E42" s="216"/>
      <c r="F42" s="216"/>
      <c r="G42" s="216"/>
      <c r="H42" s="216"/>
      <c r="I42" s="217"/>
      <c r="P42" s="212"/>
      <c r="S42" s="212" t="s">
        <v>412</v>
      </c>
      <c r="T42" s="212"/>
      <c r="V42" t="str">
        <f t="shared" si="12"/>
        <v/>
      </c>
      <c r="W42" t="str">
        <f t="shared" si="13"/>
        <v/>
      </c>
      <c r="X42" t="str">
        <f t="shared" si="14"/>
        <v/>
      </c>
      <c r="Y42" t="str">
        <f t="shared" si="15"/>
        <v/>
      </c>
      <c r="Z42" t="str">
        <f t="shared" si="16"/>
        <v/>
      </c>
      <c r="AA42" t="str">
        <f t="shared" si="17"/>
        <v/>
      </c>
      <c r="AB42" t="str">
        <f t="shared" si="18"/>
        <v/>
      </c>
      <c r="AC42" t="str">
        <f t="shared" si="19"/>
        <v/>
      </c>
      <c r="AD42">
        <f t="shared" si="20"/>
        <v>0</v>
      </c>
      <c r="AE42" t="str">
        <f t="shared" si="21"/>
        <v/>
      </c>
      <c r="AG42">
        <f t="shared" si="10"/>
        <v>1</v>
      </c>
    </row>
    <row r="43" spans="2:33" ht="18">
      <c r="B43" t="s">
        <v>430</v>
      </c>
      <c r="C43" s="215">
        <v>43321</v>
      </c>
      <c r="D43" s="223" t="s">
        <v>431</v>
      </c>
      <c r="E43" s="216">
        <v>25</v>
      </c>
      <c r="F43" s="216">
        <v>21.9</v>
      </c>
      <c r="G43" s="216">
        <f t="shared" si="11"/>
        <v>46.9</v>
      </c>
      <c r="H43" s="216">
        <v>8.9</v>
      </c>
      <c r="I43" s="217">
        <f>G43/H43</f>
        <v>5.2696629213483144</v>
      </c>
      <c r="S43" s="212" t="s">
        <v>412</v>
      </c>
      <c r="T43" s="212"/>
      <c r="V43" t="str">
        <f t="shared" si="12"/>
        <v/>
      </c>
      <c r="W43" t="str">
        <f t="shared" si="13"/>
        <v/>
      </c>
      <c r="X43" t="str">
        <f t="shared" si="14"/>
        <v/>
      </c>
      <c r="Y43" t="str">
        <f t="shared" si="15"/>
        <v/>
      </c>
      <c r="Z43" t="str">
        <f t="shared" si="16"/>
        <v/>
      </c>
      <c r="AA43" t="str">
        <f t="shared" si="17"/>
        <v/>
      </c>
      <c r="AB43" t="str">
        <f t="shared" si="18"/>
        <v/>
      </c>
      <c r="AC43" t="str">
        <f t="shared" si="19"/>
        <v/>
      </c>
      <c r="AD43">
        <f t="shared" si="20"/>
        <v>46.9</v>
      </c>
      <c r="AE43" t="str">
        <f t="shared" si="21"/>
        <v/>
      </c>
      <c r="AG43">
        <f t="shared" si="10"/>
        <v>1</v>
      </c>
    </row>
    <row r="44" spans="2:33" ht="18">
      <c r="B44" t="s">
        <v>492</v>
      </c>
      <c r="C44" s="215">
        <v>43374</v>
      </c>
      <c r="D44" s="223" t="s">
        <v>494</v>
      </c>
      <c r="E44" s="216">
        <v>40.9</v>
      </c>
      <c r="F44" s="216">
        <v>27.7</v>
      </c>
      <c r="G44" s="216">
        <f t="shared" si="11"/>
        <v>68.599999999999994</v>
      </c>
      <c r="H44" s="216">
        <v>11.4</v>
      </c>
      <c r="I44" s="217">
        <f>G44/H44</f>
        <v>6.0175438596491224</v>
      </c>
      <c r="K44" s="212" t="s">
        <v>412</v>
      </c>
      <c r="S44" s="212"/>
      <c r="V44">
        <f t="shared" si="12"/>
        <v>68.599999999999994</v>
      </c>
      <c r="W44" t="str">
        <f t="shared" si="13"/>
        <v/>
      </c>
      <c r="X44" t="str">
        <f t="shared" si="14"/>
        <v/>
      </c>
      <c r="Y44" t="str">
        <f t="shared" si="15"/>
        <v/>
      </c>
      <c r="Z44" t="str">
        <f t="shared" si="16"/>
        <v/>
      </c>
      <c r="AA44" t="str">
        <f t="shared" si="17"/>
        <v/>
      </c>
      <c r="AB44" t="str">
        <f t="shared" si="18"/>
        <v/>
      </c>
      <c r="AC44" t="str">
        <f t="shared" si="19"/>
        <v/>
      </c>
      <c r="AD44" t="str">
        <f t="shared" si="20"/>
        <v/>
      </c>
      <c r="AE44" t="str">
        <f t="shared" si="21"/>
        <v/>
      </c>
      <c r="AG44">
        <f t="shared" si="10"/>
        <v>1</v>
      </c>
    </row>
    <row r="45" spans="2:33" ht="18">
      <c r="B45" t="s">
        <v>491</v>
      </c>
      <c r="C45" s="215">
        <v>43381</v>
      </c>
      <c r="D45" s="223" t="s">
        <v>463</v>
      </c>
      <c r="E45" s="216"/>
      <c r="F45" s="216"/>
      <c r="G45" s="216"/>
      <c r="H45" s="216"/>
      <c r="I45" s="217"/>
      <c r="S45" s="212"/>
      <c r="T45" s="212" t="s">
        <v>412</v>
      </c>
      <c r="V45" t="str">
        <f t="shared" si="12"/>
        <v/>
      </c>
      <c r="W45" t="str">
        <f t="shared" si="13"/>
        <v/>
      </c>
      <c r="X45" t="str">
        <f t="shared" si="14"/>
        <v/>
      </c>
      <c r="Y45" t="str">
        <f t="shared" si="15"/>
        <v/>
      </c>
      <c r="Z45" t="str">
        <f t="shared" si="16"/>
        <v/>
      </c>
      <c r="AA45" t="str">
        <f t="shared" si="17"/>
        <v/>
      </c>
      <c r="AB45" t="str">
        <f t="shared" si="18"/>
        <v/>
      </c>
      <c r="AC45" t="str">
        <f t="shared" si="19"/>
        <v/>
      </c>
      <c r="AD45" t="str">
        <f t="shared" si="20"/>
        <v/>
      </c>
      <c r="AE45">
        <f t="shared" si="21"/>
        <v>0</v>
      </c>
      <c r="AG45">
        <f t="shared" si="10"/>
        <v>1</v>
      </c>
    </row>
    <row r="46" spans="2:33" ht="18">
      <c r="B46" t="s">
        <v>428</v>
      </c>
      <c r="C46" s="215">
        <v>43405</v>
      </c>
      <c r="D46" s="223" t="s">
        <v>432</v>
      </c>
      <c r="E46" s="216">
        <v>3.6</v>
      </c>
      <c r="F46" s="216">
        <v>1.4</v>
      </c>
      <c r="G46" s="216">
        <f t="shared" si="11"/>
        <v>5</v>
      </c>
      <c r="H46" s="216">
        <v>1.8</v>
      </c>
      <c r="I46" s="217">
        <f t="shared" ref="I46:I51" si="22">G46/H46</f>
        <v>2.7777777777777777</v>
      </c>
      <c r="N46" s="212" t="s">
        <v>412</v>
      </c>
      <c r="Q46" s="212" t="s">
        <v>412</v>
      </c>
      <c r="S46" s="212" t="s">
        <v>412</v>
      </c>
      <c r="T46" s="212"/>
      <c r="V46" t="str">
        <f t="shared" si="12"/>
        <v/>
      </c>
      <c r="W46" t="str">
        <f t="shared" si="13"/>
        <v/>
      </c>
      <c r="X46" t="str">
        <f t="shared" si="14"/>
        <v/>
      </c>
      <c r="Y46">
        <f t="shared" si="15"/>
        <v>1.6666666666666665</v>
      </c>
      <c r="Z46" t="str">
        <f t="shared" si="16"/>
        <v/>
      </c>
      <c r="AA46" t="str">
        <f t="shared" si="17"/>
        <v/>
      </c>
      <c r="AB46">
        <f t="shared" si="18"/>
        <v>1.6666666666666665</v>
      </c>
      <c r="AC46" t="str">
        <f t="shared" si="19"/>
        <v/>
      </c>
      <c r="AD46">
        <f t="shared" si="20"/>
        <v>1.6666666666666665</v>
      </c>
      <c r="AE46" t="str">
        <f t="shared" si="21"/>
        <v/>
      </c>
      <c r="AG46">
        <f t="shared" si="10"/>
        <v>3</v>
      </c>
    </row>
    <row r="47" spans="2:33" ht="18">
      <c r="B47" t="s">
        <v>427</v>
      </c>
      <c r="C47" s="215">
        <v>43405</v>
      </c>
      <c r="D47" s="223" t="s">
        <v>463</v>
      </c>
      <c r="E47" s="216">
        <v>20</v>
      </c>
      <c r="F47" s="216">
        <v>35</v>
      </c>
      <c r="G47" s="216">
        <f t="shared" si="11"/>
        <v>55</v>
      </c>
      <c r="H47" s="216">
        <v>7.9</v>
      </c>
      <c r="I47" s="217">
        <f t="shared" si="22"/>
        <v>6.962025316455696</v>
      </c>
      <c r="P47" s="212" t="s">
        <v>412</v>
      </c>
      <c r="Q47" s="212"/>
      <c r="V47" t="str">
        <f t="shared" si="12"/>
        <v/>
      </c>
      <c r="W47" t="str">
        <f t="shared" si="13"/>
        <v/>
      </c>
      <c r="X47" t="str">
        <f t="shared" si="14"/>
        <v/>
      </c>
      <c r="Y47" t="str">
        <f t="shared" si="15"/>
        <v/>
      </c>
      <c r="Z47" t="str">
        <f t="shared" si="16"/>
        <v/>
      </c>
      <c r="AA47">
        <f t="shared" si="17"/>
        <v>55</v>
      </c>
      <c r="AB47" t="str">
        <f t="shared" si="18"/>
        <v/>
      </c>
      <c r="AC47" t="str">
        <f t="shared" si="19"/>
        <v/>
      </c>
      <c r="AD47" t="str">
        <f t="shared" si="20"/>
        <v/>
      </c>
      <c r="AE47" t="str">
        <f t="shared" si="21"/>
        <v/>
      </c>
      <c r="AG47">
        <f t="shared" si="10"/>
        <v>1</v>
      </c>
    </row>
    <row r="48" spans="2:33" ht="18">
      <c r="B48" t="s">
        <v>425</v>
      </c>
      <c r="C48" s="215">
        <v>43405</v>
      </c>
      <c r="D48" s="223" t="s">
        <v>490</v>
      </c>
      <c r="E48" s="216">
        <v>1.8</v>
      </c>
      <c r="F48" s="216">
        <v>1.8</v>
      </c>
      <c r="G48" s="216">
        <f t="shared" si="11"/>
        <v>3.6</v>
      </c>
      <c r="H48" s="216">
        <v>2</v>
      </c>
      <c r="I48" s="217">
        <f t="shared" si="22"/>
        <v>1.8</v>
      </c>
      <c r="S48" s="212" t="s">
        <v>412</v>
      </c>
      <c r="T48" s="212"/>
      <c r="V48" t="str">
        <f t="shared" si="12"/>
        <v/>
      </c>
      <c r="W48" t="str">
        <f t="shared" si="13"/>
        <v/>
      </c>
      <c r="X48" t="str">
        <f t="shared" si="14"/>
        <v/>
      </c>
      <c r="Y48" t="str">
        <f t="shared" si="15"/>
        <v/>
      </c>
      <c r="Z48" t="str">
        <f t="shared" si="16"/>
        <v/>
      </c>
      <c r="AA48" t="str">
        <f t="shared" si="17"/>
        <v/>
      </c>
      <c r="AB48" t="str">
        <f t="shared" si="18"/>
        <v/>
      </c>
      <c r="AC48" t="str">
        <f t="shared" si="19"/>
        <v/>
      </c>
      <c r="AD48">
        <f t="shared" si="20"/>
        <v>3.6</v>
      </c>
      <c r="AE48" t="str">
        <f t="shared" si="21"/>
        <v/>
      </c>
      <c r="AG48">
        <f t="shared" si="10"/>
        <v>1</v>
      </c>
    </row>
    <row r="49" spans="2:33" ht="18">
      <c r="B49" t="s">
        <v>423</v>
      </c>
      <c r="C49" s="215">
        <v>43556</v>
      </c>
      <c r="D49" s="223" t="s">
        <v>488</v>
      </c>
      <c r="E49" s="216">
        <v>92</v>
      </c>
      <c r="F49" s="216"/>
      <c r="G49" s="216">
        <f t="shared" si="11"/>
        <v>92</v>
      </c>
      <c r="H49" s="216">
        <v>14.4</v>
      </c>
      <c r="I49" s="217">
        <f t="shared" si="22"/>
        <v>6.3888888888888884</v>
      </c>
      <c r="O49" s="212" t="s">
        <v>412</v>
      </c>
      <c r="P49" s="212"/>
      <c r="Q49" s="212"/>
      <c r="V49" t="str">
        <f t="shared" si="12"/>
        <v/>
      </c>
      <c r="W49" t="str">
        <f t="shared" si="13"/>
        <v/>
      </c>
      <c r="X49" t="str">
        <f t="shared" si="14"/>
        <v/>
      </c>
      <c r="Y49" t="str">
        <f t="shared" si="15"/>
        <v/>
      </c>
      <c r="Z49">
        <f t="shared" si="16"/>
        <v>92</v>
      </c>
      <c r="AA49" t="str">
        <f t="shared" si="17"/>
        <v/>
      </c>
      <c r="AB49" t="str">
        <f t="shared" si="18"/>
        <v/>
      </c>
      <c r="AC49" t="str">
        <f t="shared" si="19"/>
        <v/>
      </c>
      <c r="AD49" t="str">
        <f t="shared" si="20"/>
        <v/>
      </c>
      <c r="AE49" t="str">
        <f t="shared" si="21"/>
        <v/>
      </c>
      <c r="AG49">
        <f t="shared" si="10"/>
        <v>1</v>
      </c>
    </row>
    <row r="50" spans="2:33" ht="18">
      <c r="B50" t="s">
        <v>422</v>
      </c>
      <c r="C50" s="215">
        <v>43586</v>
      </c>
      <c r="D50" s="223" t="s">
        <v>490</v>
      </c>
      <c r="E50" s="216">
        <v>12</v>
      </c>
      <c r="F50" s="216">
        <v>11.2</v>
      </c>
      <c r="G50" s="216">
        <f t="shared" si="11"/>
        <v>23.2</v>
      </c>
      <c r="H50" s="216">
        <v>3.5</v>
      </c>
      <c r="I50" s="217">
        <f t="shared" si="22"/>
        <v>6.6285714285714281</v>
      </c>
      <c r="R50" s="212" t="s">
        <v>412</v>
      </c>
      <c r="V50" t="str">
        <f t="shared" si="12"/>
        <v/>
      </c>
      <c r="W50" t="str">
        <f t="shared" si="13"/>
        <v/>
      </c>
      <c r="X50" t="str">
        <f t="shared" si="14"/>
        <v/>
      </c>
      <c r="Y50" t="str">
        <f t="shared" si="15"/>
        <v/>
      </c>
      <c r="Z50" t="str">
        <f t="shared" si="16"/>
        <v/>
      </c>
      <c r="AA50" t="str">
        <f t="shared" si="17"/>
        <v/>
      </c>
      <c r="AB50" t="str">
        <f t="shared" si="18"/>
        <v/>
      </c>
      <c r="AC50">
        <f t="shared" si="19"/>
        <v>23.2</v>
      </c>
      <c r="AD50" t="str">
        <f t="shared" si="20"/>
        <v/>
      </c>
      <c r="AE50" t="str">
        <f t="shared" si="21"/>
        <v/>
      </c>
      <c r="AG50">
        <f t="shared" si="10"/>
        <v>1</v>
      </c>
    </row>
    <row r="51" spans="2:33" ht="18">
      <c r="B51" s="200" t="s">
        <v>482</v>
      </c>
      <c r="C51" s="216"/>
      <c r="E51" s="221">
        <v>159</v>
      </c>
      <c r="F51" s="221">
        <v>141.1</v>
      </c>
      <c r="G51" s="221">
        <f>SUM(E51:F51)</f>
        <v>300.10000000000002</v>
      </c>
      <c r="H51" s="221">
        <v>45.3</v>
      </c>
      <c r="I51" s="222">
        <f t="shared" si="22"/>
        <v>6.6247240618101557</v>
      </c>
      <c r="R51" s="212"/>
      <c r="V51" t="str">
        <f t="shared" si="12"/>
        <v/>
      </c>
      <c r="W51" t="str">
        <f t="shared" si="13"/>
        <v/>
      </c>
      <c r="X51" t="str">
        <f t="shared" si="14"/>
        <v/>
      </c>
      <c r="Y51" t="str">
        <f t="shared" si="15"/>
        <v/>
      </c>
      <c r="Z51" t="str">
        <f t="shared" si="16"/>
        <v/>
      </c>
      <c r="AA51" t="str">
        <f t="shared" si="17"/>
        <v/>
      </c>
      <c r="AB51" t="str">
        <f t="shared" si="18"/>
        <v/>
      </c>
      <c r="AC51" t="str">
        <f t="shared" si="19"/>
        <v/>
      </c>
      <c r="AD51" t="str">
        <f t="shared" si="20"/>
        <v/>
      </c>
      <c r="AE51" t="str">
        <f t="shared" si="21"/>
        <v/>
      </c>
      <c r="AG51">
        <f t="shared" si="10"/>
        <v>0</v>
      </c>
    </row>
    <row r="52" spans="2:33" ht="18.75" customHeight="1">
      <c r="C52" s="215"/>
      <c r="E52" s="216"/>
      <c r="F52" s="216"/>
      <c r="G52" s="216"/>
      <c r="H52" s="216"/>
      <c r="I52" s="217"/>
      <c r="R52" s="212"/>
      <c r="V52" t="str">
        <f t="shared" si="12"/>
        <v/>
      </c>
      <c r="W52" t="str">
        <f t="shared" si="13"/>
        <v/>
      </c>
      <c r="X52" t="str">
        <f t="shared" si="14"/>
        <v/>
      </c>
      <c r="Y52" t="str">
        <f t="shared" si="15"/>
        <v/>
      </c>
      <c r="Z52" t="str">
        <f t="shared" si="16"/>
        <v/>
      </c>
      <c r="AA52" t="str">
        <f t="shared" si="17"/>
        <v/>
      </c>
      <c r="AB52" t="str">
        <f t="shared" si="18"/>
        <v/>
      </c>
      <c r="AC52" t="str">
        <f t="shared" si="19"/>
        <v/>
      </c>
      <c r="AD52" t="str">
        <f t="shared" si="20"/>
        <v/>
      </c>
      <c r="AE52" t="str">
        <f t="shared" si="21"/>
        <v/>
      </c>
      <c r="AG52">
        <f t="shared" si="10"/>
        <v>0</v>
      </c>
    </row>
    <row r="53" spans="2:33">
      <c r="B53" s="219" t="s">
        <v>329</v>
      </c>
      <c r="C53" s="220"/>
      <c r="D53" s="220"/>
      <c r="E53" s="231"/>
      <c r="F53" s="231"/>
      <c r="G53" s="231"/>
      <c r="H53" s="231"/>
      <c r="I53" s="231"/>
      <c r="K53" s="220"/>
      <c r="L53" s="220"/>
      <c r="M53" s="220"/>
      <c r="N53" s="220"/>
      <c r="O53" s="220"/>
      <c r="P53" s="220"/>
      <c r="Q53" s="220"/>
      <c r="R53" s="220"/>
      <c r="S53" s="220"/>
      <c r="T53" s="220"/>
      <c r="V53" t="str">
        <f t="shared" si="12"/>
        <v/>
      </c>
      <c r="W53" t="str">
        <f t="shared" si="13"/>
        <v/>
      </c>
      <c r="X53" t="str">
        <f t="shared" si="14"/>
        <v/>
      </c>
      <c r="Y53" t="str">
        <f t="shared" si="15"/>
        <v/>
      </c>
      <c r="Z53" t="str">
        <f t="shared" si="16"/>
        <v/>
      </c>
      <c r="AA53" t="str">
        <f t="shared" si="17"/>
        <v/>
      </c>
      <c r="AB53" t="str">
        <f t="shared" si="18"/>
        <v/>
      </c>
      <c r="AC53" t="str">
        <f t="shared" si="19"/>
        <v/>
      </c>
      <c r="AD53" t="str">
        <f t="shared" si="20"/>
        <v/>
      </c>
      <c r="AE53" t="str">
        <f t="shared" si="21"/>
        <v/>
      </c>
      <c r="AG53">
        <f t="shared" si="10"/>
        <v>0</v>
      </c>
    </row>
    <row r="54" spans="2:33" ht="18">
      <c r="B54" s="210" t="s">
        <v>415</v>
      </c>
      <c r="C54" s="215">
        <v>43724</v>
      </c>
      <c r="D54" s="210" t="s">
        <v>434</v>
      </c>
      <c r="E54" s="216"/>
      <c r="F54" s="216"/>
      <c r="G54" s="216"/>
      <c r="H54" s="216"/>
      <c r="I54" s="217"/>
      <c r="K54" s="212"/>
      <c r="S54" s="212" t="s">
        <v>412</v>
      </c>
      <c r="T54" s="212"/>
      <c r="V54" t="str">
        <f t="shared" si="12"/>
        <v/>
      </c>
      <c r="W54" t="str">
        <f t="shared" si="13"/>
        <v/>
      </c>
      <c r="X54" t="str">
        <f t="shared" si="14"/>
        <v/>
      </c>
      <c r="Y54" t="str">
        <f t="shared" si="15"/>
        <v/>
      </c>
      <c r="Z54" t="str">
        <f t="shared" si="16"/>
        <v/>
      </c>
      <c r="AA54" t="str">
        <f t="shared" si="17"/>
        <v/>
      </c>
      <c r="AB54" t="str">
        <f t="shared" si="18"/>
        <v/>
      </c>
      <c r="AC54" t="str">
        <f t="shared" si="19"/>
        <v/>
      </c>
      <c r="AD54">
        <f t="shared" si="20"/>
        <v>0</v>
      </c>
      <c r="AE54" t="str">
        <f t="shared" si="21"/>
        <v/>
      </c>
      <c r="AG54">
        <f t="shared" si="10"/>
        <v>1</v>
      </c>
    </row>
    <row r="55" spans="2:33" ht="18">
      <c r="B55" s="210" t="s">
        <v>416</v>
      </c>
      <c r="C55" s="215">
        <v>43739</v>
      </c>
      <c r="D55" s="210" t="s">
        <v>434</v>
      </c>
      <c r="E55" s="216">
        <v>4.4000000000000004</v>
      </c>
      <c r="F55" s="216">
        <v>2.7</v>
      </c>
      <c r="G55" s="216">
        <f t="shared" si="11"/>
        <v>7.1000000000000005</v>
      </c>
      <c r="H55" s="216">
        <v>1.3</v>
      </c>
      <c r="I55" s="217">
        <f>G55/H55</f>
        <v>5.4615384615384617</v>
      </c>
      <c r="K55" s="212"/>
      <c r="N55" s="212" t="s">
        <v>412</v>
      </c>
      <c r="V55" t="str">
        <f t="shared" si="12"/>
        <v/>
      </c>
      <c r="W55" t="str">
        <f t="shared" si="13"/>
        <v/>
      </c>
      <c r="X55" t="str">
        <f t="shared" si="14"/>
        <v/>
      </c>
      <c r="Y55">
        <f t="shared" si="15"/>
        <v>7.1000000000000005</v>
      </c>
      <c r="Z55" t="str">
        <f t="shared" si="16"/>
        <v/>
      </c>
      <c r="AA55" t="str">
        <f t="shared" si="17"/>
        <v/>
      </c>
      <c r="AB55" t="str">
        <f t="shared" si="18"/>
        <v/>
      </c>
      <c r="AC55" t="str">
        <f t="shared" si="19"/>
        <v/>
      </c>
      <c r="AD55" t="str">
        <f t="shared" si="20"/>
        <v/>
      </c>
      <c r="AE55" t="str">
        <f t="shared" si="21"/>
        <v/>
      </c>
      <c r="AG55">
        <f t="shared" si="10"/>
        <v>1</v>
      </c>
    </row>
    <row r="56" spans="2:33" ht="18">
      <c r="B56" s="210" t="s">
        <v>417</v>
      </c>
      <c r="C56" s="215">
        <v>43830</v>
      </c>
      <c r="D56" s="210" t="s">
        <v>485</v>
      </c>
      <c r="E56" s="216">
        <v>13.2</v>
      </c>
      <c r="F56" s="216">
        <v>7</v>
      </c>
      <c r="G56" s="216">
        <f>SUM(E56:F56)</f>
        <v>20.2</v>
      </c>
      <c r="H56" s="216">
        <v>7.3</v>
      </c>
      <c r="I56" s="217">
        <f>G56/H56</f>
        <v>2.7671232876712328</v>
      </c>
      <c r="K56" s="212"/>
      <c r="S56" s="212" t="s">
        <v>412</v>
      </c>
      <c r="T56" s="212"/>
      <c r="V56" t="str">
        <f t="shared" si="12"/>
        <v/>
      </c>
      <c r="W56" t="str">
        <f t="shared" si="13"/>
        <v/>
      </c>
      <c r="X56" t="str">
        <f t="shared" si="14"/>
        <v/>
      </c>
      <c r="Y56" t="str">
        <f t="shared" si="15"/>
        <v/>
      </c>
      <c r="Z56" t="str">
        <f t="shared" si="16"/>
        <v/>
      </c>
      <c r="AA56" t="str">
        <f t="shared" si="17"/>
        <v/>
      </c>
      <c r="AB56" t="str">
        <f t="shared" si="18"/>
        <v/>
      </c>
      <c r="AC56" t="str">
        <f t="shared" si="19"/>
        <v/>
      </c>
      <c r="AD56">
        <f t="shared" si="20"/>
        <v>20.2</v>
      </c>
      <c r="AE56" t="str">
        <f t="shared" si="21"/>
        <v/>
      </c>
      <c r="AG56">
        <f t="shared" si="10"/>
        <v>1</v>
      </c>
    </row>
    <row r="57" spans="2:33" ht="18">
      <c r="B57" s="210" t="s">
        <v>418</v>
      </c>
      <c r="C57" s="215">
        <v>43864</v>
      </c>
      <c r="D57" s="210" t="s">
        <v>487</v>
      </c>
      <c r="E57" s="216">
        <v>15.5</v>
      </c>
      <c r="F57" s="216">
        <v>8.9</v>
      </c>
      <c r="G57" s="216">
        <f>SUM(E57:F57)</f>
        <v>24.4</v>
      </c>
      <c r="H57" s="216">
        <v>12.4</v>
      </c>
      <c r="I57" s="217">
        <f>G57/H57</f>
        <v>1.9677419354838708</v>
      </c>
      <c r="K57" s="212"/>
      <c r="S57" s="212" t="s">
        <v>412</v>
      </c>
      <c r="T57" s="212"/>
      <c r="V57" t="str">
        <f t="shared" si="12"/>
        <v/>
      </c>
      <c r="W57" t="str">
        <f t="shared" si="13"/>
        <v/>
      </c>
      <c r="X57" t="str">
        <f t="shared" si="14"/>
        <v/>
      </c>
      <c r="Y57" t="str">
        <f t="shared" si="15"/>
        <v/>
      </c>
      <c r="Z57" t="str">
        <f t="shared" si="16"/>
        <v/>
      </c>
      <c r="AA57" t="str">
        <f t="shared" si="17"/>
        <v/>
      </c>
      <c r="AB57" t="str">
        <f t="shared" si="18"/>
        <v/>
      </c>
      <c r="AC57" t="str">
        <f t="shared" si="19"/>
        <v/>
      </c>
      <c r="AD57">
        <f t="shared" si="20"/>
        <v>24.4</v>
      </c>
      <c r="AE57" t="str">
        <f t="shared" si="21"/>
        <v/>
      </c>
      <c r="AG57">
        <f t="shared" si="10"/>
        <v>1</v>
      </c>
    </row>
    <row r="58" spans="2:33" ht="18">
      <c r="B58" s="210" t="s">
        <v>419</v>
      </c>
      <c r="C58" s="215">
        <v>43892</v>
      </c>
      <c r="D58" s="210" t="s">
        <v>486</v>
      </c>
      <c r="E58" s="216"/>
      <c r="F58" s="216"/>
      <c r="G58" s="216"/>
      <c r="H58" s="216"/>
      <c r="I58" s="217"/>
      <c r="K58" s="212"/>
      <c r="S58" s="212" t="s">
        <v>412</v>
      </c>
      <c r="T58" s="212"/>
      <c r="V58" t="str">
        <f t="shared" si="12"/>
        <v/>
      </c>
      <c r="W58" t="str">
        <f t="shared" si="13"/>
        <v/>
      </c>
      <c r="X58" t="str">
        <f t="shared" si="14"/>
        <v/>
      </c>
      <c r="Y58" t="str">
        <f t="shared" si="15"/>
        <v/>
      </c>
      <c r="Z58" t="str">
        <f t="shared" si="16"/>
        <v/>
      </c>
      <c r="AA58" t="str">
        <f t="shared" si="17"/>
        <v/>
      </c>
      <c r="AB58" t="str">
        <f t="shared" si="18"/>
        <v/>
      </c>
      <c r="AC58" t="str">
        <f t="shared" si="19"/>
        <v/>
      </c>
      <c r="AD58">
        <f t="shared" si="20"/>
        <v>0</v>
      </c>
      <c r="AE58" t="str">
        <f t="shared" si="21"/>
        <v/>
      </c>
      <c r="AG58">
        <f t="shared" si="10"/>
        <v>1</v>
      </c>
    </row>
    <row r="59" spans="2:33" s="200" customFormat="1">
      <c r="B59" s="200" t="s">
        <v>420</v>
      </c>
      <c r="C59" s="221"/>
      <c r="E59" s="221">
        <v>48.2</v>
      </c>
      <c r="F59" s="221">
        <v>31</v>
      </c>
      <c r="G59" s="221">
        <f>SUM(E59:F59)</f>
        <v>79.2</v>
      </c>
      <c r="H59" s="221">
        <v>22.4</v>
      </c>
      <c r="I59" s="222">
        <f>G59/H59</f>
        <v>3.535714285714286</v>
      </c>
      <c r="V59" t="str">
        <f t="shared" si="12"/>
        <v/>
      </c>
      <c r="W59" t="str">
        <f t="shared" si="13"/>
        <v/>
      </c>
      <c r="X59" t="str">
        <f t="shared" si="14"/>
        <v/>
      </c>
      <c r="Y59" t="str">
        <f t="shared" si="15"/>
        <v/>
      </c>
      <c r="Z59" t="str">
        <f t="shared" si="16"/>
        <v/>
      </c>
      <c r="AA59" t="str">
        <f t="shared" si="17"/>
        <v/>
      </c>
      <c r="AB59" t="str">
        <f t="shared" si="18"/>
        <v/>
      </c>
      <c r="AC59" t="str">
        <f t="shared" si="19"/>
        <v/>
      </c>
      <c r="AD59" t="str">
        <f t="shared" si="20"/>
        <v/>
      </c>
      <c r="AE59" t="str">
        <f t="shared" si="21"/>
        <v/>
      </c>
      <c r="AG59">
        <f t="shared" si="10"/>
        <v>0</v>
      </c>
    </row>
    <row r="60" spans="2:33">
      <c r="C60" s="216"/>
      <c r="E60" s="216"/>
      <c r="F60" s="216"/>
      <c r="G60" s="216"/>
      <c r="H60" s="216"/>
      <c r="I60" s="216"/>
      <c r="V60" t="str">
        <f t="shared" si="12"/>
        <v/>
      </c>
      <c r="W60" t="str">
        <f t="shared" si="13"/>
        <v/>
      </c>
      <c r="X60" t="str">
        <f t="shared" si="14"/>
        <v/>
      </c>
      <c r="Y60" t="str">
        <f t="shared" si="15"/>
        <v/>
      </c>
      <c r="Z60" t="str">
        <f t="shared" si="16"/>
        <v/>
      </c>
      <c r="AA60" t="str">
        <f t="shared" si="17"/>
        <v/>
      </c>
      <c r="AB60" t="str">
        <f t="shared" si="18"/>
        <v/>
      </c>
      <c r="AC60" t="str">
        <f t="shared" si="19"/>
        <v/>
      </c>
      <c r="AD60" t="str">
        <f t="shared" si="20"/>
        <v/>
      </c>
      <c r="AE60" t="str">
        <f t="shared" si="21"/>
        <v/>
      </c>
      <c r="AG60">
        <f t="shared" si="10"/>
        <v>0</v>
      </c>
    </row>
    <row r="61" spans="2:33">
      <c r="B61" s="219" t="s">
        <v>328</v>
      </c>
      <c r="C61" s="220"/>
      <c r="D61" s="220"/>
      <c r="E61" s="231"/>
      <c r="F61" s="231"/>
      <c r="G61" s="231"/>
      <c r="H61" s="231"/>
      <c r="I61" s="231"/>
      <c r="K61" s="220"/>
      <c r="L61" s="220"/>
      <c r="M61" s="220"/>
      <c r="N61" s="220"/>
      <c r="O61" s="220"/>
      <c r="P61" s="220"/>
      <c r="Q61" s="220"/>
      <c r="R61" s="220"/>
      <c r="S61" s="220"/>
      <c r="T61" s="220"/>
      <c r="V61" t="str">
        <f t="shared" si="12"/>
        <v/>
      </c>
      <c r="W61" t="str">
        <f t="shared" si="13"/>
        <v/>
      </c>
      <c r="X61" t="str">
        <f t="shared" si="14"/>
        <v/>
      </c>
      <c r="Y61" t="str">
        <f t="shared" si="15"/>
        <v/>
      </c>
      <c r="Z61" t="str">
        <f t="shared" si="16"/>
        <v/>
      </c>
      <c r="AA61" t="str">
        <f t="shared" si="17"/>
        <v/>
      </c>
      <c r="AB61" t="str">
        <f t="shared" si="18"/>
        <v/>
      </c>
      <c r="AC61" t="str">
        <f t="shared" si="19"/>
        <v/>
      </c>
      <c r="AD61" t="str">
        <f t="shared" si="20"/>
        <v/>
      </c>
      <c r="AE61" t="str">
        <f t="shared" si="21"/>
        <v/>
      </c>
      <c r="AG61">
        <f t="shared" si="10"/>
        <v>0</v>
      </c>
    </row>
    <row r="62" spans="2:33" ht="18">
      <c r="B62" s="210" t="s">
        <v>409</v>
      </c>
      <c r="C62" s="215">
        <v>44137</v>
      </c>
      <c r="D62" s="239" t="s">
        <v>411</v>
      </c>
      <c r="E62" s="216">
        <v>1.4</v>
      </c>
      <c r="F62" s="216">
        <v>0.7</v>
      </c>
      <c r="G62" s="216">
        <f>SUM(E62:F62)</f>
        <v>2.0999999999999996</v>
      </c>
      <c r="H62" s="216">
        <v>0.6</v>
      </c>
      <c r="I62" s="216">
        <f>G62/H62</f>
        <v>3.4999999999999996</v>
      </c>
      <c r="S62" s="212" t="s">
        <v>412</v>
      </c>
      <c r="T62" s="212"/>
      <c r="V62" t="str">
        <f t="shared" si="12"/>
        <v/>
      </c>
      <c r="W62" t="str">
        <f t="shared" si="13"/>
        <v/>
      </c>
      <c r="X62" t="str">
        <f t="shared" si="14"/>
        <v/>
      </c>
      <c r="Y62" t="str">
        <f t="shared" si="15"/>
        <v/>
      </c>
      <c r="Z62" t="str">
        <f t="shared" si="16"/>
        <v/>
      </c>
      <c r="AA62" t="str">
        <f t="shared" si="17"/>
        <v/>
      </c>
      <c r="AB62" t="str">
        <f t="shared" si="18"/>
        <v/>
      </c>
      <c r="AC62" t="str">
        <f t="shared" si="19"/>
        <v/>
      </c>
      <c r="AD62">
        <f t="shared" si="20"/>
        <v>2.0999999999999996</v>
      </c>
      <c r="AE62" t="str">
        <f t="shared" si="21"/>
        <v/>
      </c>
      <c r="AG62">
        <f t="shared" si="10"/>
        <v>1</v>
      </c>
    </row>
    <row r="63" spans="2:33">
      <c r="B63" s="200" t="s">
        <v>483</v>
      </c>
      <c r="C63" s="221"/>
      <c r="D63" s="200"/>
      <c r="E63" s="221">
        <f>E62</f>
        <v>1.4</v>
      </c>
      <c r="F63" s="221">
        <f>F62</f>
        <v>0.7</v>
      </c>
      <c r="G63" s="221">
        <f>G62</f>
        <v>2.0999999999999996</v>
      </c>
      <c r="H63" s="221">
        <f>H62</f>
        <v>0.6</v>
      </c>
      <c r="I63" s="221">
        <f>I62</f>
        <v>3.4999999999999996</v>
      </c>
    </row>
    <row r="65" spans="2:33">
      <c r="B65" s="219" t="s">
        <v>623</v>
      </c>
      <c r="C65" s="220"/>
      <c r="D65" s="220"/>
      <c r="E65" s="231"/>
      <c r="F65" s="231"/>
      <c r="G65" s="231"/>
      <c r="H65" s="231"/>
      <c r="I65" s="231"/>
      <c r="K65" s="220"/>
      <c r="L65" s="220"/>
      <c r="M65" s="220"/>
      <c r="N65" s="220"/>
      <c r="O65" s="220"/>
      <c r="P65" s="220"/>
      <c r="Q65" s="220"/>
      <c r="R65" s="220"/>
      <c r="S65" s="220"/>
      <c r="T65" s="220"/>
      <c r="V65" t="str">
        <f t="shared" ref="V65:V70" si="23">IF(K65="✓",1/$AG65*$G65,"")</f>
        <v/>
      </c>
      <c r="W65" t="str">
        <f t="shared" ref="W65:W70" si="24">IF(L65="✓",1/$AG65*$G65,"")</f>
        <v/>
      </c>
      <c r="X65" t="str">
        <f t="shared" ref="X65:X70" si="25">IF(M65="✓",1/$AG65*$G65,"")</f>
        <v/>
      </c>
      <c r="Y65" t="str">
        <f t="shared" ref="Y65:Y70" si="26">IF(N65="✓",1/$AG65*$G65,"")</f>
        <v/>
      </c>
      <c r="Z65" t="str">
        <f t="shared" ref="Z65:Z70" si="27">IF(O65="✓",1/$AG65*$G65,"")</f>
        <v/>
      </c>
      <c r="AA65" t="str">
        <f t="shared" ref="AA65:AA70" si="28">IF(P65="✓",1/$AG65*$G65,"")</f>
        <v/>
      </c>
      <c r="AB65" t="str">
        <f t="shared" ref="AB65:AB70" si="29">IF(Q65="✓",1/$AG65*$G65,"")</f>
        <v/>
      </c>
      <c r="AC65" t="str">
        <f t="shared" ref="AC65:AC70" si="30">IF(R65="✓",1/$AG65*$G65,"")</f>
        <v/>
      </c>
      <c r="AD65" t="str">
        <f t="shared" ref="AD65:AD70" si="31">IF(S65="✓",1/$AG65*$G65,"")</f>
        <v/>
      </c>
      <c r="AE65" t="str">
        <f t="shared" ref="AE65:AE70" si="32">IF(T65="✓",1/$AG65*$G65,"")</f>
        <v/>
      </c>
      <c r="AG65">
        <f t="shared" ref="AG65:AG70" si="33">COUNTIF(K65:T65,"✓")</f>
        <v>0</v>
      </c>
    </row>
    <row r="66" spans="2:33" ht="18">
      <c r="B66" s="210" t="s">
        <v>567</v>
      </c>
      <c r="C66" s="215">
        <v>44470</v>
      </c>
      <c r="D66" s="210" t="s">
        <v>490</v>
      </c>
      <c r="E66" s="1170">
        <v>4.7</v>
      </c>
      <c r="F66" s="1170">
        <v>2.8</v>
      </c>
      <c r="G66" s="1170">
        <f>SUM(E66:F66)</f>
        <v>7.5</v>
      </c>
      <c r="H66" s="1170">
        <f>1.3*2</f>
        <v>2.6</v>
      </c>
      <c r="I66" s="1171">
        <f>G66/H66</f>
        <v>2.8846153846153846</v>
      </c>
      <c r="K66" s="212"/>
      <c r="R66" s="212" t="s">
        <v>412</v>
      </c>
      <c r="S66" s="212"/>
      <c r="T66" s="212"/>
      <c r="V66" t="str">
        <f t="shared" si="23"/>
        <v/>
      </c>
      <c r="W66" t="str">
        <f t="shared" si="24"/>
        <v/>
      </c>
      <c r="X66" t="str">
        <f t="shared" si="25"/>
        <v/>
      </c>
      <c r="Y66" t="str">
        <f t="shared" si="26"/>
        <v/>
      </c>
      <c r="Z66" t="str">
        <f t="shared" si="27"/>
        <v/>
      </c>
      <c r="AA66" t="str">
        <f t="shared" si="28"/>
        <v/>
      </c>
      <c r="AB66" t="str">
        <f t="shared" si="29"/>
        <v/>
      </c>
      <c r="AC66" s="230">
        <f>IF(R66="✓",1/$AG66*$G66,"")/2</f>
        <v>3.75</v>
      </c>
      <c r="AD66" t="str">
        <f t="shared" si="31"/>
        <v/>
      </c>
      <c r="AE66" t="str">
        <f t="shared" si="32"/>
        <v/>
      </c>
      <c r="AG66">
        <f t="shared" si="33"/>
        <v>1</v>
      </c>
    </row>
    <row r="67" spans="2:33" ht="18">
      <c r="B67" s="210" t="s">
        <v>568</v>
      </c>
      <c r="C67" s="215">
        <v>44501</v>
      </c>
      <c r="D67" s="210" t="s">
        <v>434</v>
      </c>
      <c r="E67" s="1170"/>
      <c r="F67" s="1170"/>
      <c r="G67" s="1170"/>
      <c r="H67" s="1170"/>
      <c r="I67" s="1171"/>
      <c r="K67" s="212"/>
      <c r="N67" s="212"/>
      <c r="T67" s="212" t="s">
        <v>412</v>
      </c>
      <c r="V67" t="str">
        <f t="shared" si="23"/>
        <v/>
      </c>
      <c r="W67" t="str">
        <f t="shared" si="24"/>
        <v/>
      </c>
      <c r="X67" t="str">
        <f t="shared" si="25"/>
        <v/>
      </c>
      <c r="Y67" t="str">
        <f t="shared" si="26"/>
        <v/>
      </c>
      <c r="Z67" t="str">
        <f t="shared" si="27"/>
        <v/>
      </c>
      <c r="AA67" t="str">
        <f t="shared" si="28"/>
        <v/>
      </c>
      <c r="AB67" t="str">
        <f t="shared" si="29"/>
        <v/>
      </c>
      <c r="AC67" t="str">
        <f t="shared" si="30"/>
        <v/>
      </c>
      <c r="AD67" t="str">
        <f t="shared" si="31"/>
        <v/>
      </c>
      <c r="AE67" s="230">
        <f>IF(T67="✓",1/$AG67*$G66,"")/2</f>
        <v>3.75</v>
      </c>
      <c r="AG67">
        <f t="shared" si="33"/>
        <v>1</v>
      </c>
    </row>
    <row r="68" spans="2:33" ht="18">
      <c r="B68" s="200" t="s">
        <v>627</v>
      </c>
      <c r="C68" s="221"/>
      <c r="D68" s="200"/>
      <c r="E68" s="221">
        <v>4.7</v>
      </c>
      <c r="F68" s="221">
        <v>2.8</v>
      </c>
      <c r="G68" s="221">
        <f>SUM(E68:F68)</f>
        <v>7.5</v>
      </c>
      <c r="H68" s="221">
        <f>1.3*2</f>
        <v>2.6</v>
      </c>
      <c r="I68" s="222">
        <f>G68/H68</f>
        <v>2.8846153846153846</v>
      </c>
      <c r="K68" s="212"/>
      <c r="S68" s="212"/>
      <c r="T68" s="212"/>
      <c r="V68" t="str">
        <f>IF(K68="✓",1/$AG68*#REF!,"")</f>
        <v/>
      </c>
      <c r="W68" t="str">
        <f>IF(L68="✓",1/$AG68*#REF!,"")</f>
        <v/>
      </c>
      <c r="X68" t="str">
        <f>IF(M68="✓",1/$AG68*#REF!,"")</f>
        <v/>
      </c>
      <c r="Y68" t="str">
        <f>IF(N68="✓",1/$AG68*#REF!,"")</f>
        <v/>
      </c>
      <c r="Z68" t="str">
        <f>IF(O68="✓",1/$AG68*#REF!,"")</f>
        <v/>
      </c>
      <c r="AA68" t="str">
        <f>IF(P68="✓",1/$AG68*#REF!,"")</f>
        <v/>
      </c>
      <c r="AB68" t="str">
        <f>IF(Q68="✓",1/$AG68*#REF!,"")</f>
        <v/>
      </c>
      <c r="AC68" t="str">
        <f>IF(R68="✓",1/$AG68*#REF!,"")</f>
        <v/>
      </c>
      <c r="AD68" t="str">
        <f>IF(S68="✓",1/$AG68*#REF!,"")</f>
        <v/>
      </c>
      <c r="AE68" t="str">
        <f>IF(T68="✓",1/$AG68*#REF!,"")</f>
        <v/>
      </c>
      <c r="AG68">
        <f t="shared" si="33"/>
        <v>0</v>
      </c>
    </row>
    <row r="69" spans="2:33" ht="18">
      <c r="B69" s="210"/>
      <c r="C69" s="215"/>
      <c r="D69" s="210"/>
      <c r="E69" s="216"/>
      <c r="F69" s="216"/>
      <c r="G69" s="216"/>
      <c r="H69" s="216"/>
      <c r="I69" s="217"/>
      <c r="K69" s="212"/>
      <c r="S69" s="212"/>
      <c r="T69" s="212"/>
      <c r="V69" t="str">
        <f t="shared" si="23"/>
        <v/>
      </c>
      <c r="W69" t="str">
        <f t="shared" si="24"/>
        <v/>
      </c>
      <c r="X69" t="str">
        <f t="shared" si="25"/>
        <v/>
      </c>
      <c r="Y69" t="str">
        <f t="shared" si="26"/>
        <v/>
      </c>
      <c r="Z69" t="str">
        <f t="shared" si="27"/>
        <v/>
      </c>
      <c r="AA69" t="str">
        <f t="shared" si="28"/>
        <v/>
      </c>
      <c r="AB69" t="str">
        <f t="shared" si="29"/>
        <v/>
      </c>
      <c r="AC69" t="str">
        <f t="shared" si="30"/>
        <v/>
      </c>
      <c r="AD69" t="str">
        <f t="shared" si="31"/>
        <v/>
      </c>
      <c r="AE69" t="str">
        <f t="shared" si="32"/>
        <v/>
      </c>
      <c r="AG69">
        <f t="shared" si="33"/>
        <v>0</v>
      </c>
    </row>
    <row r="70" spans="2:33">
      <c r="B70" s="219" t="s">
        <v>628</v>
      </c>
      <c r="C70" s="220"/>
      <c r="D70" s="220"/>
      <c r="E70" s="231"/>
      <c r="F70" s="231"/>
      <c r="G70" s="231"/>
      <c r="H70" s="231"/>
      <c r="I70" s="231"/>
      <c r="K70" s="220"/>
      <c r="L70" s="220"/>
      <c r="M70" s="220"/>
      <c r="N70" s="220"/>
      <c r="O70" s="220"/>
      <c r="P70" s="220"/>
      <c r="Q70" s="220"/>
      <c r="R70" s="220"/>
      <c r="S70" s="220"/>
      <c r="T70" s="220"/>
      <c r="V70" t="str">
        <f t="shared" si="23"/>
        <v/>
      </c>
      <c r="W70" t="str">
        <f t="shared" si="24"/>
        <v/>
      </c>
      <c r="X70" t="str">
        <f t="shared" si="25"/>
        <v/>
      </c>
      <c r="Y70" t="str">
        <f t="shared" si="26"/>
        <v/>
      </c>
      <c r="Z70" t="str">
        <f t="shared" si="27"/>
        <v/>
      </c>
      <c r="AA70" t="str">
        <f t="shared" si="28"/>
        <v/>
      </c>
      <c r="AB70" t="str">
        <f t="shared" si="29"/>
        <v/>
      </c>
      <c r="AC70" t="str">
        <f t="shared" si="30"/>
        <v/>
      </c>
      <c r="AD70" t="str">
        <f t="shared" si="31"/>
        <v/>
      </c>
      <c r="AE70" t="str">
        <f t="shared" si="32"/>
        <v/>
      </c>
      <c r="AG70">
        <f t="shared" si="33"/>
        <v>0</v>
      </c>
    </row>
    <row r="71" spans="2:33" s="200" customFormat="1" ht="18">
      <c r="B71" s="210" t="s">
        <v>629</v>
      </c>
      <c r="C71" s="215">
        <v>44743</v>
      </c>
      <c r="D71" s="210" t="s">
        <v>432</v>
      </c>
      <c r="E71" s="216">
        <v>66.2</v>
      </c>
      <c r="F71" s="216"/>
      <c r="G71" s="216">
        <f>SUM(E71:F71)</f>
        <v>66.2</v>
      </c>
      <c r="H71" s="216">
        <v>10.1</v>
      </c>
      <c r="I71" s="217">
        <f>G71/H71</f>
        <v>6.5544554455445549</v>
      </c>
      <c r="J71"/>
      <c r="K71" s="212"/>
      <c r="L71"/>
      <c r="M71"/>
      <c r="N71"/>
      <c r="O71"/>
      <c r="P71"/>
      <c r="Q71"/>
      <c r="R71" s="212"/>
      <c r="S71" s="212"/>
      <c r="T71" s="212" t="s">
        <v>412</v>
      </c>
      <c r="V71" t="str">
        <f t="shared" ref="V71:AE71" si="34">IF(K71="✓",1/$AG71*$G71,"")</f>
        <v/>
      </c>
      <c r="W71" t="str">
        <f t="shared" si="34"/>
        <v/>
      </c>
      <c r="X71" t="str">
        <f t="shared" si="34"/>
        <v/>
      </c>
      <c r="Y71" t="str">
        <f t="shared" si="34"/>
        <v/>
      </c>
      <c r="Z71" t="str">
        <f t="shared" si="34"/>
        <v/>
      </c>
      <c r="AA71" t="str">
        <f t="shared" si="34"/>
        <v/>
      </c>
      <c r="AB71" t="str">
        <f t="shared" si="34"/>
        <v/>
      </c>
      <c r="AC71" t="str">
        <f t="shared" si="34"/>
        <v/>
      </c>
      <c r="AD71" t="str">
        <f t="shared" si="34"/>
        <v/>
      </c>
      <c r="AE71">
        <f t="shared" si="34"/>
        <v>66.2</v>
      </c>
      <c r="AF71"/>
      <c r="AG71">
        <f>COUNTIF(K71:T71,"✓")</f>
        <v>1</v>
      </c>
    </row>
    <row r="72" spans="2:33" ht="18">
      <c r="B72" s="210" t="s">
        <v>632</v>
      </c>
      <c r="C72" s="215">
        <v>44951</v>
      </c>
      <c r="D72" s="210" t="s">
        <v>434</v>
      </c>
      <c r="E72" s="267">
        <v>326.38</v>
      </c>
      <c r="F72" s="266"/>
      <c r="G72" s="216">
        <f>SUM(E72:F72)</f>
        <v>326.38</v>
      </c>
      <c r="H72" s="267">
        <f>49.67</f>
        <v>49.67</v>
      </c>
      <c r="I72" s="217" t="s">
        <v>636</v>
      </c>
      <c r="K72" s="212" t="s">
        <v>412</v>
      </c>
      <c r="N72" s="212"/>
      <c r="T72" s="212"/>
      <c r="V72">
        <f t="shared" ref="V72:AB73" si="35">IF(K72="✓",1/$AG72*$G72,"")</f>
        <v>326.38</v>
      </c>
      <c r="W72" t="str">
        <f t="shared" si="35"/>
        <v/>
      </c>
      <c r="X72" t="str">
        <f t="shared" si="35"/>
        <v/>
      </c>
      <c r="Y72" t="str">
        <f t="shared" si="35"/>
        <v/>
      </c>
      <c r="Z72" t="str">
        <f t="shared" si="35"/>
        <v/>
      </c>
      <c r="AA72" t="str">
        <f t="shared" si="35"/>
        <v/>
      </c>
      <c r="AB72" t="str">
        <f t="shared" si="35"/>
        <v/>
      </c>
      <c r="AG72">
        <f>COUNTIF(K72:T72,"✓")</f>
        <v>1</v>
      </c>
    </row>
    <row r="73" spans="2:33" ht="18">
      <c r="B73" s="210" t="s">
        <v>634</v>
      </c>
      <c r="C73" s="215">
        <v>44974</v>
      </c>
      <c r="D73" s="210" t="s">
        <v>434</v>
      </c>
      <c r="E73" s="267">
        <f>414/0.69</f>
        <v>600</v>
      </c>
      <c r="F73" s="266"/>
      <c r="G73" s="216">
        <f>SUM(E73:F73)</f>
        <v>600</v>
      </c>
      <c r="H73" s="267">
        <f>AVERAGE(65,70)/0.69</f>
        <v>97.826086956521749</v>
      </c>
      <c r="I73" s="217" t="s">
        <v>635</v>
      </c>
      <c r="K73" s="212" t="s">
        <v>412</v>
      </c>
      <c r="N73" s="212"/>
      <c r="T73" s="212"/>
      <c r="V73">
        <f t="shared" si="35"/>
        <v>600</v>
      </c>
      <c r="W73" t="str">
        <f t="shared" si="35"/>
        <v/>
      </c>
      <c r="X73" t="str">
        <f t="shared" si="35"/>
        <v/>
      </c>
      <c r="Y73" t="str">
        <f t="shared" si="35"/>
        <v/>
      </c>
      <c r="Z73" t="str">
        <f t="shared" si="35"/>
        <v/>
      </c>
      <c r="AA73" t="str">
        <f t="shared" si="35"/>
        <v/>
      </c>
      <c r="AB73" t="str">
        <f t="shared" si="35"/>
        <v/>
      </c>
      <c r="AG73">
        <f>COUNTIF(K73:T73,"✓")</f>
        <v>1</v>
      </c>
    </row>
    <row r="74" spans="2:33" ht="18">
      <c r="B74" s="200" t="s">
        <v>630</v>
      </c>
      <c r="C74" s="221"/>
      <c r="D74" s="200"/>
      <c r="E74" s="222">
        <f>SUM(E71:E73)</f>
        <v>992.57999999999993</v>
      </c>
      <c r="F74" s="221"/>
      <c r="G74" s="222">
        <f>SUM(E74:F74)</f>
        <v>992.57999999999993</v>
      </c>
      <c r="H74" s="222">
        <f>SUM(H71:H73)</f>
        <v>157.59608695652176</v>
      </c>
      <c r="I74" s="222">
        <f>G74/H74</f>
        <v>6.2982528257432993</v>
      </c>
      <c r="K74" s="212" t="s">
        <v>412</v>
      </c>
      <c r="S74" s="212"/>
      <c r="T74" s="212"/>
      <c r="W74" t="str">
        <f t="shared" ref="W74:AB74" si="36">IF(L74="✓",1/$AG74*$G74,"")</f>
        <v/>
      </c>
      <c r="X74" t="str">
        <f t="shared" si="36"/>
        <v/>
      </c>
      <c r="Y74" t="str">
        <f t="shared" si="36"/>
        <v/>
      </c>
      <c r="Z74" t="str">
        <f t="shared" si="36"/>
        <v/>
      </c>
      <c r="AA74" t="str">
        <f t="shared" si="36"/>
        <v/>
      </c>
      <c r="AB74" t="str">
        <f t="shared" si="36"/>
        <v/>
      </c>
      <c r="AG74">
        <f>COUNTIF(K74:T74,"✓")</f>
        <v>1</v>
      </c>
    </row>
    <row r="75" spans="2:33">
      <c r="V75" t="str">
        <f>IF(K75="✓",1/$AG75*#REF!,"")</f>
        <v/>
      </c>
      <c r="W75" t="str">
        <f>IF(L75="✓",1/$AG75*#REF!,"")</f>
        <v/>
      </c>
      <c r="X75" t="str">
        <f>IF(M75="✓",1/$AG75*#REF!,"")</f>
        <v/>
      </c>
      <c r="Y75" t="str">
        <f>IF(N75="✓",1/$AG75*#REF!,"")</f>
        <v/>
      </c>
      <c r="Z75" t="str">
        <f>IF(O75="✓",1/$AG75*#REF!,"")</f>
        <v/>
      </c>
      <c r="AA75" t="str">
        <f>IF(P75="✓",1/$AG75*#REF!,"")</f>
        <v/>
      </c>
      <c r="AB75" t="str">
        <f>IF(Q75="✓",1/$AG75*#REF!,"")</f>
        <v/>
      </c>
      <c r="AG75">
        <f>COUNTIF(K75:T75,"✓")</f>
        <v>0</v>
      </c>
    </row>
    <row r="78" spans="2:33" ht="15.75" customHeight="1">
      <c r="B78" s="1165" t="s">
        <v>184</v>
      </c>
      <c r="C78" s="226" t="s">
        <v>495</v>
      </c>
      <c r="D78" s="225"/>
      <c r="E78" s="227">
        <f>E63+E59+E51+E35+E16+E10+E68+E74</f>
        <v>1355.08</v>
      </c>
      <c r="F78" s="227">
        <f>F63+F59+F51+F35+F16+F10+F68+F74</f>
        <v>283.29999999999995</v>
      </c>
      <c r="G78" s="227">
        <f>G63+G59+G51+G35+G16+G10</f>
        <v>638.30000000000007</v>
      </c>
      <c r="H78" s="228">
        <f>H63+H59+H51+H35+H16+H10</f>
        <v>133.84552399999998</v>
      </c>
      <c r="I78" s="228">
        <f>G78/H78</f>
        <v>4.7689304873579497</v>
      </c>
      <c r="K78" s="233">
        <f>SUM(V83:V90)</f>
        <v>1007.78</v>
      </c>
      <c r="L78" s="233">
        <f t="shared" ref="L78:T78" si="37">SUM(W83:W90)</f>
        <v>33.200000000000003</v>
      </c>
      <c r="M78" s="233">
        <f t="shared" si="37"/>
        <v>16.899999999999999</v>
      </c>
      <c r="N78" s="233">
        <f t="shared" si="37"/>
        <v>11.266666666666666</v>
      </c>
      <c r="O78" s="233">
        <f t="shared" si="37"/>
        <v>92</v>
      </c>
      <c r="P78" s="233">
        <f t="shared" si="37"/>
        <v>114.4</v>
      </c>
      <c r="Q78" s="233">
        <f t="shared" si="37"/>
        <v>30.916666666666668</v>
      </c>
      <c r="R78" s="233">
        <f t="shared" si="37"/>
        <v>28.65</v>
      </c>
      <c r="S78" s="233">
        <f t="shared" si="37"/>
        <v>184.91666666666666</v>
      </c>
      <c r="T78" s="233">
        <f t="shared" si="37"/>
        <v>69.95</v>
      </c>
    </row>
    <row r="79" spans="2:33">
      <c r="B79" s="1165"/>
      <c r="C79" s="226" t="s">
        <v>496</v>
      </c>
      <c r="D79" s="225"/>
      <c r="E79" s="225"/>
      <c r="F79" s="225"/>
      <c r="G79" s="225"/>
      <c r="H79" s="225"/>
      <c r="I79" s="225"/>
      <c r="K79" s="227">
        <f t="shared" ref="K79:T79" si="38">COUNTIF(K8:K63,"✓")</f>
        <v>3</v>
      </c>
      <c r="L79" s="227">
        <f t="shared" si="38"/>
        <v>2</v>
      </c>
      <c r="M79" s="227">
        <f t="shared" si="38"/>
        <v>3</v>
      </c>
      <c r="N79" s="227">
        <f t="shared" si="38"/>
        <v>5</v>
      </c>
      <c r="O79" s="227">
        <f t="shared" si="38"/>
        <v>1</v>
      </c>
      <c r="P79" s="227">
        <f t="shared" si="38"/>
        <v>2</v>
      </c>
      <c r="Q79" s="227">
        <f t="shared" si="38"/>
        <v>7</v>
      </c>
      <c r="R79" s="227">
        <f t="shared" si="38"/>
        <v>2</v>
      </c>
      <c r="S79" s="227">
        <f t="shared" si="38"/>
        <v>22</v>
      </c>
      <c r="T79" s="227">
        <f t="shared" si="38"/>
        <v>1</v>
      </c>
    </row>
    <row r="82" spans="5:33">
      <c r="V82" t="str">
        <f>V6</f>
        <v>Land</v>
      </c>
      <c r="W82" t="str">
        <f>W6</f>
        <v>Sea</v>
      </c>
      <c r="X82" t="str">
        <f>X6</f>
        <v>Air</v>
      </c>
      <c r="Y82" t="str">
        <f>Y6</f>
        <v>Warehouse</v>
      </c>
      <c r="Z82" t="str">
        <f t="shared" ref="Z82:AE82" si="39">Z5</f>
        <v>Container</v>
      </c>
      <c r="AA82" t="str">
        <f t="shared" si="39"/>
        <v>Parcel</v>
      </c>
      <c r="AB82" t="str">
        <f t="shared" si="39"/>
        <v>FF</v>
      </c>
      <c r="AC82" t="str">
        <f t="shared" si="39"/>
        <v>Messaging</v>
      </c>
      <c r="AD82" t="str">
        <f t="shared" si="39"/>
        <v>Customs</v>
      </c>
      <c r="AE82" t="str">
        <f t="shared" si="39"/>
        <v>Other</v>
      </c>
      <c r="AF82" t="s">
        <v>184</v>
      </c>
      <c r="AG82" t="s">
        <v>511</v>
      </c>
    </row>
    <row r="83" spans="5:33">
      <c r="U83" t="s">
        <v>320</v>
      </c>
      <c r="V83">
        <f t="shared" ref="V83:AE83" si="40">SUM(V8:V9)</f>
        <v>0</v>
      </c>
      <c r="W83">
        <f t="shared" si="40"/>
        <v>0</v>
      </c>
      <c r="X83">
        <f t="shared" si="40"/>
        <v>9.9999999999999982</v>
      </c>
      <c r="Y83">
        <f t="shared" si="40"/>
        <v>0</v>
      </c>
      <c r="Z83">
        <f t="shared" si="40"/>
        <v>0</v>
      </c>
      <c r="AA83">
        <f t="shared" si="40"/>
        <v>0</v>
      </c>
      <c r="AB83">
        <f t="shared" si="40"/>
        <v>8.2999999999999989</v>
      </c>
      <c r="AC83">
        <f t="shared" si="40"/>
        <v>1.7</v>
      </c>
      <c r="AD83">
        <f t="shared" si="40"/>
        <v>8.2999999999999989</v>
      </c>
      <c r="AE83">
        <f t="shared" si="40"/>
        <v>0</v>
      </c>
      <c r="AF83">
        <f t="shared" ref="AF83:AF89" si="41">SUM(V83:AE83)</f>
        <v>28.299999999999997</v>
      </c>
      <c r="AG83" s="240">
        <f>-MODEL!Q94</f>
        <v>20.038</v>
      </c>
    </row>
    <row r="84" spans="5:33">
      <c r="U84" t="s">
        <v>321</v>
      </c>
      <c r="V84">
        <f t="shared" ref="V84:AE84" si="42">SUM(V13:V16)</f>
        <v>0</v>
      </c>
      <c r="W84">
        <f t="shared" si="42"/>
        <v>21.700000000000003</v>
      </c>
      <c r="X84">
        <f t="shared" si="42"/>
        <v>0</v>
      </c>
      <c r="Y84">
        <f t="shared" si="42"/>
        <v>0</v>
      </c>
      <c r="Z84">
        <f t="shared" si="42"/>
        <v>0</v>
      </c>
      <c r="AA84">
        <f t="shared" si="42"/>
        <v>0</v>
      </c>
      <c r="AB84">
        <f t="shared" si="42"/>
        <v>0</v>
      </c>
      <c r="AC84">
        <f t="shared" si="42"/>
        <v>0</v>
      </c>
      <c r="AD84">
        <f t="shared" si="42"/>
        <v>8.5</v>
      </c>
      <c r="AE84">
        <f t="shared" si="42"/>
        <v>0</v>
      </c>
      <c r="AF84">
        <f t="shared" si="41"/>
        <v>30.200000000000003</v>
      </c>
      <c r="AG84" s="240">
        <f>-MODEL!T94</f>
        <v>22.907</v>
      </c>
    </row>
    <row r="85" spans="5:33">
      <c r="U85" t="s">
        <v>315</v>
      </c>
      <c r="V85">
        <f t="shared" ref="V85:AE85" si="43">SUM(V20:V34)</f>
        <v>9</v>
      </c>
      <c r="W85">
        <f t="shared" si="43"/>
        <v>11.5</v>
      </c>
      <c r="X85">
        <f t="shared" si="43"/>
        <v>6.9</v>
      </c>
      <c r="Y85">
        <f t="shared" si="43"/>
        <v>2.5</v>
      </c>
      <c r="Z85">
        <f t="shared" si="43"/>
        <v>0</v>
      </c>
      <c r="AA85">
        <f t="shared" si="43"/>
        <v>0</v>
      </c>
      <c r="AB85">
        <f t="shared" si="43"/>
        <v>20.95</v>
      </c>
      <c r="AC85">
        <f t="shared" si="43"/>
        <v>0</v>
      </c>
      <c r="AD85">
        <f t="shared" si="43"/>
        <v>58.45</v>
      </c>
      <c r="AE85">
        <f t="shared" si="43"/>
        <v>0</v>
      </c>
      <c r="AF85">
        <f t="shared" si="41"/>
        <v>109.3</v>
      </c>
      <c r="AG85" s="240">
        <f>-MODEL!W94</f>
        <v>104.16200000000001</v>
      </c>
    </row>
    <row r="86" spans="5:33">
      <c r="E86">
        <f>H73*0.1</f>
        <v>9.7826086956521756</v>
      </c>
      <c r="U86" t="s">
        <v>314</v>
      </c>
      <c r="V86">
        <f t="shared" ref="V86:AE86" si="44">SUM(V38:V51)</f>
        <v>72.399999999999991</v>
      </c>
      <c r="W86">
        <f t="shared" si="44"/>
        <v>0</v>
      </c>
      <c r="X86">
        <f t="shared" si="44"/>
        <v>0</v>
      </c>
      <c r="Y86">
        <f t="shared" si="44"/>
        <v>1.6666666666666665</v>
      </c>
      <c r="Z86">
        <f t="shared" si="44"/>
        <v>92</v>
      </c>
      <c r="AA86">
        <f t="shared" si="44"/>
        <v>114.4</v>
      </c>
      <c r="AB86">
        <f t="shared" si="44"/>
        <v>1.6666666666666665</v>
      </c>
      <c r="AC86">
        <f t="shared" si="44"/>
        <v>23.2</v>
      </c>
      <c r="AD86">
        <f t="shared" si="44"/>
        <v>62.966666666666669</v>
      </c>
      <c r="AE86">
        <f t="shared" si="44"/>
        <v>0</v>
      </c>
      <c r="AF86">
        <f t="shared" si="41"/>
        <v>368.30000000000007</v>
      </c>
      <c r="AG86" s="240">
        <f>-MODEL!Z94</f>
        <v>237.2</v>
      </c>
    </row>
    <row r="87" spans="5:33">
      <c r="E87">
        <f>E73/E86</f>
        <v>61.333333333333321</v>
      </c>
      <c r="U87" t="s">
        <v>324</v>
      </c>
      <c r="V87">
        <f t="shared" ref="V87:AE87" si="45">SUM(V54:V58)</f>
        <v>0</v>
      </c>
      <c r="W87">
        <f t="shared" si="45"/>
        <v>0</v>
      </c>
      <c r="X87">
        <f t="shared" si="45"/>
        <v>0</v>
      </c>
      <c r="Y87">
        <f t="shared" si="45"/>
        <v>7.1000000000000005</v>
      </c>
      <c r="Z87">
        <f t="shared" si="45"/>
        <v>0</v>
      </c>
      <c r="AA87">
        <f t="shared" si="45"/>
        <v>0</v>
      </c>
      <c r="AB87">
        <f t="shared" si="45"/>
        <v>0</v>
      </c>
      <c r="AC87">
        <f t="shared" si="45"/>
        <v>0</v>
      </c>
      <c r="AD87">
        <f t="shared" si="45"/>
        <v>44.599999999999994</v>
      </c>
      <c r="AE87">
        <f t="shared" si="45"/>
        <v>0</v>
      </c>
      <c r="AF87">
        <f t="shared" si="41"/>
        <v>51.699999999999996</v>
      </c>
      <c r="AG87" s="240">
        <f>-MODEL!AC94</f>
        <v>0</v>
      </c>
    </row>
    <row r="88" spans="5:33">
      <c r="U88" t="s">
        <v>325</v>
      </c>
      <c r="V88">
        <f t="shared" ref="V88:AE88" si="46">SUM(V62)</f>
        <v>0</v>
      </c>
      <c r="W88">
        <f t="shared" si="46"/>
        <v>0</v>
      </c>
      <c r="X88">
        <f t="shared" si="46"/>
        <v>0</v>
      </c>
      <c r="Y88">
        <f t="shared" si="46"/>
        <v>0</v>
      </c>
      <c r="Z88">
        <f t="shared" si="46"/>
        <v>0</v>
      </c>
      <c r="AA88">
        <f t="shared" si="46"/>
        <v>0</v>
      </c>
      <c r="AB88">
        <f t="shared" si="46"/>
        <v>0</v>
      </c>
      <c r="AC88">
        <f t="shared" si="46"/>
        <v>0</v>
      </c>
      <c r="AD88">
        <f t="shared" si="46"/>
        <v>2.0999999999999996</v>
      </c>
      <c r="AE88">
        <f t="shared" si="46"/>
        <v>0</v>
      </c>
      <c r="AF88">
        <f t="shared" si="41"/>
        <v>2.0999999999999996</v>
      </c>
      <c r="AG88" s="240">
        <f>-MODEL!AF94</f>
        <v>0</v>
      </c>
    </row>
    <row r="89" spans="5:33">
      <c r="U89" t="s">
        <v>631</v>
      </c>
      <c r="V89">
        <f t="shared" ref="V89:AE89" si="47">SUM(V66:V68)</f>
        <v>0</v>
      </c>
      <c r="W89">
        <f t="shared" si="47"/>
        <v>0</v>
      </c>
      <c r="X89">
        <f t="shared" si="47"/>
        <v>0</v>
      </c>
      <c r="Y89">
        <f t="shared" si="47"/>
        <v>0</v>
      </c>
      <c r="Z89">
        <f t="shared" si="47"/>
        <v>0</v>
      </c>
      <c r="AA89">
        <f t="shared" si="47"/>
        <v>0</v>
      </c>
      <c r="AB89">
        <f t="shared" si="47"/>
        <v>0</v>
      </c>
      <c r="AC89">
        <f t="shared" si="47"/>
        <v>3.75</v>
      </c>
      <c r="AD89">
        <f t="shared" si="47"/>
        <v>0</v>
      </c>
      <c r="AE89">
        <f t="shared" si="47"/>
        <v>3.75</v>
      </c>
      <c r="AF89">
        <f t="shared" si="41"/>
        <v>7.5</v>
      </c>
      <c r="AG89" s="240">
        <f>-MODEL!AG94</f>
        <v>0</v>
      </c>
    </row>
    <row r="90" spans="5:33">
      <c r="U90" t="s">
        <v>628</v>
      </c>
      <c r="V90">
        <f t="shared" ref="V90:AF90" si="48">SUM(V71:V73)</f>
        <v>926.38</v>
      </c>
      <c r="W90">
        <f t="shared" si="48"/>
        <v>0</v>
      </c>
      <c r="X90">
        <f t="shared" si="48"/>
        <v>0</v>
      </c>
      <c r="Y90">
        <f t="shared" si="48"/>
        <v>0</v>
      </c>
      <c r="Z90">
        <f t="shared" si="48"/>
        <v>0</v>
      </c>
      <c r="AA90">
        <f t="shared" si="48"/>
        <v>0</v>
      </c>
      <c r="AB90">
        <f t="shared" si="48"/>
        <v>0</v>
      </c>
      <c r="AC90">
        <f t="shared" si="48"/>
        <v>0</v>
      </c>
      <c r="AD90">
        <f t="shared" si="48"/>
        <v>0</v>
      </c>
      <c r="AE90">
        <f t="shared" si="48"/>
        <v>66.2</v>
      </c>
      <c r="AF90">
        <f t="shared" si="48"/>
        <v>0</v>
      </c>
    </row>
    <row r="92" spans="5:33">
      <c r="U92" t="s">
        <v>184</v>
      </c>
      <c r="V92">
        <f>SUM(V83:V90)</f>
        <v>1007.78</v>
      </c>
      <c r="W92">
        <f t="shared" ref="W92:AE92" si="49">SUM(W83:W90)</f>
        <v>33.200000000000003</v>
      </c>
      <c r="X92">
        <f t="shared" si="49"/>
        <v>16.899999999999999</v>
      </c>
      <c r="Y92">
        <f t="shared" si="49"/>
        <v>11.266666666666666</v>
      </c>
      <c r="Z92">
        <f t="shared" si="49"/>
        <v>92</v>
      </c>
      <c r="AA92">
        <f t="shared" si="49"/>
        <v>114.4</v>
      </c>
      <c r="AB92">
        <f t="shared" si="49"/>
        <v>30.916666666666668</v>
      </c>
      <c r="AC92">
        <f t="shared" si="49"/>
        <v>28.65</v>
      </c>
      <c r="AD92">
        <f t="shared" si="49"/>
        <v>184.91666666666666</v>
      </c>
      <c r="AE92">
        <f t="shared" si="49"/>
        <v>69.95</v>
      </c>
    </row>
    <row r="100" spans="4:39">
      <c r="E100" t="s">
        <v>514</v>
      </c>
      <c r="F100" t="s">
        <v>515</v>
      </c>
      <c r="AM100" s="200" t="s">
        <v>611</v>
      </c>
    </row>
    <row r="101" spans="4:39">
      <c r="D101" t="s">
        <v>463</v>
      </c>
      <c r="E101">
        <v>1</v>
      </c>
      <c r="F101">
        <v>1</v>
      </c>
    </row>
    <row r="102" spans="4:39">
      <c r="D102" t="s">
        <v>516</v>
      </c>
      <c r="E102">
        <v>1</v>
      </c>
      <c r="F102">
        <v>1</v>
      </c>
    </row>
    <row r="103" spans="4:39">
      <c r="D103" t="s">
        <v>467</v>
      </c>
      <c r="E103">
        <v>1</v>
      </c>
      <c r="AM103" t="s">
        <v>501</v>
      </c>
    </row>
    <row r="104" spans="4:39">
      <c r="D104" t="s">
        <v>458</v>
      </c>
      <c r="E104">
        <v>1</v>
      </c>
      <c r="F104">
        <v>1</v>
      </c>
      <c r="AM104" t="s">
        <v>470</v>
      </c>
    </row>
    <row r="105" spans="4:39">
      <c r="D105" t="s">
        <v>518</v>
      </c>
      <c r="E105">
        <v>1</v>
      </c>
      <c r="F105">
        <v>1</v>
      </c>
      <c r="AM105" t="s">
        <v>467</v>
      </c>
    </row>
    <row r="106" spans="4:39">
      <c r="D106" t="s">
        <v>519</v>
      </c>
      <c r="E106">
        <v>1</v>
      </c>
      <c r="AM106" t="s">
        <v>464</v>
      </c>
    </row>
    <row r="107" spans="4:39">
      <c r="D107" t="s">
        <v>442</v>
      </c>
      <c r="E107">
        <v>1</v>
      </c>
      <c r="F107">
        <v>1</v>
      </c>
      <c r="AM107" t="s">
        <v>463</v>
      </c>
    </row>
    <row r="108" spans="4:39">
      <c r="D108" s="223" t="s">
        <v>517</v>
      </c>
      <c r="E108">
        <v>1</v>
      </c>
      <c r="F108">
        <v>1</v>
      </c>
      <c r="AM108" t="s">
        <v>460</v>
      </c>
    </row>
    <row r="109" spans="4:39">
      <c r="D109" s="223" t="s">
        <v>467</v>
      </c>
      <c r="E109">
        <v>1</v>
      </c>
      <c r="F109">
        <v>1</v>
      </c>
      <c r="AM109" t="s">
        <v>451</v>
      </c>
    </row>
    <row r="110" spans="4:39">
      <c r="D110" s="223" t="s">
        <v>431</v>
      </c>
      <c r="E110">
        <v>1</v>
      </c>
      <c r="F110">
        <v>1</v>
      </c>
      <c r="AM110" t="s">
        <v>450</v>
      </c>
    </row>
    <row r="111" spans="4:39">
      <c r="D111" s="223" t="s">
        <v>432</v>
      </c>
      <c r="E111">
        <v>1</v>
      </c>
      <c r="F111">
        <v>1</v>
      </c>
      <c r="AM111" t="s">
        <v>447</v>
      </c>
    </row>
    <row r="112" spans="4:39">
      <c r="D112" s="210" t="s">
        <v>434</v>
      </c>
      <c r="E112">
        <v>1</v>
      </c>
      <c r="F112">
        <v>1</v>
      </c>
      <c r="AM112" t="s">
        <v>445</v>
      </c>
    </row>
    <row r="113" spans="4:39">
      <c r="D113" s="210" t="s">
        <v>520</v>
      </c>
      <c r="E113">
        <v>1</v>
      </c>
      <c r="AM113" t="s">
        <v>442</v>
      </c>
    </row>
    <row r="114" spans="4:39">
      <c r="D114" s="210" t="s">
        <v>521</v>
      </c>
      <c r="E114">
        <v>1</v>
      </c>
      <c r="AM114" s="223" t="s">
        <v>437</v>
      </c>
    </row>
    <row r="115" spans="4:39">
      <c r="D115" t="s">
        <v>501</v>
      </c>
      <c r="E115">
        <v>1</v>
      </c>
      <c r="F115">
        <v>1</v>
      </c>
      <c r="AM115" s="223" t="s">
        <v>517</v>
      </c>
    </row>
    <row r="116" spans="4:39">
      <c r="D116" t="s">
        <v>470</v>
      </c>
      <c r="AM116" s="223" t="s">
        <v>467</v>
      </c>
    </row>
    <row r="117" spans="4:39">
      <c r="D117" t="s">
        <v>464</v>
      </c>
      <c r="AM117" s="223" t="s">
        <v>431</v>
      </c>
    </row>
    <row r="118" spans="4:39">
      <c r="AM118" s="223" t="s">
        <v>432</v>
      </c>
    </row>
    <row r="119" spans="4:39">
      <c r="D119" t="s">
        <v>450</v>
      </c>
      <c r="F119">
        <v>1</v>
      </c>
      <c r="AM119" s="223" t="s">
        <v>490</v>
      </c>
    </row>
    <row r="120" spans="4:39">
      <c r="D120" t="s">
        <v>447</v>
      </c>
      <c r="F120">
        <v>1</v>
      </c>
      <c r="AM120" s="210" t="s">
        <v>434</v>
      </c>
    </row>
    <row r="121" spans="4:39">
      <c r="D121" t="s">
        <v>445</v>
      </c>
      <c r="F121">
        <v>1</v>
      </c>
      <c r="AM121" s="210" t="s">
        <v>485</v>
      </c>
    </row>
    <row r="122" spans="4:39">
      <c r="D122" s="223" t="s">
        <v>437</v>
      </c>
      <c r="AM122" s="210" t="s">
        <v>487</v>
      </c>
    </row>
    <row r="123" spans="4:39">
      <c r="D123" s="223" t="s">
        <v>490</v>
      </c>
      <c r="F123">
        <v>1</v>
      </c>
      <c r="U123" t="s">
        <v>637</v>
      </c>
      <c r="V123">
        <f>MODEL!AI127</f>
        <v>-332.8</v>
      </c>
      <c r="AM123" s="210" t="s">
        <v>486</v>
      </c>
    </row>
    <row r="124" spans="4:39">
      <c r="D124" s="210" t="s">
        <v>485</v>
      </c>
      <c r="F124">
        <v>1</v>
      </c>
      <c r="U124" t="s">
        <v>638</v>
      </c>
      <c r="V124" s="207">
        <f>161/0.69</f>
        <v>233.33333333333334</v>
      </c>
      <c r="AM124" s="214" t="s">
        <v>411</v>
      </c>
    </row>
    <row r="125" spans="4:39">
      <c r="D125" s="210" t="s">
        <v>487</v>
      </c>
      <c r="F125">
        <v>1</v>
      </c>
      <c r="U125" t="s">
        <v>639</v>
      </c>
      <c r="V125">
        <f>(134.8+155)/0.69</f>
        <v>420.00000000000006</v>
      </c>
    </row>
    <row r="126" spans="4:39">
      <c r="D126" s="210" t="s">
        <v>486</v>
      </c>
      <c r="F126">
        <v>1</v>
      </c>
      <c r="U126" t="s">
        <v>643</v>
      </c>
      <c r="V126">
        <v>20</v>
      </c>
    </row>
    <row r="127" spans="4:39">
      <c r="D127" s="239" t="s">
        <v>411</v>
      </c>
      <c r="F127">
        <v>1</v>
      </c>
      <c r="V127">
        <f>SUM(V123:V126)</f>
        <v>340.53333333333342</v>
      </c>
    </row>
    <row r="129" spans="21:22">
      <c r="U129" t="s">
        <v>640</v>
      </c>
      <c r="V129" s="206">
        <f>MODEL!AL24</f>
        <v>278.60000000000002</v>
      </c>
    </row>
    <row r="130" spans="21:22">
      <c r="U130" t="s">
        <v>641</v>
      </c>
      <c r="V130">
        <f>22.5%*35/0.69</f>
        <v>11.413043478260871</v>
      </c>
    </row>
    <row r="131" spans="21:22">
      <c r="U131" t="s">
        <v>642</v>
      </c>
      <c r="V131">
        <f>70*0.1/0.69</f>
        <v>10.144927536231885</v>
      </c>
    </row>
    <row r="132" spans="21:22">
      <c r="U132" t="s">
        <v>644</v>
      </c>
      <c r="V132" s="206">
        <f>SUM(V129:V131)</f>
        <v>300.15797101449277</v>
      </c>
    </row>
    <row r="134" spans="21:22">
      <c r="U134" t="s">
        <v>645</v>
      </c>
      <c r="V134">
        <f>V127/V132</f>
        <v>1.1345137101719387</v>
      </c>
    </row>
  </sheetData>
  <sortState xmlns:xlrd2="http://schemas.microsoft.com/office/spreadsheetml/2017/richdata2" ref="D87:F115">
    <sortCondition descending="1" ref="E87:E115"/>
  </sortState>
  <mergeCells count="38">
    <mergeCell ref="AD5:AD6"/>
    <mergeCell ref="AE5:AE6"/>
    <mergeCell ref="K5:K6"/>
    <mergeCell ref="L5:L6"/>
    <mergeCell ref="M5:M6"/>
    <mergeCell ref="N5:N6"/>
    <mergeCell ref="V5:Y5"/>
    <mergeCell ref="Z5:Z6"/>
    <mergeCell ref="AA5:AA6"/>
    <mergeCell ref="AB5:AB6"/>
    <mergeCell ref="AC5:AC6"/>
    <mergeCell ref="B78:B79"/>
    <mergeCell ref="T5:T6"/>
    <mergeCell ref="E14:E15"/>
    <mergeCell ref="F14:F15"/>
    <mergeCell ref="G14:G15"/>
    <mergeCell ref="H14:H15"/>
    <mergeCell ref="I14:I15"/>
    <mergeCell ref="C32:C34"/>
    <mergeCell ref="H27:H28"/>
    <mergeCell ref="I27:I28"/>
    <mergeCell ref="G27:G28"/>
    <mergeCell ref="E66:E67"/>
    <mergeCell ref="F66:F67"/>
    <mergeCell ref="G66:G67"/>
    <mergeCell ref="H66:H67"/>
    <mergeCell ref="I66:I67"/>
    <mergeCell ref="K4:S4"/>
    <mergeCell ref="E32:E34"/>
    <mergeCell ref="F32:F34"/>
    <mergeCell ref="H32:H34"/>
    <mergeCell ref="I32:I34"/>
    <mergeCell ref="G32:G34"/>
    <mergeCell ref="O5:O6"/>
    <mergeCell ref="P5:P6"/>
    <mergeCell ref="Q5:Q6"/>
    <mergeCell ref="R5:R6"/>
    <mergeCell ref="S5:S6"/>
  </mergeCells>
  <printOptions horizontalCentered="1" verticalCentered="1"/>
  <pageMargins left="0.7" right="0.7" top="0.75" bottom="0.75" header="0.3" footer="0.3"/>
  <pageSetup paperSize="0" scale="11" orientation="portrait" r:id="rId1"/>
  <customProperties>
    <customPr name="Qube.Worksheet.Visibility" r:id="rId2"/>
  </customPropertie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C2:AG39"/>
  <sheetViews>
    <sheetView showGridLines="0" zoomScaleNormal="100" workbookViewId="0">
      <selection activeCell="O39" sqref="O39"/>
    </sheetView>
  </sheetViews>
  <sheetFormatPr defaultColWidth="9.140625" defaultRowHeight="12.75" outlineLevelCol="1"/>
  <cols>
    <col min="1" max="1" width="3" style="2" customWidth="1"/>
    <col min="2" max="2" width="0.7109375" style="2" customWidth="1"/>
    <col min="3" max="3" width="20.85546875" style="2" bestFit="1" customWidth="1"/>
    <col min="4" max="5" width="6.42578125" style="3" hidden="1" customWidth="1" outlineLevel="1"/>
    <col min="6" max="6" width="7.7109375" style="3" hidden="1" customWidth="1" outlineLevel="1"/>
    <col min="7" max="7" width="6.42578125" style="3" customWidth="1" collapsed="1"/>
    <col min="8" max="8" width="6.42578125" style="3" customWidth="1"/>
    <col min="9" max="9" width="8.42578125" style="3" bestFit="1" customWidth="1"/>
    <col min="10" max="11" width="6.42578125" style="3" customWidth="1"/>
    <col min="12" max="12" width="10.42578125" style="3" bestFit="1" customWidth="1"/>
    <col min="13" max="21" width="7.7109375" style="3" customWidth="1"/>
    <col min="22" max="23" width="9.28515625" style="2" customWidth="1"/>
    <col min="24" max="24" width="9.140625" style="2"/>
    <col min="25" max="25" width="12.5703125" style="2" bestFit="1" customWidth="1"/>
    <col min="26" max="16384" width="9.140625" style="2"/>
  </cols>
  <sheetData>
    <row r="2" spans="3:33" ht="15" customHeight="1">
      <c r="C2" s="133"/>
      <c r="D2" s="1180" t="s">
        <v>249</v>
      </c>
      <c r="E2" s="1181"/>
      <c r="F2" s="1182"/>
      <c r="G2" s="1181" t="s">
        <v>250</v>
      </c>
      <c r="H2" s="1181"/>
      <c r="I2" s="1182"/>
      <c r="J2" s="1181" t="s">
        <v>255</v>
      </c>
      <c r="K2" s="1181"/>
      <c r="L2" s="1182"/>
      <c r="M2" s="1181" t="s">
        <v>312</v>
      </c>
      <c r="N2" s="1181"/>
      <c r="O2" s="1182"/>
      <c r="P2" s="1181" t="s">
        <v>322</v>
      </c>
      <c r="Q2" s="1181"/>
      <c r="R2" s="1182"/>
      <c r="S2" s="1181" t="s">
        <v>323</v>
      </c>
      <c r="T2" s="1181"/>
      <c r="U2" s="1182"/>
      <c r="V2" s="1178" t="s">
        <v>313</v>
      </c>
      <c r="W2" s="1179"/>
      <c r="X2" s="8"/>
    </row>
    <row r="3" spans="3:33" ht="15" customHeight="1">
      <c r="C3" s="134"/>
      <c r="D3" s="135" t="s">
        <v>246</v>
      </c>
      <c r="E3" s="136" t="s">
        <v>247</v>
      </c>
      <c r="F3" s="137" t="s">
        <v>248</v>
      </c>
      <c r="G3" s="136" t="s">
        <v>246</v>
      </c>
      <c r="H3" s="136" t="s">
        <v>247</v>
      </c>
      <c r="I3" s="137" t="s">
        <v>248</v>
      </c>
      <c r="J3" s="136" t="s">
        <v>246</v>
      </c>
      <c r="K3" s="136" t="s">
        <v>247</v>
      </c>
      <c r="L3" s="137" t="s">
        <v>248</v>
      </c>
      <c r="M3" s="136" t="s">
        <v>246</v>
      </c>
      <c r="N3" s="136" t="s">
        <v>247</v>
      </c>
      <c r="O3" s="137" t="s">
        <v>248</v>
      </c>
      <c r="P3" s="136" t="s">
        <v>246</v>
      </c>
      <c r="Q3" s="136" t="s">
        <v>247</v>
      </c>
      <c r="R3" s="137" t="s">
        <v>248</v>
      </c>
      <c r="S3" s="136" t="s">
        <v>246</v>
      </c>
      <c r="T3" s="136" t="s">
        <v>247</v>
      </c>
      <c r="U3" s="137" t="s">
        <v>248</v>
      </c>
      <c r="V3" s="135" t="s">
        <v>246</v>
      </c>
      <c r="W3" s="137" t="s">
        <v>247</v>
      </c>
      <c r="X3" s="8"/>
    </row>
    <row r="4" spans="3:33" ht="9.9499999999999993" customHeight="1">
      <c r="C4" s="138"/>
      <c r="D4" s="139"/>
      <c r="E4" s="140"/>
      <c r="F4" s="141"/>
      <c r="G4" s="140"/>
      <c r="H4" s="140"/>
      <c r="I4" s="141"/>
      <c r="J4" s="140"/>
      <c r="K4" s="140"/>
      <c r="L4" s="141"/>
      <c r="M4" s="140"/>
      <c r="N4" s="140"/>
      <c r="O4" s="141"/>
      <c r="P4" s="140"/>
      <c r="Q4" s="140"/>
      <c r="R4" s="141"/>
      <c r="S4" s="140"/>
      <c r="T4" s="140"/>
      <c r="U4" s="141"/>
      <c r="V4" s="142"/>
      <c r="W4" s="143"/>
      <c r="X4" s="8"/>
    </row>
    <row r="5" spans="3:33" ht="15" customHeight="1">
      <c r="C5" s="144" t="s">
        <v>242</v>
      </c>
      <c r="D5" s="145" t="e">
        <f>#REF!</f>
        <v>#REF!</v>
      </c>
      <c r="E5" s="146" t="e">
        <f>#REF!</f>
        <v>#REF!</v>
      </c>
      <c r="F5" s="147" t="e">
        <f>#REF!</f>
        <v>#REF!</v>
      </c>
      <c r="G5" s="146" t="e">
        <f>#REF!</f>
        <v>#REF!</v>
      </c>
      <c r="H5" s="146" t="e">
        <f>#REF!</f>
        <v>#REF!</v>
      </c>
      <c r="I5" s="194" t="e">
        <f>#REF!</f>
        <v>#REF!</v>
      </c>
      <c r="J5" s="146">
        <f>AE16</f>
        <v>0</v>
      </c>
      <c r="K5" s="146">
        <f>AE22</f>
        <v>0</v>
      </c>
      <c r="L5" s="147">
        <f>AE28</f>
        <v>0</v>
      </c>
      <c r="M5" s="146">
        <f>AF16</f>
        <v>0</v>
      </c>
      <c r="N5" s="146">
        <f>AF22</f>
        <v>0</v>
      </c>
      <c r="O5" s="194">
        <f>AF28</f>
        <v>0</v>
      </c>
      <c r="P5" s="146">
        <f>AG16</f>
        <v>0</v>
      </c>
      <c r="Q5" s="146">
        <f>AG22</f>
        <v>0</v>
      </c>
      <c r="R5" s="194">
        <f>AG28</f>
        <v>0</v>
      </c>
      <c r="S5" s="146" t="str">
        <f>AA16</f>
        <v>Error: RTD method of WorksheetFunction class failed</v>
      </c>
      <c r="T5" s="146">
        <f>AA22</f>
        <v>552.19999999999993</v>
      </c>
      <c r="U5" s="194" t="e">
        <f>AA28</f>
        <v>#VALUE!</v>
      </c>
      <c r="V5" s="148"/>
      <c r="W5" s="149"/>
      <c r="X5" s="8"/>
    </row>
    <row r="6" spans="3:33" ht="8.25" customHeight="1">
      <c r="C6" s="150"/>
      <c r="D6" s="151"/>
      <c r="E6" s="152"/>
      <c r="F6" s="153"/>
      <c r="G6" s="152"/>
      <c r="H6" s="152"/>
      <c r="I6" s="195"/>
      <c r="J6" s="152"/>
      <c r="K6" s="152"/>
      <c r="L6" s="153"/>
      <c r="M6" s="152"/>
      <c r="N6" s="152"/>
      <c r="O6" s="197"/>
      <c r="P6" s="152"/>
      <c r="Q6" s="152"/>
      <c r="R6" s="197"/>
      <c r="S6" s="152"/>
      <c r="T6" s="152"/>
      <c r="U6" s="197"/>
      <c r="V6" s="148"/>
      <c r="W6" s="149"/>
      <c r="X6" s="8"/>
    </row>
    <row r="7" spans="3:33" ht="15" customHeight="1">
      <c r="C7" s="144" t="s">
        <v>243</v>
      </c>
      <c r="D7" s="145" t="e">
        <f>#REF!</f>
        <v>#REF!</v>
      </c>
      <c r="E7" s="146" t="e">
        <f>#REF!</f>
        <v>#REF!</v>
      </c>
      <c r="F7" s="147" t="e">
        <f>#REF!</f>
        <v>#REF!</v>
      </c>
      <c r="G7" s="146" t="e">
        <f>#REF!</f>
        <v>#REF!</v>
      </c>
      <c r="H7" s="146" t="e">
        <f>#REF!</f>
        <v>#REF!</v>
      </c>
      <c r="I7" s="194" t="e">
        <f>#REF!</f>
        <v>#REF!</v>
      </c>
      <c r="J7" s="146">
        <f>AE17</f>
        <v>0</v>
      </c>
      <c r="K7" s="146">
        <f>AE23</f>
        <v>0</v>
      </c>
      <c r="L7" s="147">
        <f>AE29</f>
        <v>0</v>
      </c>
      <c r="M7" s="146">
        <f>AF17</f>
        <v>0</v>
      </c>
      <c r="N7" s="146">
        <f>AF23</f>
        <v>0</v>
      </c>
      <c r="O7" s="147">
        <f>AF29</f>
        <v>0</v>
      </c>
      <c r="P7" s="146">
        <f>AG17</f>
        <v>0</v>
      </c>
      <c r="Q7" s="146">
        <f>AG23</f>
        <v>0</v>
      </c>
      <c r="R7" s="147">
        <f>AG29</f>
        <v>0</v>
      </c>
      <c r="S7" s="146" t="str">
        <f>AA17</f>
        <v>Error: RTD method of WorksheetFunction class failed</v>
      </c>
      <c r="T7" s="146">
        <f>AA23</f>
        <v>278.60000000000002</v>
      </c>
      <c r="U7" s="147" t="e">
        <f>AA29</f>
        <v>#VALUE!</v>
      </c>
      <c r="V7" s="148"/>
      <c r="W7" s="149"/>
      <c r="X7" s="10"/>
    </row>
    <row r="8" spans="3:33" ht="8.25" customHeight="1">
      <c r="C8" s="150"/>
      <c r="D8" s="151"/>
      <c r="E8" s="152"/>
      <c r="F8" s="153"/>
      <c r="G8" s="152"/>
      <c r="H8" s="152"/>
      <c r="I8" s="195"/>
      <c r="J8" s="152"/>
      <c r="K8" s="152"/>
      <c r="L8" s="153"/>
      <c r="M8" s="152"/>
      <c r="N8" s="152"/>
      <c r="O8" s="153"/>
      <c r="P8" s="152"/>
      <c r="Q8" s="152"/>
      <c r="R8" s="153"/>
      <c r="S8" s="152"/>
      <c r="T8" s="152"/>
      <c r="U8" s="153"/>
      <c r="V8" s="148"/>
      <c r="W8" s="149"/>
      <c r="X8" s="8"/>
    </row>
    <row r="9" spans="3:33" ht="15" customHeight="1">
      <c r="C9" s="144" t="s">
        <v>244</v>
      </c>
      <c r="D9" s="145" t="e">
        <f>#REF!</f>
        <v>#REF!</v>
      </c>
      <c r="E9" s="146" t="e">
        <f>#REF!</f>
        <v>#REF!</v>
      </c>
      <c r="F9" s="147" t="e">
        <f>#REF!</f>
        <v>#REF!</v>
      </c>
      <c r="G9" s="146" t="e">
        <f>#REF!</f>
        <v>#REF!</v>
      </c>
      <c r="H9" s="146" t="e">
        <f>#REF!</f>
        <v>#REF!</v>
      </c>
      <c r="I9" s="194" t="e">
        <f>#REF!</f>
        <v>#REF!</v>
      </c>
      <c r="J9" s="146">
        <f>AE19</f>
        <v>0</v>
      </c>
      <c r="K9" s="146">
        <f>AE25</f>
        <v>0</v>
      </c>
      <c r="L9" s="147">
        <f>AE31</f>
        <v>0</v>
      </c>
      <c r="M9" s="146">
        <f>AF19</f>
        <v>0</v>
      </c>
      <c r="N9" s="146">
        <f>AF25</f>
        <v>0</v>
      </c>
      <c r="O9" s="147">
        <f>AF31</f>
        <v>0</v>
      </c>
      <c r="P9" s="146">
        <f>AG19</f>
        <v>0</v>
      </c>
      <c r="Q9" s="146">
        <f>AG25</f>
        <v>0</v>
      </c>
      <c r="R9" s="147">
        <f>AG31</f>
        <v>0</v>
      </c>
      <c r="S9" s="146" t="str">
        <f>AA19</f>
        <v>Error: RTD method of WorksheetFunction class failed</v>
      </c>
      <c r="T9" s="146">
        <f>AA25</f>
        <v>167.60000000000002</v>
      </c>
      <c r="U9" s="147" t="e">
        <f>AA31</f>
        <v>#VALUE!</v>
      </c>
      <c r="V9" s="148"/>
      <c r="W9" s="149"/>
      <c r="X9" s="8"/>
    </row>
    <row r="10" spans="3:33" ht="8.25" customHeight="1">
      <c r="C10" s="150"/>
      <c r="D10" s="151"/>
      <c r="E10" s="152"/>
      <c r="F10" s="153"/>
      <c r="G10" s="152"/>
      <c r="H10" s="152"/>
      <c r="I10" s="195"/>
      <c r="J10" s="152"/>
      <c r="K10" s="152"/>
      <c r="L10" s="153"/>
      <c r="M10" s="152"/>
      <c r="N10" s="152"/>
      <c r="O10" s="153"/>
      <c r="P10" s="152"/>
      <c r="Q10" s="152"/>
      <c r="R10" s="153"/>
      <c r="S10" s="152"/>
      <c r="T10" s="152"/>
      <c r="U10" s="153"/>
      <c r="V10" s="148"/>
      <c r="W10" s="149"/>
      <c r="X10" s="8"/>
    </row>
    <row r="11" spans="3:33" ht="15" customHeight="1">
      <c r="C11" s="154" t="s">
        <v>245</v>
      </c>
      <c r="D11" s="155" t="e">
        <f>#REF!*100</f>
        <v>#REF!</v>
      </c>
      <c r="E11" s="156" t="e">
        <f>#REF!*100</f>
        <v>#REF!</v>
      </c>
      <c r="F11" s="157" t="e">
        <f>#REF!</f>
        <v>#REF!</v>
      </c>
      <c r="G11" s="156" t="e">
        <f>#REF!*100</f>
        <v>#REF!</v>
      </c>
      <c r="H11" s="156" t="e">
        <f>#REF!*100</f>
        <v>#REF!</v>
      </c>
      <c r="I11" s="196" t="e">
        <f>#REF!</f>
        <v>#REF!</v>
      </c>
      <c r="J11" s="156">
        <f>AE20*100</f>
        <v>0</v>
      </c>
      <c r="K11" s="156">
        <f>AE26*100</f>
        <v>0</v>
      </c>
      <c r="L11" s="157">
        <f>AE32</f>
        <v>0</v>
      </c>
      <c r="M11" s="156">
        <f>AF20*100</f>
        <v>0</v>
      </c>
      <c r="N11" s="156">
        <f>AF26*100</f>
        <v>0</v>
      </c>
      <c r="O11" s="157">
        <f>AF32</f>
        <v>0</v>
      </c>
      <c r="P11" s="156">
        <f>AG20*100</f>
        <v>0</v>
      </c>
      <c r="Q11" s="156">
        <f>AG26*100</f>
        <v>0</v>
      </c>
      <c r="R11" s="157">
        <f>AG32</f>
        <v>0</v>
      </c>
      <c r="S11" s="156" t="e">
        <f>AA20*100</f>
        <v>#VALUE!</v>
      </c>
      <c r="T11" s="156">
        <f>AA26*100</f>
        <v>51.175572519083978</v>
      </c>
      <c r="U11" s="157" t="e">
        <f>AA32</f>
        <v>#VALUE!</v>
      </c>
      <c r="V11" s="158"/>
      <c r="W11" s="159"/>
      <c r="X11" s="8"/>
    </row>
    <row r="12" spans="3:33" ht="15">
      <c r="C12" s="16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61"/>
      <c r="W12" s="161"/>
      <c r="X12" s="8"/>
    </row>
    <row r="13" spans="3:33" ht="15" customHeight="1">
      <c r="C13" s="162" t="s">
        <v>256</v>
      </c>
      <c r="G13" s="163" t="s">
        <v>246</v>
      </c>
      <c r="H13" s="163" t="s">
        <v>247</v>
      </c>
      <c r="I13" s="164" t="s">
        <v>248</v>
      </c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29"/>
      <c r="W13" s="129"/>
    </row>
    <row r="14" spans="3:33" ht="6.95" customHeight="1">
      <c r="C14" s="138"/>
      <c r="G14" s="140"/>
      <c r="H14" s="140"/>
      <c r="I14" s="141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29"/>
      <c r="W14" s="129"/>
    </row>
    <row r="15" spans="3:33" ht="15" customHeight="1">
      <c r="C15" s="165"/>
      <c r="G15" s="172" t="str">
        <f>+_xll.QueryTool.Functions.GQ("DHG.AX","TARGET_PRICE")</f>
        <v>Error: RTD method of WorksheetFunction class failed</v>
      </c>
      <c r="H15" s="172">
        <f>SOTP!E15</f>
        <v>132</v>
      </c>
      <c r="I15" s="157" t="e">
        <f>H15/G15-1</f>
        <v>#VALUE!</v>
      </c>
      <c r="J15" s="171"/>
      <c r="K15" s="140"/>
      <c r="L15" s="140"/>
      <c r="M15" s="140"/>
      <c r="N15" s="152"/>
      <c r="O15" s="140"/>
      <c r="P15" s="140"/>
      <c r="Q15" s="140"/>
      <c r="R15" s="140"/>
      <c r="S15" s="140"/>
      <c r="T15" s="140"/>
      <c r="U15" s="140"/>
      <c r="V15" s="129"/>
      <c r="W15" s="129"/>
      <c r="Y15" s="5" t="s">
        <v>617</v>
      </c>
      <c r="Z15" s="4"/>
      <c r="AA15" s="279">
        <v>2023</v>
      </c>
      <c r="AB15" s="279">
        <v>2024</v>
      </c>
      <c r="AC15" s="279">
        <v>2025</v>
      </c>
      <c r="AD15" s="279">
        <v>2026</v>
      </c>
      <c r="AE15" s="4"/>
      <c r="AF15" s="4"/>
      <c r="AG15" s="4"/>
    </row>
    <row r="16" spans="3:33">
      <c r="N16" s="192"/>
      <c r="X16" s="2" t="s">
        <v>246</v>
      </c>
      <c r="Y16" s="2" t="s">
        <v>221</v>
      </c>
      <c r="Z16" s="9"/>
      <c r="AA16" s="9" t="str">
        <f>_xll.QueryTool.Functions.GQ($Y$15,$Y16,AA$15)</f>
        <v>Error: RTD method of WorksheetFunction class failed</v>
      </c>
      <c r="AB16" s="9" t="str">
        <f>_xll.QueryTool.Functions.GQ($Y$15,$Y16,AB$15)</f>
        <v>Error: RTD method of WorksheetFunction class failed</v>
      </c>
      <c r="AC16" s="9" t="str">
        <f>_xll.QueryTool.Functions.GQ($Y$15,$Y16,AC$15)</f>
        <v>Error: RTD method of WorksheetFunction class failed</v>
      </c>
      <c r="AD16" s="9" t="str">
        <f>_xll.QueryTool.Functions.GQ($Y$15,$Y16,AD$15)</f>
        <v>Error: RTD method of WorksheetFunction class failed</v>
      </c>
      <c r="AE16" s="9"/>
      <c r="AF16" s="9"/>
      <c r="AG16" s="9"/>
    </row>
    <row r="17" spans="6:33">
      <c r="X17" s="6" t="s">
        <v>251</v>
      </c>
      <c r="Y17" s="2" t="s">
        <v>217</v>
      </c>
      <c r="Z17" s="9"/>
      <c r="AA17" s="9" t="str">
        <f>_xll.QueryTool.Functions.GQ($Y$15,$Y17,AA$15)</f>
        <v>Error: RTD method of WorksheetFunction class failed</v>
      </c>
      <c r="AB17" s="9" t="str">
        <f>_xll.QueryTool.Functions.GQ($Y$15,$Y17,AB$15)</f>
        <v>Error: RTD method of WorksheetFunction class failed</v>
      </c>
      <c r="AC17" s="9" t="str">
        <f>_xll.QueryTool.Functions.GQ($Y$15,$Y17,AC$15)</f>
        <v>Error: RTD method of WorksheetFunction class failed</v>
      </c>
      <c r="AD17" s="9" t="str">
        <f>_xll.QueryTool.Functions.GQ($Y$15,$Y17,AD$15)</f>
        <v>Error: RTD method of WorksheetFunction class failed</v>
      </c>
      <c r="AE17" s="9"/>
      <c r="AF17" s="9"/>
      <c r="AG17" s="9"/>
    </row>
    <row r="18" spans="6:33">
      <c r="Y18" s="2" t="s">
        <v>220</v>
      </c>
      <c r="Z18" s="9"/>
      <c r="AA18" s="9" t="str">
        <f>_xll.QueryTool.Functions.GQ($Y$15,$Y18,AA$15)</f>
        <v>Error: RTD method of WorksheetFunction class failed</v>
      </c>
      <c r="AB18" s="9" t="str">
        <f>_xll.QueryTool.Functions.GQ($Y$15,$Y18,AB$15)</f>
        <v>Error: RTD method of WorksheetFunction class failed</v>
      </c>
      <c r="AC18" s="9" t="str">
        <f>_xll.QueryTool.Functions.GQ($Y$15,$Y18,AC$15)</f>
        <v>Error: RTD method of WorksheetFunction class failed</v>
      </c>
      <c r="AD18" s="9" t="str">
        <f>_xll.QueryTool.Functions.GQ($Y$15,$Y18,AD$15)</f>
        <v>Error: RTD method of WorksheetFunction class failed</v>
      </c>
      <c r="AE18" s="9"/>
      <c r="AF18" s="9"/>
      <c r="AG18" s="9"/>
    </row>
    <row r="19" spans="6:33">
      <c r="Y19" s="2" t="s">
        <v>219</v>
      </c>
      <c r="Z19" s="9"/>
      <c r="AA19" s="9" t="str">
        <f>_xll.QueryTool.Functions.GQ($Y$15,$Y19,AA$15)</f>
        <v>Error: RTD method of WorksheetFunction class failed</v>
      </c>
      <c r="AB19" s="9" t="str">
        <f>_xll.QueryTool.Functions.GQ($Y$15,$Y19,AB$15)</f>
        <v>Error: RTD method of WorksheetFunction class failed</v>
      </c>
      <c r="AC19" s="9" t="str">
        <f>_xll.QueryTool.Functions.GQ($Y$15,$Y19,AC$15)</f>
        <v>Error: RTD method of WorksheetFunction class failed</v>
      </c>
      <c r="AD19" s="9" t="str">
        <f>_xll.QueryTool.Functions.GQ($Y$15,$Y19,AD$15)</f>
        <v>Error: RTD method of WorksheetFunction class failed</v>
      </c>
      <c r="AE19" s="9"/>
      <c r="AF19" s="9"/>
      <c r="AG19" s="9"/>
    </row>
    <row r="20" spans="6:33">
      <c r="Y20" s="2" t="s">
        <v>218</v>
      </c>
      <c r="Z20" s="9"/>
      <c r="AA20" s="9" t="str">
        <f>_xll.QueryTool.Functions.GQ($Y$15,$Y20,AA$15)</f>
        <v>Error: RTD method of WorksheetFunction class failed</v>
      </c>
      <c r="AB20" s="9" t="str">
        <f>_xll.QueryTool.Functions.GQ($Y$15,$Y20,AB$15)</f>
        <v>Error: RTD method of WorksheetFunction class failed</v>
      </c>
      <c r="AC20" s="9" t="str">
        <f>_xll.QueryTool.Functions.GQ($Y$15,$Y20,AC$15)</f>
        <v>Error: RTD method of WorksheetFunction class failed</v>
      </c>
      <c r="AD20" s="9" t="str">
        <f>_xll.QueryTool.Functions.GQ($Y$15,$Y20,AD$15)</f>
        <v>Error: RTD method of WorksheetFunction class failed</v>
      </c>
      <c r="AE20" s="9"/>
      <c r="AF20" s="9"/>
      <c r="AG20" s="9"/>
    </row>
    <row r="21" spans="6:33">
      <c r="Z21" s="3"/>
      <c r="AA21" s="279"/>
      <c r="AB21" s="279"/>
      <c r="AC21" s="279"/>
      <c r="AD21" s="279"/>
    </row>
    <row r="22" spans="6:33">
      <c r="X22" s="2" t="s">
        <v>247</v>
      </c>
      <c r="Y22" s="2" t="s">
        <v>221</v>
      </c>
      <c r="Z22" s="7"/>
      <c r="AA22" s="7">
        <f>MODEL!AL8</f>
        <v>552.19999999999993</v>
      </c>
      <c r="AB22" s="7">
        <f>MODEL!AO8</f>
        <v>683.6</v>
      </c>
      <c r="AC22" s="7">
        <f>MODEL!AR8</f>
        <v>778.7</v>
      </c>
      <c r="AD22" s="7">
        <f>MODEL!AS8</f>
        <v>1415.7139539703001</v>
      </c>
      <c r="AE22" s="7"/>
      <c r="AF22" s="7"/>
      <c r="AG22" s="7"/>
    </row>
    <row r="23" spans="6:33">
      <c r="H23" s="176" t="e">
        <f>+H7</f>
        <v>#REF!</v>
      </c>
      <c r="I23" s="176" t="e">
        <f>+H23-2.7</f>
        <v>#REF!</v>
      </c>
      <c r="K23" s="174" t="e">
        <f>+H5</f>
        <v>#REF!</v>
      </c>
      <c r="L23" s="174" t="e">
        <f>+K23-4.6</f>
        <v>#REF!</v>
      </c>
      <c r="X23" s="6" t="s">
        <v>252</v>
      </c>
      <c r="Y23" s="2" t="s">
        <v>217</v>
      </c>
      <c r="Z23" s="7"/>
      <c r="AA23" s="7">
        <f>MODEL!AL24</f>
        <v>278.60000000000002</v>
      </c>
      <c r="AB23" s="7">
        <f>MODEL!AO24</f>
        <v>328.2</v>
      </c>
      <c r="AC23" s="7">
        <f>MODEL!AR24</f>
        <v>411.19999999999993</v>
      </c>
      <c r="AD23" s="7">
        <f>MODEL!AS24</f>
        <v>615.42949798863572</v>
      </c>
      <c r="AE23" s="7"/>
      <c r="AF23" s="7"/>
      <c r="AG23" s="7"/>
    </row>
    <row r="24" spans="6:33">
      <c r="Y24" s="2" t="s">
        <v>220</v>
      </c>
      <c r="Z24" s="7"/>
      <c r="AA24" s="7">
        <f>MODEL!AL30</f>
        <v>230.40000000000003</v>
      </c>
      <c r="AB24" s="7">
        <f>MODEL!AO30</f>
        <v>267.7</v>
      </c>
      <c r="AC24" s="7">
        <f>MODEL!AR30</f>
        <v>337.19999999999993</v>
      </c>
      <c r="AD24" s="7">
        <f>MODEL!AS30</f>
        <v>497.02949798863574</v>
      </c>
      <c r="AE24" s="7"/>
      <c r="AF24" s="7"/>
      <c r="AG24" s="7"/>
    </row>
    <row r="25" spans="6:33">
      <c r="H25" s="176">
        <f>+K7</f>
        <v>0</v>
      </c>
      <c r="I25" s="176">
        <f>+H25</f>
        <v>0</v>
      </c>
      <c r="K25" s="174">
        <f>+K5</f>
        <v>0</v>
      </c>
      <c r="L25" s="174">
        <f>+K25</f>
        <v>0</v>
      </c>
      <c r="Y25" s="2" t="s">
        <v>219</v>
      </c>
      <c r="Z25" s="7"/>
      <c r="AA25" s="7">
        <f>MODEL!AL40</f>
        <v>167.60000000000002</v>
      </c>
      <c r="AB25" s="7">
        <f>MODEL!AO40</f>
        <v>185.8</v>
      </c>
      <c r="AC25" s="7">
        <f>MODEL!AR40</f>
        <v>241.89999999999992</v>
      </c>
      <c r="AD25" s="7">
        <f>MODEL!AS40</f>
        <v>289.96523855181772</v>
      </c>
      <c r="AE25" s="7"/>
      <c r="AF25" s="7"/>
      <c r="AG25" s="7"/>
    </row>
    <row r="26" spans="6:33">
      <c r="Y26" s="2" t="s">
        <v>218</v>
      </c>
      <c r="Z26" s="7"/>
      <c r="AA26" s="7">
        <f>MODEL!AL45/100</f>
        <v>0.51175572519083978</v>
      </c>
      <c r="AB26" s="7">
        <f>MODEL!AO45/100</f>
        <v>0.56132930513595158</v>
      </c>
      <c r="AC26" s="7">
        <f>MODEL!AR45/100</f>
        <v>0.72817579771222141</v>
      </c>
      <c r="AD26" s="7">
        <f>MODEL!AS45/100</f>
        <v>0.86660262567787716</v>
      </c>
      <c r="AE26" s="7"/>
      <c r="AF26" s="7"/>
      <c r="AG26" s="7"/>
    </row>
    <row r="27" spans="6:33">
      <c r="H27" s="175" t="e">
        <f>+H25/H23-1</f>
        <v>#REF!</v>
      </c>
      <c r="I27" s="175" t="e">
        <f>+I25/I23-1</f>
        <v>#REF!</v>
      </c>
      <c r="K27" s="175" t="e">
        <f>+K25/K23-1</f>
        <v>#REF!</v>
      </c>
      <c r="L27" s="175" t="e">
        <f>+L25/L23-1</f>
        <v>#REF!</v>
      </c>
      <c r="Z27" s="3"/>
      <c r="AA27" s="279"/>
      <c r="AB27" s="279"/>
      <c r="AC27" s="279"/>
      <c r="AD27" s="279"/>
    </row>
    <row r="28" spans="6:33">
      <c r="F28" s="11"/>
      <c r="X28" s="2" t="s">
        <v>248</v>
      </c>
      <c r="Y28" s="2" t="s">
        <v>221</v>
      </c>
      <c r="Z28" s="170"/>
      <c r="AA28" s="175" t="e">
        <f>AA22/AA16-1</f>
        <v>#VALUE!</v>
      </c>
      <c r="AB28" s="175" t="e">
        <f t="shared" ref="AB28:AD28" si="0">AB22/AB16-1</f>
        <v>#VALUE!</v>
      </c>
      <c r="AC28" s="175" t="e">
        <f t="shared" si="0"/>
        <v>#VALUE!</v>
      </c>
      <c r="AD28" s="175" t="e">
        <f t="shared" si="0"/>
        <v>#VALUE!</v>
      </c>
      <c r="AE28" s="170"/>
      <c r="AF28" s="170"/>
      <c r="AG28" s="170"/>
    </row>
    <row r="29" spans="6:33">
      <c r="Y29" s="2" t="s">
        <v>217</v>
      </c>
      <c r="Z29" s="170"/>
      <c r="AA29" s="175" t="e">
        <f>AA23/AA17-1</f>
        <v>#VALUE!</v>
      </c>
      <c r="AB29" s="175" t="e">
        <f t="shared" ref="AB29:AD29" si="1">AB23/AB17-1</f>
        <v>#VALUE!</v>
      </c>
      <c r="AC29" s="175" t="e">
        <f t="shared" si="1"/>
        <v>#VALUE!</v>
      </c>
      <c r="AD29" s="175" t="e">
        <f t="shared" si="1"/>
        <v>#VALUE!</v>
      </c>
      <c r="AE29" s="169"/>
      <c r="AF29" s="169"/>
      <c r="AG29" s="169"/>
    </row>
    <row r="30" spans="6:33">
      <c r="Y30" s="2" t="s">
        <v>220</v>
      </c>
      <c r="Z30" s="170"/>
      <c r="AA30" s="175" t="e">
        <f>AA24/AA18-1</f>
        <v>#VALUE!</v>
      </c>
      <c r="AB30" s="175" t="e">
        <f t="shared" ref="AB30:AD30" si="2">AB24/AB18-1</f>
        <v>#VALUE!</v>
      </c>
      <c r="AC30" s="175" t="e">
        <f t="shared" si="2"/>
        <v>#VALUE!</v>
      </c>
      <c r="AD30" s="175" t="e">
        <f t="shared" si="2"/>
        <v>#VALUE!</v>
      </c>
      <c r="AE30" s="169"/>
      <c r="AF30" s="169"/>
      <c r="AG30" s="169"/>
    </row>
    <row r="31" spans="6:33">
      <c r="Y31" s="2" t="s">
        <v>219</v>
      </c>
      <c r="Z31" s="170"/>
      <c r="AA31" s="175" t="e">
        <f>AA25/AA19-1</f>
        <v>#VALUE!</v>
      </c>
      <c r="AB31" s="175" t="e">
        <f t="shared" ref="AB31:AD31" si="3">AB25/AB19-1</f>
        <v>#VALUE!</v>
      </c>
      <c r="AC31" s="175" t="e">
        <f t="shared" si="3"/>
        <v>#VALUE!</v>
      </c>
      <c r="AD31" s="175" t="e">
        <f t="shared" si="3"/>
        <v>#VALUE!</v>
      </c>
      <c r="AE31" s="169"/>
      <c r="AF31" s="169"/>
      <c r="AG31" s="169"/>
    </row>
    <row r="32" spans="6:33">
      <c r="Y32" s="2" t="s">
        <v>218</v>
      </c>
      <c r="Z32" s="170"/>
      <c r="AA32" s="175" t="e">
        <f>AA26/AA20-1</f>
        <v>#VALUE!</v>
      </c>
      <c r="AB32" s="175" t="e">
        <f t="shared" ref="AB32:AD32" si="4">AB26/AB20-1</f>
        <v>#VALUE!</v>
      </c>
      <c r="AC32" s="175" t="e">
        <f t="shared" si="4"/>
        <v>#VALUE!</v>
      </c>
      <c r="AD32" s="175" t="e">
        <f t="shared" si="4"/>
        <v>#VALUE!</v>
      </c>
      <c r="AE32" s="169"/>
      <c r="AF32" s="169"/>
      <c r="AG32" s="169"/>
    </row>
    <row r="39" spans="13:13">
      <c r="M39" s="3" t="s">
        <v>326</v>
      </c>
    </row>
  </sheetData>
  <mergeCells count="7">
    <mergeCell ref="V2:W2"/>
    <mergeCell ref="D2:F2"/>
    <mergeCell ref="G2:I2"/>
    <mergeCell ref="J2:L2"/>
    <mergeCell ref="M2:O2"/>
    <mergeCell ref="P2:R2"/>
    <mergeCell ref="S2:U2"/>
  </mergeCells>
  <printOptions horizontalCentered="1" verticalCentered="1"/>
  <pageMargins left="0.7" right="0.7" top="0.75" bottom="0.75" header="0.3" footer="0.3"/>
  <pageSetup paperSize="123" scale="52" orientation="portrait" r:id="rId1"/>
  <customProperties>
    <customPr name="Qube.Worksheet.ID" r:id="rId2"/>
    <customPr name="Qube.Worksheet.Visibility" r:id="rId3"/>
  </customProperties>
  <drawing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D24ED-4B95-405B-AF5F-4CAB5570F7AB}">
  <sheetPr>
    <tabColor rgb="FF00B0F0"/>
    <pageSetUpPr autoPageBreaks="0" fitToPage="1"/>
  </sheetPr>
  <dimension ref="A1:DM167"/>
  <sheetViews>
    <sheetView zoomScale="115" zoomScaleNormal="115" workbookViewId="0">
      <pane xSplit="1" ySplit="8" topLeftCell="AP132" activePane="bottomRight" state="frozen"/>
      <selection pane="topRight" activeCell="B1" sqref="B1"/>
      <selection pane="bottomLeft" activeCell="A8" sqref="A8"/>
      <selection pane="bottomRight" activeCell="A24" sqref="A24"/>
    </sheetView>
  </sheetViews>
  <sheetFormatPr defaultColWidth="9.140625" defaultRowHeight="12" customHeight="1" outlineLevelRow="1" outlineLevelCol="2"/>
  <cols>
    <col min="1" max="1" width="42.85546875" style="904" customWidth="1"/>
    <col min="2" max="5" width="9.140625" style="904" hidden="1" customWidth="1" outlineLevel="2"/>
    <col min="6" max="6" width="9.140625" style="904" hidden="1" customWidth="1" outlineLevel="1" collapsed="1"/>
    <col min="7" max="10" width="9.140625" style="904" hidden="1" customWidth="1" outlineLevel="2"/>
    <col min="11" max="11" width="9.140625" style="904" hidden="1" customWidth="1" outlineLevel="1" collapsed="1"/>
    <col min="12" max="15" width="9.140625" style="904" hidden="1" customWidth="1" outlineLevel="2"/>
    <col min="16" max="16" width="9.140625" style="904" hidden="1" customWidth="1" outlineLevel="1" collapsed="1"/>
    <col min="17" max="20" width="9.140625" style="904" hidden="1" customWidth="1" outlineLevel="2"/>
    <col min="21" max="21" width="9.140625" style="904" hidden="1" customWidth="1" outlineLevel="1" collapsed="1"/>
    <col min="22" max="25" width="9.140625" style="904" hidden="1" customWidth="1" outlineLevel="2"/>
    <col min="26" max="26" width="9.140625" style="904" hidden="1" customWidth="1" outlineLevel="1" collapsed="1"/>
    <col min="27" max="30" width="9.140625" style="904" hidden="1" customWidth="1" outlineLevel="2"/>
    <col min="31" max="31" width="9.140625" style="904" hidden="1" customWidth="1" outlineLevel="1" collapsed="1"/>
    <col min="32" max="35" width="9.140625" style="904" hidden="1" customWidth="1" outlineLevel="2"/>
    <col min="36" max="36" width="9.140625" style="904" hidden="1" customWidth="1" outlineLevel="1" collapsed="1"/>
    <col min="37" max="40" width="9.140625" style="904" hidden="1" customWidth="1" outlineLevel="2"/>
    <col min="41" max="41" width="9.140625" style="904" hidden="1" customWidth="1" outlineLevel="1" collapsed="1"/>
    <col min="42" max="45" width="9.140625" style="904" customWidth="1" outlineLevel="2"/>
    <col min="46" max="46" width="9.140625" style="904" customWidth="1" outlineLevel="1"/>
    <col min="47" max="50" width="9.140625" style="904" customWidth="1" outlineLevel="2"/>
    <col min="51" max="55" width="9.140625" style="904" customWidth="1" outlineLevel="1"/>
    <col min="56" max="56" width="9.140625" style="904" customWidth="1"/>
    <col min="57" max="60" width="9.140625" style="904" hidden="1" customWidth="1" outlineLevel="1"/>
    <col min="61" max="61" width="9.140625" style="904" customWidth="1" collapsed="1"/>
    <col min="62" max="65" width="9.140625" style="904" hidden="1" customWidth="1" outlineLevel="1"/>
    <col min="66" max="66" width="9.140625" style="904" customWidth="1" collapsed="1"/>
    <col min="67" max="76" width="9.140625" style="904" customWidth="1"/>
    <col min="77" max="80" width="9.140625" style="904" hidden="1" customWidth="1" outlineLevel="1"/>
    <col min="81" max="81" width="9.140625" style="904" customWidth="1" collapsed="1"/>
    <col min="82" max="85" width="9.140625" style="904" hidden="1" customWidth="1" outlineLevel="1"/>
    <col min="86" max="86" width="9.140625" style="904" customWidth="1" collapsed="1"/>
    <col min="87" max="90" width="9.140625" style="904" hidden="1" customWidth="1" outlineLevel="1"/>
    <col min="91" max="91" width="9.140625" style="904" customWidth="1" collapsed="1"/>
    <col min="92" max="95" width="9.140625" style="904" hidden="1" customWidth="1" outlineLevel="1"/>
    <col min="96" max="96" width="9.140625" style="904" customWidth="1" collapsed="1"/>
    <col min="97" max="100" width="9.140625" style="904"/>
    <col min="101" max="106" width="6.7109375" style="904" hidden="1" customWidth="1" outlineLevel="1"/>
    <col min="107" max="107" width="6.7109375" style="904" customWidth="1" collapsed="1"/>
    <col min="108" max="113" width="6.7109375" style="904" customWidth="1"/>
    <col min="114" max="115" width="9.140625" style="904"/>
    <col min="116" max="117" width="9.140625" style="918"/>
    <col min="118" max="16384" width="9.140625" style="904"/>
  </cols>
  <sheetData>
    <row r="1" spans="1:114" ht="12" customHeight="1">
      <c r="A1" s="903" t="s">
        <v>951</v>
      </c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905"/>
      <c r="V1" s="905"/>
      <c r="W1" s="905"/>
      <c r="X1" s="905"/>
      <c r="Y1" s="905"/>
      <c r="Z1" s="905"/>
      <c r="AA1" s="905"/>
      <c r="AB1" s="905"/>
      <c r="AC1" s="905"/>
      <c r="AD1" s="905"/>
      <c r="AE1" s="905"/>
      <c r="AF1" s="905"/>
      <c r="AG1" s="905"/>
      <c r="AH1" s="905"/>
      <c r="AI1" s="905"/>
      <c r="AJ1" s="905"/>
      <c r="AK1" s="905"/>
      <c r="AL1" s="905"/>
      <c r="AM1" s="905"/>
      <c r="AN1" s="905"/>
      <c r="AO1" s="905"/>
      <c r="AP1" s="905"/>
      <c r="AQ1" s="905"/>
      <c r="AR1" s="905"/>
      <c r="AS1" s="905"/>
      <c r="AT1" s="905"/>
      <c r="AU1" s="905"/>
      <c r="AV1" s="905"/>
    </row>
    <row r="2" spans="1:114" ht="12" customHeight="1">
      <c r="A2" s="684" t="s">
        <v>718</v>
      </c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BY2" s="906"/>
    </row>
    <row r="3" spans="1:114" ht="12" customHeight="1">
      <c r="A3" s="684" t="s">
        <v>719</v>
      </c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BN3" s="907"/>
      <c r="BV3" s="908"/>
    </row>
    <row r="4" spans="1:114" ht="12" customHeight="1">
      <c r="G4" s="905"/>
      <c r="H4" s="905"/>
      <c r="I4" s="905"/>
      <c r="J4" s="905"/>
      <c r="K4" s="905"/>
      <c r="L4" s="905"/>
      <c r="M4" s="905"/>
      <c r="N4" s="905"/>
      <c r="O4" s="905"/>
      <c r="P4" s="905"/>
      <c r="Q4" s="905"/>
      <c r="R4" s="905"/>
      <c r="S4" s="905"/>
      <c r="T4" s="905"/>
      <c r="U4" s="905"/>
      <c r="V4" s="905"/>
      <c r="W4" s="905"/>
      <c r="X4" s="905"/>
      <c r="Y4" s="905"/>
      <c r="Z4" s="905"/>
      <c r="AA4" s="905"/>
      <c r="AB4" s="905"/>
      <c r="AC4" s="905"/>
      <c r="AD4" s="905"/>
      <c r="AE4" s="905"/>
      <c r="AF4" s="905"/>
      <c r="AG4" s="905"/>
      <c r="AH4" s="905"/>
      <c r="AI4" s="905"/>
      <c r="AJ4" s="905"/>
      <c r="AK4" s="905"/>
      <c r="AL4" s="905"/>
      <c r="AM4" s="905"/>
      <c r="AN4" s="905"/>
      <c r="AO4" s="905"/>
      <c r="AP4" s="905"/>
      <c r="AQ4" s="905"/>
      <c r="AR4" s="905"/>
      <c r="AS4" s="905"/>
      <c r="AT4" s="686"/>
      <c r="AU4" s="905"/>
      <c r="AV4" s="905"/>
      <c r="AY4" s="686"/>
      <c r="AZ4" s="686"/>
      <c r="BA4" s="686"/>
      <c r="BB4" s="686"/>
      <c r="BC4" s="686"/>
      <c r="BD4" s="686"/>
      <c r="BG4" s="905"/>
      <c r="BI4" s="686"/>
      <c r="BL4" s="905"/>
      <c r="BN4" s="909"/>
      <c r="BQ4" s="905"/>
      <c r="BS4" s="910"/>
      <c r="BV4" s="908"/>
      <c r="BW4" s="908"/>
      <c r="BX4" s="686"/>
      <c r="CC4" s="686"/>
      <c r="CH4" s="686"/>
      <c r="CM4" s="686"/>
      <c r="CR4" s="686"/>
    </row>
    <row r="5" spans="1:114" ht="12" customHeight="1" thickBot="1">
      <c r="Q5" s="911"/>
      <c r="R5" s="911"/>
      <c r="S5" s="911"/>
      <c r="T5" s="911"/>
      <c r="V5" s="911" t="s">
        <v>952</v>
      </c>
      <c r="W5" s="911" t="s">
        <v>952</v>
      </c>
      <c r="X5" s="911" t="s">
        <v>952</v>
      </c>
      <c r="Y5" s="911" t="s">
        <v>952</v>
      </c>
      <c r="AA5" s="911">
        <v>606</v>
      </c>
      <c r="AB5" s="911">
        <v>606</v>
      </c>
      <c r="AC5" s="911">
        <v>606</v>
      </c>
      <c r="AD5" s="911">
        <v>606</v>
      </c>
    </row>
    <row r="6" spans="1:114" s="918" customFormat="1" ht="12" customHeight="1">
      <c r="A6" s="912" t="s">
        <v>720</v>
      </c>
      <c r="B6" s="1184">
        <v>2012</v>
      </c>
      <c r="C6" s="1184"/>
      <c r="D6" s="1184"/>
      <c r="E6" s="1185"/>
      <c r="F6" s="913" t="s">
        <v>721</v>
      </c>
      <c r="G6" s="1183">
        <v>2013</v>
      </c>
      <c r="H6" s="1184"/>
      <c r="I6" s="1184"/>
      <c r="J6" s="1185"/>
      <c r="K6" s="913" t="s">
        <v>721</v>
      </c>
      <c r="L6" s="1183">
        <v>2014</v>
      </c>
      <c r="M6" s="1184"/>
      <c r="N6" s="1184"/>
      <c r="O6" s="1185"/>
      <c r="P6" s="913" t="s">
        <v>721</v>
      </c>
      <c r="Q6" s="1183">
        <v>2015</v>
      </c>
      <c r="R6" s="1184"/>
      <c r="S6" s="1184"/>
      <c r="T6" s="1185"/>
      <c r="U6" s="913" t="s">
        <v>721</v>
      </c>
      <c r="V6" s="1183">
        <v>2016</v>
      </c>
      <c r="W6" s="1184"/>
      <c r="X6" s="1184"/>
      <c r="Y6" s="1185"/>
      <c r="Z6" s="913" t="s">
        <v>721</v>
      </c>
      <c r="AA6" s="1183">
        <v>2017</v>
      </c>
      <c r="AB6" s="1184"/>
      <c r="AC6" s="1184"/>
      <c r="AD6" s="1185"/>
      <c r="AE6" s="913" t="s">
        <v>721</v>
      </c>
      <c r="AF6" s="1183">
        <v>2018</v>
      </c>
      <c r="AG6" s="1184"/>
      <c r="AH6" s="1184"/>
      <c r="AI6" s="1185"/>
      <c r="AJ6" s="913" t="s">
        <v>721</v>
      </c>
      <c r="AK6" s="1183">
        <v>2019</v>
      </c>
      <c r="AL6" s="1184"/>
      <c r="AM6" s="1184"/>
      <c r="AN6" s="1185"/>
      <c r="AO6" s="913" t="s">
        <v>721</v>
      </c>
      <c r="AP6" s="1183">
        <v>2020</v>
      </c>
      <c r="AQ6" s="1184"/>
      <c r="AR6" s="1184"/>
      <c r="AS6" s="1185"/>
      <c r="AT6" s="913" t="s">
        <v>721</v>
      </c>
      <c r="AU6" s="1183">
        <v>2021</v>
      </c>
      <c r="AV6" s="1184"/>
      <c r="AW6" s="1184"/>
      <c r="AX6" s="1185"/>
      <c r="AY6" s="913" t="s">
        <v>721</v>
      </c>
      <c r="AZ6" s="1183">
        <v>2022</v>
      </c>
      <c r="BA6" s="1184"/>
      <c r="BB6" s="1184"/>
      <c r="BC6" s="1185"/>
      <c r="BD6" s="913" t="s">
        <v>721</v>
      </c>
      <c r="BE6" s="1183">
        <v>2023</v>
      </c>
      <c r="BF6" s="1184"/>
      <c r="BG6" s="1184"/>
      <c r="BH6" s="1185"/>
      <c r="BI6" s="913" t="s">
        <v>721</v>
      </c>
      <c r="BJ6" s="1183">
        <v>2024</v>
      </c>
      <c r="BK6" s="1184"/>
      <c r="BL6" s="1184"/>
      <c r="BM6" s="1185"/>
      <c r="BN6" s="913" t="s">
        <v>721</v>
      </c>
      <c r="BO6" s="1183">
        <v>2025</v>
      </c>
      <c r="BP6" s="1184"/>
      <c r="BQ6" s="1184"/>
      <c r="BR6" s="1185"/>
      <c r="BS6" s="913" t="s">
        <v>721</v>
      </c>
      <c r="BT6" s="1183">
        <v>2026</v>
      </c>
      <c r="BU6" s="1184"/>
      <c r="BV6" s="1184"/>
      <c r="BW6" s="1185"/>
      <c r="BX6" s="913" t="s">
        <v>722</v>
      </c>
      <c r="BY6" s="1183">
        <v>2027</v>
      </c>
      <c r="BZ6" s="1184"/>
      <c r="CA6" s="1184"/>
      <c r="CB6" s="1185"/>
      <c r="CC6" s="913" t="s">
        <v>722</v>
      </c>
      <c r="CD6" s="1183">
        <v>2028</v>
      </c>
      <c r="CE6" s="1184"/>
      <c r="CF6" s="1184"/>
      <c r="CG6" s="1185"/>
      <c r="CH6" s="913" t="s">
        <v>722</v>
      </c>
      <c r="CI6" s="1183">
        <v>2029</v>
      </c>
      <c r="CJ6" s="1184"/>
      <c r="CK6" s="1184"/>
      <c r="CL6" s="1185"/>
      <c r="CM6" s="913" t="s">
        <v>722</v>
      </c>
      <c r="CN6" s="1183">
        <v>2030</v>
      </c>
      <c r="CO6" s="1184"/>
      <c r="CP6" s="1184"/>
      <c r="CQ6" s="1185"/>
      <c r="CR6" s="913" t="s">
        <v>722</v>
      </c>
      <c r="CS6" s="914">
        <v>0</v>
      </c>
      <c r="CT6" s="915" t="s">
        <v>723</v>
      </c>
      <c r="CU6" s="915" t="s">
        <v>724</v>
      </c>
      <c r="CV6" s="904"/>
      <c r="CW6" s="916"/>
      <c r="CX6" s="916"/>
      <c r="CY6" s="916"/>
      <c r="CZ6" s="916"/>
      <c r="DA6" s="916"/>
      <c r="DB6" s="916"/>
      <c r="DC6" s="916"/>
      <c r="DD6" s="916"/>
      <c r="DE6" s="916"/>
      <c r="DF6" s="916"/>
      <c r="DG6" s="916"/>
      <c r="DH6" s="916"/>
      <c r="DI6" s="916"/>
      <c r="DJ6" s="917"/>
    </row>
    <row r="7" spans="1:114" s="918" customFormat="1" ht="12" customHeight="1">
      <c r="A7" s="919" t="s">
        <v>725</v>
      </c>
      <c r="B7" s="920" t="s">
        <v>726</v>
      </c>
      <c r="C7" s="920" t="s">
        <v>727</v>
      </c>
      <c r="D7" s="920" t="s">
        <v>728</v>
      </c>
      <c r="E7" s="921" t="s">
        <v>729</v>
      </c>
      <c r="F7" s="922">
        <v>2012</v>
      </c>
      <c r="G7" s="923" t="s">
        <v>730</v>
      </c>
      <c r="H7" s="920" t="s">
        <v>731</v>
      </c>
      <c r="I7" s="920" t="s">
        <v>732</v>
      </c>
      <c r="J7" s="921" t="s">
        <v>733</v>
      </c>
      <c r="K7" s="922">
        <v>2013</v>
      </c>
      <c r="L7" s="923" t="s">
        <v>734</v>
      </c>
      <c r="M7" s="920" t="s">
        <v>735</v>
      </c>
      <c r="N7" s="920" t="s">
        <v>736</v>
      </c>
      <c r="O7" s="921" t="s">
        <v>737</v>
      </c>
      <c r="P7" s="922">
        <v>2014</v>
      </c>
      <c r="Q7" s="923" t="s">
        <v>738</v>
      </c>
      <c r="R7" s="920" t="s">
        <v>739</v>
      </c>
      <c r="S7" s="920" t="s">
        <v>740</v>
      </c>
      <c r="T7" s="921" t="s">
        <v>741</v>
      </c>
      <c r="U7" s="922">
        <v>2015</v>
      </c>
      <c r="V7" s="923" t="s">
        <v>742</v>
      </c>
      <c r="W7" s="920" t="s">
        <v>743</v>
      </c>
      <c r="X7" s="920" t="s">
        <v>744</v>
      </c>
      <c r="Y7" s="921" t="s">
        <v>745</v>
      </c>
      <c r="Z7" s="922">
        <v>2016</v>
      </c>
      <c r="AA7" s="923" t="s">
        <v>746</v>
      </c>
      <c r="AB7" s="920" t="s">
        <v>747</v>
      </c>
      <c r="AC7" s="920" t="s">
        <v>748</v>
      </c>
      <c r="AD7" s="921" t="s">
        <v>749</v>
      </c>
      <c r="AE7" s="922">
        <v>2017</v>
      </c>
      <c r="AF7" s="923" t="s">
        <v>750</v>
      </c>
      <c r="AG7" s="920" t="s">
        <v>751</v>
      </c>
      <c r="AH7" s="920" t="s">
        <v>752</v>
      </c>
      <c r="AI7" s="920" t="s">
        <v>753</v>
      </c>
      <c r="AJ7" s="922">
        <v>2018</v>
      </c>
      <c r="AK7" s="920" t="s">
        <v>754</v>
      </c>
      <c r="AL7" s="920" t="s">
        <v>755</v>
      </c>
      <c r="AM7" s="920" t="s">
        <v>756</v>
      </c>
      <c r="AN7" s="921" t="s">
        <v>757</v>
      </c>
      <c r="AO7" s="922">
        <v>2019</v>
      </c>
      <c r="AP7" s="923" t="s">
        <v>758</v>
      </c>
      <c r="AQ7" s="920" t="s">
        <v>759</v>
      </c>
      <c r="AR7" s="920" t="s">
        <v>760</v>
      </c>
      <c r="AS7" s="921" t="s">
        <v>761</v>
      </c>
      <c r="AT7" s="922">
        <v>2020</v>
      </c>
      <c r="AU7" s="923" t="s">
        <v>762</v>
      </c>
      <c r="AV7" s="920" t="s">
        <v>763</v>
      </c>
      <c r="AW7" s="920" t="s">
        <v>764</v>
      </c>
      <c r="AX7" s="921" t="s">
        <v>765</v>
      </c>
      <c r="AY7" s="922">
        <v>2021</v>
      </c>
      <c r="AZ7" s="923" t="s">
        <v>766</v>
      </c>
      <c r="BA7" s="920" t="s">
        <v>767</v>
      </c>
      <c r="BB7" s="920" t="s">
        <v>768</v>
      </c>
      <c r="BC7" s="921" t="s">
        <v>769</v>
      </c>
      <c r="BD7" s="922">
        <v>2022</v>
      </c>
      <c r="BE7" s="923" t="s">
        <v>770</v>
      </c>
      <c r="BF7" s="920" t="s">
        <v>771</v>
      </c>
      <c r="BG7" s="920" t="s">
        <v>772</v>
      </c>
      <c r="BH7" s="921" t="s">
        <v>773</v>
      </c>
      <c r="BI7" s="922">
        <v>2023</v>
      </c>
      <c r="BJ7" s="923" t="s">
        <v>774</v>
      </c>
      <c r="BK7" s="920" t="s">
        <v>775</v>
      </c>
      <c r="BL7" s="920" t="s">
        <v>776</v>
      </c>
      <c r="BM7" s="921" t="s">
        <v>777</v>
      </c>
      <c r="BN7" s="922">
        <v>2024</v>
      </c>
      <c r="BO7" s="923" t="s">
        <v>778</v>
      </c>
      <c r="BP7" s="920" t="s">
        <v>779</v>
      </c>
      <c r="BQ7" s="920" t="s">
        <v>780</v>
      </c>
      <c r="BR7" s="921" t="s">
        <v>781</v>
      </c>
      <c r="BS7" s="922">
        <v>2025</v>
      </c>
      <c r="BT7" s="923" t="s">
        <v>782</v>
      </c>
      <c r="BU7" s="920" t="s">
        <v>783</v>
      </c>
      <c r="BV7" s="920" t="s">
        <v>784</v>
      </c>
      <c r="BW7" s="921" t="s">
        <v>785</v>
      </c>
      <c r="BX7" s="922">
        <v>2026</v>
      </c>
      <c r="BY7" s="923" t="s">
        <v>786</v>
      </c>
      <c r="BZ7" s="920" t="s">
        <v>787</v>
      </c>
      <c r="CA7" s="920" t="s">
        <v>788</v>
      </c>
      <c r="CB7" s="921" t="s">
        <v>789</v>
      </c>
      <c r="CC7" s="922">
        <v>2027</v>
      </c>
      <c r="CD7" s="923" t="s">
        <v>790</v>
      </c>
      <c r="CE7" s="920" t="s">
        <v>791</v>
      </c>
      <c r="CF7" s="920" t="s">
        <v>792</v>
      </c>
      <c r="CG7" s="921" t="s">
        <v>793</v>
      </c>
      <c r="CH7" s="922">
        <v>2028</v>
      </c>
      <c r="CI7" s="923" t="s">
        <v>794</v>
      </c>
      <c r="CJ7" s="920" t="s">
        <v>795</v>
      </c>
      <c r="CK7" s="920" t="s">
        <v>796</v>
      </c>
      <c r="CL7" s="921" t="s">
        <v>797</v>
      </c>
      <c r="CM7" s="922">
        <v>2029</v>
      </c>
      <c r="CN7" s="923" t="s">
        <v>798</v>
      </c>
      <c r="CO7" s="920" t="s">
        <v>799</v>
      </c>
      <c r="CP7" s="920" t="s">
        <v>800</v>
      </c>
      <c r="CQ7" s="921" t="s">
        <v>801</v>
      </c>
      <c r="CR7" s="922">
        <v>2030</v>
      </c>
      <c r="CS7" s="914"/>
      <c r="CT7" s="924" t="s">
        <v>802</v>
      </c>
      <c r="CU7" s="924" t="s">
        <v>802</v>
      </c>
      <c r="CV7" s="904"/>
      <c r="CW7" s="916"/>
      <c r="CX7" s="916"/>
      <c r="CY7" s="916"/>
      <c r="CZ7" s="916"/>
      <c r="DA7" s="916"/>
      <c r="DB7" s="916"/>
      <c r="DC7" s="916"/>
      <c r="DD7" s="916"/>
      <c r="DE7" s="916"/>
      <c r="DF7" s="916"/>
      <c r="DG7" s="916"/>
      <c r="DH7" s="916"/>
      <c r="DI7" s="916"/>
      <c r="DJ7" s="917"/>
    </row>
    <row r="8" spans="1:114" s="918" customFormat="1" ht="12" customHeight="1" thickBot="1">
      <c r="A8" s="925"/>
      <c r="B8" s="926" t="s">
        <v>803</v>
      </c>
      <c r="C8" s="926" t="s">
        <v>804</v>
      </c>
      <c r="D8" s="926" t="s">
        <v>805</v>
      </c>
      <c r="E8" s="927" t="s">
        <v>806</v>
      </c>
      <c r="F8" s="928"/>
      <c r="G8" s="929" t="s">
        <v>807</v>
      </c>
      <c r="H8" s="926" t="s">
        <v>808</v>
      </c>
      <c r="I8" s="926" t="s">
        <v>809</v>
      </c>
      <c r="J8" s="927" t="s">
        <v>810</v>
      </c>
      <c r="K8" s="928"/>
      <c r="L8" s="929" t="s">
        <v>811</v>
      </c>
      <c r="M8" s="926" t="s">
        <v>812</v>
      </c>
      <c r="N8" s="926" t="s">
        <v>813</v>
      </c>
      <c r="O8" s="927" t="s">
        <v>814</v>
      </c>
      <c r="P8" s="928"/>
      <c r="Q8" s="929" t="s">
        <v>815</v>
      </c>
      <c r="R8" s="926" t="s">
        <v>816</v>
      </c>
      <c r="S8" s="926" t="s">
        <v>817</v>
      </c>
      <c r="T8" s="927" t="s">
        <v>818</v>
      </c>
      <c r="U8" s="928"/>
      <c r="V8" s="929" t="s">
        <v>819</v>
      </c>
      <c r="W8" s="926" t="s">
        <v>820</v>
      </c>
      <c r="X8" s="926" t="s">
        <v>821</v>
      </c>
      <c r="Y8" s="927" t="s">
        <v>822</v>
      </c>
      <c r="Z8" s="928"/>
      <c r="AA8" s="929" t="s">
        <v>823</v>
      </c>
      <c r="AB8" s="926" t="s">
        <v>824</v>
      </c>
      <c r="AC8" s="926" t="s">
        <v>825</v>
      </c>
      <c r="AD8" s="927" t="s">
        <v>826</v>
      </c>
      <c r="AE8" s="928"/>
      <c r="AF8" s="929" t="s">
        <v>827</v>
      </c>
      <c r="AG8" s="926" t="s">
        <v>828</v>
      </c>
      <c r="AH8" s="926" t="s">
        <v>829</v>
      </c>
      <c r="AI8" s="926" t="s">
        <v>830</v>
      </c>
      <c r="AJ8" s="928"/>
      <c r="AK8" s="926" t="s">
        <v>831</v>
      </c>
      <c r="AL8" s="926" t="s">
        <v>832</v>
      </c>
      <c r="AM8" s="926" t="s">
        <v>833</v>
      </c>
      <c r="AN8" s="927" t="s">
        <v>834</v>
      </c>
      <c r="AO8" s="928"/>
      <c r="AP8" s="929" t="s">
        <v>835</v>
      </c>
      <c r="AQ8" s="926" t="s">
        <v>836</v>
      </c>
      <c r="AR8" s="926" t="s">
        <v>837</v>
      </c>
      <c r="AS8" s="927" t="s">
        <v>838</v>
      </c>
      <c r="AT8" s="928"/>
      <c r="AU8" s="929" t="s">
        <v>839</v>
      </c>
      <c r="AV8" s="926" t="s">
        <v>840</v>
      </c>
      <c r="AW8" s="926" t="s">
        <v>841</v>
      </c>
      <c r="AX8" s="927" t="s">
        <v>842</v>
      </c>
      <c r="AY8" s="928"/>
      <c r="AZ8" s="929" t="s">
        <v>843</v>
      </c>
      <c r="BA8" s="926" t="s">
        <v>844</v>
      </c>
      <c r="BB8" s="926" t="s">
        <v>845</v>
      </c>
      <c r="BC8" s="927" t="s">
        <v>846</v>
      </c>
      <c r="BD8" s="928"/>
      <c r="BE8" s="929" t="s">
        <v>847</v>
      </c>
      <c r="BF8" s="926" t="s">
        <v>848</v>
      </c>
      <c r="BG8" s="926" t="s">
        <v>849</v>
      </c>
      <c r="BH8" s="927" t="s">
        <v>850</v>
      </c>
      <c r="BI8" s="928"/>
      <c r="BJ8" s="929" t="s">
        <v>851</v>
      </c>
      <c r="BK8" s="926" t="s">
        <v>852</v>
      </c>
      <c r="BL8" s="926" t="s">
        <v>853</v>
      </c>
      <c r="BM8" s="927" t="s">
        <v>854</v>
      </c>
      <c r="BN8" s="928"/>
      <c r="BO8" s="929" t="s">
        <v>855</v>
      </c>
      <c r="BP8" s="926" t="s">
        <v>856</v>
      </c>
      <c r="BQ8" s="926" t="s">
        <v>857</v>
      </c>
      <c r="BR8" s="927" t="s">
        <v>858</v>
      </c>
      <c r="BS8" s="928"/>
      <c r="BT8" s="929" t="s">
        <v>859</v>
      </c>
      <c r="BU8" s="926" t="s">
        <v>860</v>
      </c>
      <c r="BV8" s="926" t="s">
        <v>861</v>
      </c>
      <c r="BW8" s="927" t="s">
        <v>862</v>
      </c>
      <c r="BX8" s="928"/>
      <c r="BY8" s="929" t="s">
        <v>863</v>
      </c>
      <c r="BZ8" s="926" t="s">
        <v>864</v>
      </c>
      <c r="CA8" s="926" t="s">
        <v>865</v>
      </c>
      <c r="CB8" s="927" t="s">
        <v>866</v>
      </c>
      <c r="CC8" s="928"/>
      <c r="CD8" s="929" t="s">
        <v>867</v>
      </c>
      <c r="CE8" s="926" t="s">
        <v>868</v>
      </c>
      <c r="CF8" s="926" t="s">
        <v>869</v>
      </c>
      <c r="CG8" s="927" t="s">
        <v>870</v>
      </c>
      <c r="CH8" s="928"/>
      <c r="CI8" s="929" t="s">
        <v>871</v>
      </c>
      <c r="CJ8" s="926" t="s">
        <v>872</v>
      </c>
      <c r="CK8" s="926" t="s">
        <v>873</v>
      </c>
      <c r="CL8" s="927" t="s">
        <v>874</v>
      </c>
      <c r="CM8" s="928"/>
      <c r="CN8" s="929" t="s">
        <v>875</v>
      </c>
      <c r="CO8" s="926" t="s">
        <v>876</v>
      </c>
      <c r="CP8" s="926" t="s">
        <v>877</v>
      </c>
      <c r="CQ8" s="927" t="s">
        <v>878</v>
      </c>
      <c r="CR8" s="928"/>
      <c r="CS8" s="914">
        <v>0</v>
      </c>
      <c r="CT8" s="930"/>
      <c r="CU8" s="930"/>
      <c r="CV8" s="904"/>
      <c r="CW8" s="931">
        <v>2018</v>
      </c>
      <c r="CX8" s="931">
        <v>2019</v>
      </c>
      <c r="CY8" s="931">
        <v>2020</v>
      </c>
      <c r="CZ8" s="931">
        <v>2021</v>
      </c>
      <c r="DA8" s="931">
        <v>2022</v>
      </c>
      <c r="DB8" s="931">
        <v>2023</v>
      </c>
      <c r="DC8" s="931">
        <v>2024</v>
      </c>
      <c r="DD8" s="931">
        <v>2025</v>
      </c>
      <c r="DE8" s="931">
        <v>2026</v>
      </c>
      <c r="DF8" s="931">
        <v>2027</v>
      </c>
      <c r="DG8" s="931">
        <v>2028</v>
      </c>
      <c r="DH8" s="931">
        <v>2029</v>
      </c>
      <c r="DI8" s="931">
        <v>2030</v>
      </c>
      <c r="DJ8" s="917"/>
    </row>
    <row r="9" spans="1:114" ht="12" customHeight="1">
      <c r="A9" s="932"/>
      <c r="B9" s="933"/>
      <c r="C9" s="934"/>
      <c r="D9" s="934"/>
      <c r="E9" s="934"/>
      <c r="F9" s="935"/>
      <c r="G9" s="933"/>
      <c r="H9" s="934"/>
      <c r="I9" s="934"/>
      <c r="J9" s="934"/>
      <c r="K9" s="935"/>
      <c r="L9" s="934"/>
      <c r="M9" s="934"/>
      <c r="N9" s="934"/>
      <c r="O9" s="934"/>
      <c r="P9" s="935"/>
      <c r="Q9" s="933"/>
      <c r="R9" s="934"/>
      <c r="S9" s="934"/>
      <c r="T9" s="934"/>
      <c r="U9" s="935"/>
      <c r="V9" s="933"/>
      <c r="W9" s="934"/>
      <c r="X9" s="934"/>
      <c r="Y9" s="934"/>
      <c r="Z9" s="935"/>
      <c r="AA9" s="934"/>
      <c r="AB9" s="934"/>
      <c r="AC9" s="934"/>
      <c r="AD9" s="934"/>
      <c r="AE9" s="935"/>
      <c r="AF9" s="934"/>
      <c r="AG9" s="934"/>
      <c r="AH9" s="934"/>
      <c r="AI9" s="934"/>
      <c r="AJ9" s="935"/>
      <c r="AK9" s="934"/>
      <c r="AL9" s="934"/>
      <c r="AM9" s="934"/>
      <c r="AN9" s="934"/>
      <c r="AO9" s="936"/>
      <c r="AP9" s="934"/>
      <c r="AQ9" s="934"/>
      <c r="AR9" s="934"/>
      <c r="AS9" s="934"/>
      <c r="AT9" s="936"/>
      <c r="AU9" s="934"/>
      <c r="AV9" s="934"/>
      <c r="AW9" s="934"/>
      <c r="AX9" s="934"/>
      <c r="AY9" s="936"/>
      <c r="AZ9" s="934"/>
      <c r="BA9" s="934"/>
      <c r="BB9" s="934"/>
      <c r="BC9" s="934"/>
      <c r="BD9" s="936"/>
      <c r="BE9" s="934"/>
      <c r="BF9" s="934"/>
      <c r="BG9" s="934"/>
      <c r="BH9" s="934"/>
      <c r="BI9" s="936"/>
      <c r="BJ9" s="934"/>
      <c r="BK9" s="934"/>
      <c r="BL9" s="937"/>
      <c r="BM9" s="934"/>
      <c r="BN9" s="936"/>
      <c r="BO9" s="934"/>
      <c r="BP9" s="934"/>
      <c r="BQ9" s="934"/>
      <c r="BR9" s="934"/>
      <c r="BS9" s="936"/>
      <c r="BT9" s="934"/>
      <c r="BU9" s="934"/>
      <c r="BV9" s="934"/>
      <c r="BW9" s="934"/>
      <c r="BX9" s="936"/>
      <c r="BY9" s="934"/>
      <c r="BZ9" s="934"/>
      <c r="CA9" s="934"/>
      <c r="CB9" s="934"/>
      <c r="CC9" s="936"/>
      <c r="CD9" s="934"/>
      <c r="CE9" s="934"/>
      <c r="CF9" s="934"/>
      <c r="CG9" s="934"/>
      <c r="CH9" s="936"/>
      <c r="CI9" s="934"/>
      <c r="CJ9" s="934"/>
      <c r="CK9" s="934"/>
      <c r="CL9" s="934"/>
      <c r="CM9" s="936"/>
      <c r="CN9" s="934"/>
      <c r="CO9" s="934"/>
      <c r="CP9" s="934"/>
      <c r="CQ9" s="934"/>
      <c r="CR9" s="936"/>
      <c r="CT9" s="938"/>
      <c r="CU9" s="938"/>
      <c r="CW9" s="939"/>
      <c r="CX9" s="939"/>
      <c r="CY9" s="939"/>
      <c r="CZ9" s="939"/>
      <c r="DA9" s="939"/>
      <c r="DB9" s="939"/>
      <c r="DC9" s="939"/>
      <c r="DD9" s="939"/>
      <c r="DE9" s="939"/>
      <c r="DF9" s="939"/>
      <c r="DG9" s="939"/>
      <c r="DH9" s="939"/>
      <c r="DI9" s="939"/>
    </row>
    <row r="10" spans="1:114" ht="12" customHeight="1">
      <c r="A10" s="932" t="s">
        <v>953</v>
      </c>
      <c r="B10" s="940"/>
      <c r="C10" s="940"/>
      <c r="D10" s="940"/>
      <c r="E10" s="940"/>
      <c r="F10" s="941"/>
      <c r="G10" s="940"/>
      <c r="H10" s="940"/>
      <c r="I10" s="940"/>
      <c r="J10" s="940"/>
      <c r="K10" s="941"/>
      <c r="L10" s="940"/>
      <c r="M10" s="940"/>
      <c r="N10" s="940"/>
      <c r="O10" s="940"/>
      <c r="P10" s="941"/>
      <c r="Q10" s="940"/>
      <c r="R10" s="940"/>
      <c r="S10" s="940"/>
      <c r="T10" s="940"/>
      <c r="U10" s="941"/>
      <c r="V10" s="940"/>
      <c r="W10" s="940"/>
      <c r="X10" s="940"/>
      <c r="Y10" s="940"/>
      <c r="Z10" s="942"/>
      <c r="AA10" s="940"/>
      <c r="AB10" s="940"/>
      <c r="AC10" s="940"/>
      <c r="AD10" s="940"/>
      <c r="AE10" s="941"/>
      <c r="AF10" s="940"/>
      <c r="AG10" s="940"/>
      <c r="AH10" s="940"/>
      <c r="AI10" s="940"/>
      <c r="AJ10" s="941"/>
      <c r="AK10" s="940"/>
      <c r="AL10" s="940"/>
      <c r="AM10" s="940"/>
      <c r="AN10" s="940"/>
      <c r="AO10" s="941"/>
      <c r="AP10" s="940">
        <v>0</v>
      </c>
      <c r="AQ10" s="940">
        <v>0</v>
      </c>
      <c r="AR10" s="940">
        <v>0</v>
      </c>
      <c r="AS10" s="940">
        <v>0</v>
      </c>
      <c r="AT10" s="941">
        <v>373.005</v>
      </c>
      <c r="AU10" s="940">
        <v>66.886500000000026</v>
      </c>
      <c r="AV10" s="940">
        <v>65.579499999999982</v>
      </c>
      <c r="AW10" s="940">
        <v>48.708999999999989</v>
      </c>
      <c r="AX10" s="940">
        <v>94.327000000000012</v>
      </c>
      <c r="AY10" s="941">
        <v>275.50200000000001</v>
      </c>
      <c r="AZ10" s="940">
        <v>75.936999999999998</v>
      </c>
      <c r="BA10" s="940">
        <v>88.550999999999988</v>
      </c>
      <c r="BB10" s="940">
        <v>176.13000000000002</v>
      </c>
      <c r="BC10" s="940">
        <v>186.90299999999993</v>
      </c>
      <c r="BD10" s="941">
        <v>527.52099999999996</v>
      </c>
      <c r="BE10" s="940">
        <v>147.93200000000004</v>
      </c>
      <c r="BF10" s="940">
        <v>160.71</v>
      </c>
      <c r="BG10" s="940">
        <v>161.15499999999997</v>
      </c>
      <c r="BH10" s="940">
        <v>196.61600000000001</v>
      </c>
      <c r="BI10" s="941">
        <v>666.41300000000001</v>
      </c>
      <c r="BJ10" s="940">
        <v>136.71799999999999</v>
      </c>
      <c r="BK10" s="940">
        <v>148.59299999999999</v>
      </c>
      <c r="BL10" s="940">
        <v>163.54900000000001</v>
      </c>
      <c r="BM10" s="940">
        <v>194.578</v>
      </c>
      <c r="BN10" s="941">
        <v>643.4380000000001</v>
      </c>
      <c r="BO10" s="940">
        <v>124.76000000000002</v>
      </c>
      <c r="BP10" s="940">
        <v>135.88300000000001</v>
      </c>
      <c r="BQ10" s="940">
        <v>169.25899999999999</v>
      </c>
      <c r="BR10" s="940">
        <v>180.84700000000001</v>
      </c>
      <c r="BS10" s="941">
        <v>610.74900000000002</v>
      </c>
      <c r="BT10" s="940">
        <v>140.477</v>
      </c>
      <c r="BU10" s="940">
        <v>130.51875516000001</v>
      </c>
      <c r="BV10" s="940">
        <v>167.495406</v>
      </c>
      <c r="BW10" s="940">
        <v>176.08441999999999</v>
      </c>
      <c r="BX10" s="941">
        <v>614.57558115999996</v>
      </c>
      <c r="BY10" s="940">
        <v>130.05559426000002</v>
      </c>
      <c r="BZ10" s="940">
        <v>137.13629280360004</v>
      </c>
      <c r="CA10" s="940">
        <v>174.31941563999999</v>
      </c>
      <c r="CB10" s="940">
        <v>188.67039999999997</v>
      </c>
      <c r="CC10" s="941">
        <v>630.18170270360008</v>
      </c>
      <c r="CD10" s="940">
        <v>138.32653801180001</v>
      </c>
      <c r="CE10" s="940">
        <v>142.34644870850806</v>
      </c>
      <c r="CF10" s="940">
        <v>181.61900578919997</v>
      </c>
      <c r="CG10" s="940">
        <v>196.12380359999997</v>
      </c>
      <c r="CH10" s="941">
        <v>658.41579610950805</v>
      </c>
      <c r="CI10" s="940">
        <v>147.57427346475401</v>
      </c>
      <c r="CJ10" s="940">
        <v>147.94905810668337</v>
      </c>
      <c r="CK10" s="940">
        <v>189.40696777487599</v>
      </c>
      <c r="CL10" s="940">
        <v>204.57880222399999</v>
      </c>
      <c r="CM10" s="941">
        <v>689.50910157031342</v>
      </c>
      <c r="CN10" s="940">
        <v>157.29723784952475</v>
      </c>
      <c r="CO10" s="940">
        <v>153.62617711115772</v>
      </c>
      <c r="CP10" s="940">
        <v>197.74339420172228</v>
      </c>
      <c r="CQ10" s="940">
        <v>213.09718265188005</v>
      </c>
      <c r="CR10" s="941">
        <v>721.76399181428474</v>
      </c>
      <c r="CT10" s="732">
        <f>+(CC10/BN10)^(0.333333333333333)-1</f>
        <v>-6.915139458520958E-3</v>
      </c>
      <c r="CU10" s="732">
        <f>+(CM10/BN10)^(0.2)-1</f>
        <v>1.3926933234993832E-2</v>
      </c>
      <c r="CW10" s="943">
        <f>+ROUND(AJ10,3)-ROUND(SUM(AF10:AI10),3)</f>
        <v>0</v>
      </c>
      <c r="CX10" s="943">
        <f>+ROUND(AO10,3)-ROUND(SUM(AK10:AN10),3)</f>
        <v>0</v>
      </c>
      <c r="CY10" s="943">
        <f>+ROUND(AT10,3)-ROUND(SUM(AP10:AS10),3)</f>
        <v>373.005</v>
      </c>
      <c r="CZ10" s="943">
        <f>+ROUND(AY10,3)-ROUND(SUM(AU10:AX10),3)</f>
        <v>0</v>
      </c>
      <c r="DA10" s="943">
        <f>+ROUND(BD10,3)-ROUND(SUM(AZ10:BC10),3)</f>
        <v>0</v>
      </c>
      <c r="DB10" s="943">
        <f>+ROUND(BI10,3)-ROUND(SUM(BE10:BH10),3)</f>
        <v>0</v>
      </c>
      <c r="DC10" s="943">
        <f>+ROUND(BN10,3)-ROUND(SUM(BJ10:BM10),3)</f>
        <v>0</v>
      </c>
      <c r="DD10" s="943">
        <f>+ROUND(BS10,3)-ROUND(SUM(BO10:BR10),3)</f>
        <v>0</v>
      </c>
      <c r="DE10" s="943">
        <f>+ROUND(BX10,3)-ROUND(SUM(BT10:BW10),3)</f>
        <v>0</v>
      </c>
      <c r="DF10" s="943">
        <f>+ROUND(CC10,3)-ROUND(SUM(BY10:CB10),3)</f>
        <v>0</v>
      </c>
      <c r="DG10" s="943">
        <f>+ROUND(CH10,3)-ROUND(SUM(CD10:CG10),3)</f>
        <v>0</v>
      </c>
      <c r="DH10" s="943">
        <f>+ROUND(CM10,3)-ROUND(SUM(CI10:CL10),3)</f>
        <v>0</v>
      </c>
      <c r="DI10" s="943">
        <f>+ROUND(CR10,3)-ROUND(SUM(CN10:CQ10),3)</f>
        <v>0</v>
      </c>
    </row>
    <row r="11" spans="1:114" ht="12" customHeight="1">
      <c r="A11" s="944" t="s">
        <v>954</v>
      </c>
      <c r="B11" s="940"/>
      <c r="C11" s="940"/>
      <c r="D11" s="940"/>
      <c r="E11" s="940"/>
      <c r="F11" s="941"/>
      <c r="G11" s="940"/>
      <c r="H11" s="940"/>
      <c r="I11" s="940"/>
      <c r="J11" s="940"/>
      <c r="K11" s="941"/>
      <c r="L11" s="940"/>
      <c r="M11" s="940"/>
      <c r="N11" s="940"/>
      <c r="O11" s="945"/>
      <c r="P11" s="946"/>
      <c r="Q11" s="945"/>
      <c r="R11" s="945"/>
      <c r="S11" s="945"/>
      <c r="T11" s="945"/>
      <c r="U11" s="946"/>
      <c r="V11" s="945"/>
      <c r="W11" s="945"/>
      <c r="X11" s="945"/>
      <c r="Y11" s="945"/>
      <c r="Z11" s="946"/>
      <c r="AA11" s="945"/>
      <c r="AB11" s="945"/>
      <c r="AC11" s="945"/>
      <c r="AD11" s="945"/>
      <c r="AE11" s="946"/>
      <c r="AF11" s="945"/>
      <c r="AG11" s="945"/>
      <c r="AH11" s="945"/>
      <c r="AI11" s="945"/>
      <c r="AJ11" s="946"/>
      <c r="AK11" s="945"/>
      <c r="AL11" s="945"/>
      <c r="AM11" s="945"/>
      <c r="AN11" s="945"/>
      <c r="AO11" s="946"/>
      <c r="AP11" s="945">
        <v>0</v>
      </c>
      <c r="AQ11" s="945">
        <v>0</v>
      </c>
      <c r="AR11" s="945">
        <v>0</v>
      </c>
      <c r="AS11" s="945">
        <v>0</v>
      </c>
      <c r="AT11" s="946">
        <v>67.902999999999992</v>
      </c>
      <c r="AU11" s="945">
        <v>-16.237499999999983</v>
      </c>
      <c r="AV11" s="945">
        <v>-16.237500000000011</v>
      </c>
      <c r="AW11" s="945">
        <v>-35.372</v>
      </c>
      <c r="AX11" s="945">
        <v>13.337000000000003</v>
      </c>
      <c r="AY11" s="946">
        <v>-54.509999999999991</v>
      </c>
      <c r="AZ11" s="945">
        <v>9.61</v>
      </c>
      <c r="BA11" s="945">
        <v>10.471999999999994</v>
      </c>
      <c r="BB11" s="945">
        <v>39.128000000000014</v>
      </c>
      <c r="BC11" s="945">
        <v>42.749999999999972</v>
      </c>
      <c r="BD11" s="946">
        <v>101.95999999999998</v>
      </c>
      <c r="BE11" s="945">
        <v>-12.448999999999955</v>
      </c>
      <c r="BF11" s="945">
        <v>3.3999999999991815E-2</v>
      </c>
      <c r="BG11" s="945">
        <v>-3.7379999999999995</v>
      </c>
      <c r="BH11" s="945">
        <v>30.350999999999999</v>
      </c>
      <c r="BI11" s="946">
        <v>14.198000000000036</v>
      </c>
      <c r="BJ11" s="945">
        <v>-23.402000000000015</v>
      </c>
      <c r="BK11" s="945">
        <v>-9.8950000000000102</v>
      </c>
      <c r="BL11" s="945">
        <v>6.0519999999999925</v>
      </c>
      <c r="BM11" s="945">
        <v>36.129000000000019</v>
      </c>
      <c r="BN11" s="946">
        <v>8.8839999999999861</v>
      </c>
      <c r="BO11" s="945">
        <v>-26.402999999999992</v>
      </c>
      <c r="BP11" s="945">
        <v>-16.308999999999997</v>
      </c>
      <c r="BQ11" s="945">
        <v>17.603999999999985</v>
      </c>
      <c r="BR11" s="945">
        <v>28.169000000000011</v>
      </c>
      <c r="BS11" s="946">
        <v>3.061000000000007</v>
      </c>
      <c r="BT11" s="945">
        <v>-12.13300000000001</v>
      </c>
      <c r="BU11" s="945">
        <v>-20</v>
      </c>
      <c r="BV11" s="945">
        <v>16</v>
      </c>
      <c r="BW11" s="945">
        <v>22</v>
      </c>
      <c r="BX11" s="946">
        <v>5.8669999999999902</v>
      </c>
      <c r="BY11" s="945">
        <v>-26</v>
      </c>
      <c r="BZ11" s="945">
        <v>-16</v>
      </c>
      <c r="CA11" s="945">
        <v>19</v>
      </c>
      <c r="CB11" s="945">
        <v>30</v>
      </c>
      <c r="CC11" s="946">
        <v>7</v>
      </c>
      <c r="CD11" s="945">
        <v>-26.75</v>
      </c>
      <c r="CE11" s="945">
        <v>-16.5</v>
      </c>
      <c r="CF11" s="945">
        <v>20</v>
      </c>
      <c r="CG11" s="945">
        <v>31</v>
      </c>
      <c r="CH11" s="946">
        <v>7.75</v>
      </c>
      <c r="CI11" s="945">
        <v>-27.5</v>
      </c>
      <c r="CJ11" s="945">
        <v>-17</v>
      </c>
      <c r="CK11" s="945">
        <v>21</v>
      </c>
      <c r="CL11" s="945">
        <v>32.5</v>
      </c>
      <c r="CM11" s="946">
        <v>9</v>
      </c>
      <c r="CN11" s="945">
        <v>-28.5</v>
      </c>
      <c r="CO11" s="945">
        <v>-17.5</v>
      </c>
      <c r="CP11" s="945">
        <v>22</v>
      </c>
      <c r="CQ11" s="945">
        <v>33.500000000000028</v>
      </c>
      <c r="CR11" s="946">
        <v>9.5000000000000284</v>
      </c>
      <c r="CT11" s="938"/>
      <c r="CU11" s="938"/>
      <c r="CW11" s="943">
        <f>+ROUND(AJ11,3)-ROUND(SUM(AF11:AI11),3)</f>
        <v>0</v>
      </c>
      <c r="CX11" s="943">
        <f>+ROUND(AO11,3)-ROUND(SUM(AK11:AN11),3)</f>
        <v>0</v>
      </c>
      <c r="CY11" s="943">
        <f>+ROUND(AT11,3)-ROUND(SUM(AP11:AS11),3)</f>
        <v>67.903000000000006</v>
      </c>
      <c r="CZ11" s="943">
        <f>+ROUND(AY11,3)-ROUND(SUM(AU11:AX11),3)</f>
        <v>0</v>
      </c>
      <c r="DA11" s="943">
        <f>+ROUND(BD11,3)-ROUND(SUM(AZ11:BC11),3)</f>
        <v>0</v>
      </c>
      <c r="DB11" s="943">
        <f>+ROUND(BI11,3)-ROUND(SUM(BE11:BH11),3)</f>
        <v>0</v>
      </c>
      <c r="DC11" s="943">
        <f>+ROUND(BN11,3)-ROUND(SUM(BJ11:BM11),3)</f>
        <v>0</v>
      </c>
      <c r="DD11" s="943">
        <f>+ROUND(BS11,3)-ROUND(SUM(BO11:BR11),3)</f>
        <v>0</v>
      </c>
      <c r="DE11" s="943">
        <f>+ROUND(BX11,3)-ROUND(SUM(BT11:BW11),3)</f>
        <v>0</v>
      </c>
      <c r="DF11" s="943">
        <f>+ROUND(CC11,3)-ROUND(SUM(BY11:CB11),3)</f>
        <v>0</v>
      </c>
      <c r="DG11" s="943">
        <f>+ROUND(CH11,3)-ROUND(SUM(CD11:CG11),3)</f>
        <v>0</v>
      </c>
      <c r="DH11" s="943">
        <f>+ROUND(CM11,3)-ROUND(SUM(CI11:CL11),3)</f>
        <v>0</v>
      </c>
      <c r="DI11" s="943">
        <f>+ROUND(CR11,3)-ROUND(SUM(CN11:CQ11),3)</f>
        <v>0</v>
      </c>
    </row>
    <row r="12" spans="1:114" ht="12" customHeight="1" outlineLevel="1">
      <c r="A12" s="947" t="s">
        <v>955</v>
      </c>
      <c r="B12" s="940"/>
      <c r="C12" s="940"/>
      <c r="D12" s="940"/>
      <c r="E12" s="940"/>
      <c r="F12" s="941"/>
      <c r="G12" s="945"/>
      <c r="H12" s="945"/>
      <c r="I12" s="945"/>
      <c r="J12" s="945"/>
      <c r="K12" s="946"/>
      <c r="L12" s="945"/>
      <c r="M12" s="945"/>
      <c r="N12" s="945"/>
      <c r="O12" s="945"/>
      <c r="P12" s="946"/>
      <c r="Q12" s="945"/>
      <c r="R12" s="945"/>
      <c r="S12" s="945"/>
      <c r="T12" s="945"/>
      <c r="U12" s="946"/>
      <c r="V12" s="945"/>
      <c r="W12" s="945"/>
      <c r="X12" s="945"/>
      <c r="Y12" s="945"/>
      <c r="Z12" s="946"/>
      <c r="AA12" s="945"/>
      <c r="AB12" s="945"/>
      <c r="AC12" s="945"/>
      <c r="AD12" s="945"/>
      <c r="AE12" s="946"/>
      <c r="AF12" s="945"/>
      <c r="AG12" s="945"/>
      <c r="AH12" s="945"/>
      <c r="AI12" s="945"/>
      <c r="AJ12" s="946"/>
      <c r="AK12" s="945"/>
      <c r="AL12" s="945"/>
      <c r="AM12" s="945"/>
      <c r="AN12" s="945"/>
      <c r="AO12" s="946">
        <v>153.63399999999999</v>
      </c>
      <c r="AP12" s="945">
        <v>49.4</v>
      </c>
      <c r="AQ12" s="945">
        <v>60.4</v>
      </c>
      <c r="AR12" s="945">
        <v>66.680999999999997</v>
      </c>
      <c r="AS12" s="945">
        <v>67.5</v>
      </c>
      <c r="AT12" s="946">
        <v>243.98099999999999</v>
      </c>
      <c r="AU12" s="945">
        <v>69.604000000000013</v>
      </c>
      <c r="AV12" s="945">
        <v>69.034999999999997</v>
      </c>
      <c r="AW12" s="945">
        <v>70.373999999999995</v>
      </c>
      <c r="AX12" s="945">
        <v>64.811000000000007</v>
      </c>
      <c r="AY12" s="946">
        <v>273.82400000000001</v>
      </c>
      <c r="AZ12" s="945">
        <v>51.033999999999999</v>
      </c>
      <c r="BA12" s="945">
        <v>61.725000000000001</v>
      </c>
      <c r="BB12" s="945">
        <v>106.96899999999999</v>
      </c>
      <c r="BC12" s="945">
        <v>115.80399999999997</v>
      </c>
      <c r="BD12" s="946">
        <v>335.53199999999998</v>
      </c>
      <c r="BE12" s="945">
        <v>129.547</v>
      </c>
      <c r="BF12" s="945">
        <v>131.62100000000001</v>
      </c>
      <c r="BG12" s="945">
        <v>134.88399999999999</v>
      </c>
      <c r="BH12" s="945">
        <v>136.88800000000001</v>
      </c>
      <c r="BI12" s="946">
        <v>532.94000000000005</v>
      </c>
      <c r="BJ12" s="945">
        <v>134.90299999999999</v>
      </c>
      <c r="BK12" s="945">
        <v>134.73400000000001</v>
      </c>
      <c r="BL12" s="945">
        <v>132.80000000000001</v>
      </c>
      <c r="BM12" s="945">
        <v>134.35499999999999</v>
      </c>
      <c r="BN12" s="946">
        <v>536.79200000000003</v>
      </c>
      <c r="BO12" s="945">
        <v>131.404</v>
      </c>
      <c r="BP12" s="945">
        <v>131.55500000000001</v>
      </c>
      <c r="BQ12" s="945">
        <v>132</v>
      </c>
      <c r="BR12" s="945">
        <v>132.999</v>
      </c>
      <c r="BS12" s="946">
        <v>527.95799999999997</v>
      </c>
      <c r="BT12" s="945">
        <v>132.87</v>
      </c>
      <c r="BU12" s="945">
        <v>131.32634516000002</v>
      </c>
      <c r="BV12" s="945">
        <v>132.43005600000001</v>
      </c>
      <c r="BW12" s="945">
        <v>134.79900000000001</v>
      </c>
      <c r="BX12" s="946">
        <v>531.42540115999998</v>
      </c>
      <c r="BY12" s="945">
        <v>136.31559426000001</v>
      </c>
      <c r="BZ12" s="945">
        <v>133.94388280360005</v>
      </c>
      <c r="CA12" s="945">
        <v>136.25406563999999</v>
      </c>
      <c r="CB12" s="945">
        <v>139.38497999999998</v>
      </c>
      <c r="CC12" s="946">
        <v>545.89852270360007</v>
      </c>
      <c r="CD12" s="945">
        <v>145.13913801180001</v>
      </c>
      <c r="CE12" s="945">
        <v>139.46211460850807</v>
      </c>
      <c r="CF12" s="945">
        <v>142.36300228919998</v>
      </c>
      <c r="CG12" s="945">
        <v>145.64552939999999</v>
      </c>
      <c r="CH12" s="946">
        <v>572.60978430950809</v>
      </c>
      <c r="CI12" s="945">
        <v>154.93749946475401</v>
      </c>
      <c r="CJ12" s="945">
        <v>145.37088066568336</v>
      </c>
      <c r="CK12" s="945">
        <v>148.95840423987599</v>
      </c>
      <c r="CL12" s="945">
        <v>152.405745282</v>
      </c>
      <c r="CM12" s="946">
        <v>601.67252965231341</v>
      </c>
      <c r="CN12" s="945">
        <v>165.45909610952475</v>
      </c>
      <c r="CO12" s="945">
        <v>151.35221789574771</v>
      </c>
      <c r="CP12" s="945">
        <v>156.10034503137229</v>
      </c>
      <c r="CQ12" s="945">
        <v>159.72739514046</v>
      </c>
      <c r="CR12" s="946">
        <v>632.63905417710475</v>
      </c>
      <c r="CT12" s="938"/>
      <c r="CU12" s="938"/>
      <c r="CW12" s="948"/>
      <c r="CX12" s="948"/>
      <c r="CY12" s="948"/>
      <c r="CZ12" s="948"/>
      <c r="DA12" s="948"/>
      <c r="DB12" s="948"/>
      <c r="DC12" s="948"/>
      <c r="DD12" s="948"/>
      <c r="DE12" s="948"/>
      <c r="DF12" s="948"/>
      <c r="DG12" s="948"/>
      <c r="DH12" s="948"/>
      <c r="DI12" s="948"/>
    </row>
    <row r="13" spans="1:114" ht="12" customHeight="1" outlineLevel="1">
      <c r="A13" s="947" t="s">
        <v>956</v>
      </c>
      <c r="B13" s="940"/>
      <c r="C13" s="940"/>
      <c r="D13" s="940"/>
      <c r="E13" s="940"/>
      <c r="F13" s="941"/>
      <c r="G13" s="945"/>
      <c r="H13" s="945"/>
      <c r="I13" s="945"/>
      <c r="J13" s="945"/>
      <c r="K13" s="946"/>
      <c r="L13" s="945"/>
      <c r="M13" s="945"/>
      <c r="N13" s="945"/>
      <c r="O13" s="945"/>
      <c r="P13" s="946"/>
      <c r="Q13" s="945"/>
      <c r="R13" s="945"/>
      <c r="S13" s="945"/>
      <c r="T13" s="945"/>
      <c r="U13" s="946"/>
      <c r="V13" s="945"/>
      <c r="W13" s="945"/>
      <c r="X13" s="945"/>
      <c r="Y13" s="945"/>
      <c r="Z13" s="946"/>
      <c r="AA13" s="945"/>
      <c r="AB13" s="945"/>
      <c r="AC13" s="945"/>
      <c r="AD13" s="945"/>
      <c r="AE13" s="946"/>
      <c r="AF13" s="945"/>
      <c r="AG13" s="945"/>
      <c r="AH13" s="945"/>
      <c r="AI13" s="945"/>
      <c r="AJ13" s="946"/>
      <c r="AK13" s="945"/>
      <c r="AL13" s="945"/>
      <c r="AM13" s="945"/>
      <c r="AN13" s="945"/>
      <c r="AO13" s="946">
        <v>47.573</v>
      </c>
      <c r="AP13" s="945">
        <v>13</v>
      </c>
      <c r="AQ13" s="945">
        <v>15</v>
      </c>
      <c r="AR13" s="945">
        <v>16.447000000000003</v>
      </c>
      <c r="AS13" s="945">
        <v>16.673999999999999</v>
      </c>
      <c r="AT13" s="946">
        <v>61.121000000000002</v>
      </c>
      <c r="AU13" s="945">
        <v>13.52</v>
      </c>
      <c r="AV13" s="945">
        <v>12.782</v>
      </c>
      <c r="AW13" s="945">
        <v>13.707000000000001</v>
      </c>
      <c r="AX13" s="945">
        <v>16.178999999999998</v>
      </c>
      <c r="AY13" s="946">
        <v>56.188000000000002</v>
      </c>
      <c r="AZ13" s="945">
        <v>15.292999999999999</v>
      </c>
      <c r="BA13" s="945">
        <v>16.353999999999992</v>
      </c>
      <c r="BB13" s="945">
        <v>30.033000000000001</v>
      </c>
      <c r="BC13" s="945">
        <v>28.349</v>
      </c>
      <c r="BD13" s="946">
        <v>90.028999999999996</v>
      </c>
      <c r="BE13" s="945">
        <v>30.834</v>
      </c>
      <c r="BF13" s="945">
        <v>29.055</v>
      </c>
      <c r="BG13" s="945">
        <v>30.009</v>
      </c>
      <c r="BH13" s="945">
        <v>29.376999999999999</v>
      </c>
      <c r="BI13" s="946">
        <v>119.27499999999999</v>
      </c>
      <c r="BJ13" s="945">
        <v>25.216999999999999</v>
      </c>
      <c r="BK13" s="945">
        <v>23.754000000000001</v>
      </c>
      <c r="BL13" s="945">
        <v>24.696999999999999</v>
      </c>
      <c r="BM13" s="945">
        <v>24.094000000000001</v>
      </c>
      <c r="BN13" s="946">
        <v>97.762</v>
      </c>
      <c r="BO13" s="945">
        <v>19.759</v>
      </c>
      <c r="BP13" s="945">
        <v>20.637</v>
      </c>
      <c r="BQ13" s="945">
        <v>19.655000000000001</v>
      </c>
      <c r="BR13" s="945">
        <v>19.678999999999998</v>
      </c>
      <c r="BS13" s="946">
        <v>79.73</v>
      </c>
      <c r="BT13" s="945">
        <v>19.739999999999998</v>
      </c>
      <c r="BU13" s="945">
        <v>19.192409999999999</v>
      </c>
      <c r="BV13" s="945">
        <v>19.065350000000002</v>
      </c>
      <c r="BW13" s="945">
        <v>19.285419999999998</v>
      </c>
      <c r="BX13" s="946">
        <v>77.283180000000002</v>
      </c>
      <c r="BY13" s="945">
        <v>19.739999999999998</v>
      </c>
      <c r="BZ13" s="945">
        <v>19.192409999999999</v>
      </c>
      <c r="CA13" s="945">
        <v>19.065350000000002</v>
      </c>
      <c r="CB13" s="945">
        <v>19.285419999999998</v>
      </c>
      <c r="CC13" s="946">
        <v>77.283180000000002</v>
      </c>
      <c r="CD13" s="945">
        <v>19.9374</v>
      </c>
      <c r="CE13" s="945">
        <v>19.3843341</v>
      </c>
      <c r="CF13" s="945">
        <v>19.256003500000002</v>
      </c>
      <c r="CG13" s="945">
        <v>19.478274199999998</v>
      </c>
      <c r="CH13" s="946">
        <v>78.056011800000007</v>
      </c>
      <c r="CI13" s="945">
        <v>20.136773999999999</v>
      </c>
      <c r="CJ13" s="945">
        <v>19.578177441000001</v>
      </c>
      <c r="CK13" s="945">
        <v>19.448563535000002</v>
      </c>
      <c r="CL13" s="945">
        <v>19.673056941999999</v>
      </c>
      <c r="CM13" s="946">
        <v>78.836571918000004</v>
      </c>
      <c r="CN13" s="945">
        <v>20.338141739999998</v>
      </c>
      <c r="CO13" s="945">
        <v>19.773959215410002</v>
      </c>
      <c r="CP13" s="945">
        <v>19.64304917035</v>
      </c>
      <c r="CQ13" s="945">
        <v>19.86978751142</v>
      </c>
      <c r="CR13" s="946">
        <v>79.624937637179997</v>
      </c>
      <c r="CT13" s="938"/>
      <c r="CU13" s="938"/>
      <c r="CW13" s="948"/>
      <c r="CX13" s="948"/>
      <c r="CY13" s="948"/>
      <c r="CZ13" s="948"/>
      <c r="DA13" s="948"/>
      <c r="DB13" s="948"/>
      <c r="DC13" s="948"/>
      <c r="DD13" s="948"/>
      <c r="DE13" s="948"/>
      <c r="DF13" s="948"/>
      <c r="DG13" s="948"/>
      <c r="DH13" s="948"/>
      <c r="DI13" s="948"/>
    </row>
    <row r="14" spans="1:114" ht="12" customHeight="1">
      <c r="A14" s="932" t="s">
        <v>957</v>
      </c>
      <c r="B14" s="785"/>
      <c r="C14" s="785"/>
      <c r="D14" s="785"/>
      <c r="E14" s="785"/>
      <c r="F14" s="735"/>
      <c r="G14" s="949"/>
      <c r="H14" s="949"/>
      <c r="I14" s="949"/>
      <c r="J14" s="949"/>
      <c r="K14" s="950"/>
      <c r="L14" s="949"/>
      <c r="M14" s="949"/>
      <c r="N14" s="949"/>
      <c r="O14" s="949"/>
      <c r="P14" s="950"/>
      <c r="Q14" s="949"/>
      <c r="R14" s="949"/>
      <c r="S14" s="949"/>
      <c r="T14" s="949"/>
      <c r="U14" s="950"/>
      <c r="V14" s="949"/>
      <c r="W14" s="949"/>
      <c r="X14" s="949"/>
      <c r="Y14" s="949"/>
      <c r="Z14" s="950"/>
      <c r="AA14" s="949"/>
      <c r="AB14" s="949"/>
      <c r="AC14" s="949"/>
      <c r="AD14" s="949"/>
      <c r="AE14" s="950"/>
      <c r="AF14" s="949"/>
      <c r="AG14" s="949"/>
      <c r="AH14" s="949"/>
      <c r="AI14" s="949"/>
      <c r="AJ14" s="950"/>
      <c r="AK14" s="949"/>
      <c r="AL14" s="949"/>
      <c r="AM14" s="949"/>
      <c r="AN14" s="949"/>
      <c r="AO14" s="935">
        <f t="shared" ref="AO14:BE14" si="0">+SUM(AO12:AO13)</f>
        <v>201.20699999999999</v>
      </c>
      <c r="AP14" s="933">
        <f t="shared" si="0"/>
        <v>62.4</v>
      </c>
      <c r="AQ14" s="933">
        <f t="shared" si="0"/>
        <v>75.400000000000006</v>
      </c>
      <c r="AR14" s="933">
        <f t="shared" si="0"/>
        <v>83.128</v>
      </c>
      <c r="AS14" s="933">
        <f t="shared" si="0"/>
        <v>84.174000000000007</v>
      </c>
      <c r="AT14" s="935">
        <f t="shared" si="0"/>
        <v>305.10199999999998</v>
      </c>
      <c r="AU14" s="933">
        <f t="shared" si="0"/>
        <v>83.124000000000009</v>
      </c>
      <c r="AV14" s="933">
        <f t="shared" si="0"/>
        <v>81.816999999999993</v>
      </c>
      <c r="AW14" s="933">
        <f t="shared" si="0"/>
        <v>84.080999999999989</v>
      </c>
      <c r="AX14" s="933">
        <f t="shared" si="0"/>
        <v>80.990000000000009</v>
      </c>
      <c r="AY14" s="935">
        <f t="shared" si="0"/>
        <v>330.012</v>
      </c>
      <c r="AZ14" s="933">
        <f t="shared" si="0"/>
        <v>66.326999999999998</v>
      </c>
      <c r="BA14" s="933">
        <f t="shared" si="0"/>
        <v>78.078999999999994</v>
      </c>
      <c r="BB14" s="933">
        <f t="shared" si="0"/>
        <v>137.00200000000001</v>
      </c>
      <c r="BC14" s="933">
        <f t="shared" si="0"/>
        <v>144.15299999999996</v>
      </c>
      <c r="BD14" s="935">
        <f t="shared" si="0"/>
        <v>425.56099999999998</v>
      </c>
      <c r="BE14" s="933">
        <f t="shared" si="0"/>
        <v>160.381</v>
      </c>
      <c r="BF14" s="933">
        <f>+SUM(BF12:BF13)</f>
        <v>160.67600000000002</v>
      </c>
      <c r="BG14" s="933">
        <f>+SUM(BG12:BG13)</f>
        <v>164.89299999999997</v>
      </c>
      <c r="BH14" s="933">
        <f>+SUM(BH12:BH13)</f>
        <v>166.26500000000001</v>
      </c>
      <c r="BI14" s="935">
        <f t="shared" ref="BI14:CR14" si="1">+SUM(BI12:BI13)</f>
        <v>652.21500000000003</v>
      </c>
      <c r="BJ14" s="933">
        <f>+SUM(BJ12:BJ13)</f>
        <v>160.12</v>
      </c>
      <c r="BK14" s="933">
        <f>+SUM(BK12:BK13)</f>
        <v>158.488</v>
      </c>
      <c r="BL14" s="933">
        <f>+SUM(BL12:BL13)</f>
        <v>157.49700000000001</v>
      </c>
      <c r="BM14" s="933">
        <f t="shared" si="1"/>
        <v>158.44899999999998</v>
      </c>
      <c r="BN14" s="935">
        <f t="shared" si="1"/>
        <v>634.55400000000009</v>
      </c>
      <c r="BO14" s="933">
        <f t="shared" si="1"/>
        <v>151.16300000000001</v>
      </c>
      <c r="BP14" s="933">
        <f>+SUM(BP12:BP13)</f>
        <v>152.19200000000001</v>
      </c>
      <c r="BQ14" s="933">
        <f>+SUM(BQ12:BQ13)</f>
        <v>151.655</v>
      </c>
      <c r="BR14" s="933">
        <f t="shared" ref="BR14" si="2">+SUM(BR12:BR13)</f>
        <v>152.678</v>
      </c>
      <c r="BS14" s="935">
        <f t="shared" si="1"/>
        <v>607.68799999999999</v>
      </c>
      <c r="BT14" s="933">
        <f t="shared" si="1"/>
        <v>152.61000000000001</v>
      </c>
      <c r="BU14" s="933">
        <f t="shared" si="1"/>
        <v>150.51875516000001</v>
      </c>
      <c r="BV14" s="933">
        <f t="shared" si="1"/>
        <v>151.495406</v>
      </c>
      <c r="BW14" s="933">
        <f t="shared" si="1"/>
        <v>154.08441999999999</v>
      </c>
      <c r="BX14" s="935">
        <f t="shared" si="1"/>
        <v>608.70858115999999</v>
      </c>
      <c r="BY14" s="933">
        <f t="shared" si="1"/>
        <v>156.05559426000002</v>
      </c>
      <c r="BZ14" s="933">
        <f t="shared" si="1"/>
        <v>153.13629280360004</v>
      </c>
      <c r="CA14" s="933">
        <f t="shared" si="1"/>
        <v>155.31941563999999</v>
      </c>
      <c r="CB14" s="933">
        <f t="shared" si="1"/>
        <v>158.67039999999997</v>
      </c>
      <c r="CC14" s="935">
        <f t="shared" si="1"/>
        <v>623.18170270360008</v>
      </c>
      <c r="CD14" s="933">
        <f t="shared" si="1"/>
        <v>165.07653801180001</v>
      </c>
      <c r="CE14" s="933">
        <f t="shared" si="1"/>
        <v>158.84644870850806</v>
      </c>
      <c r="CF14" s="933">
        <f t="shared" si="1"/>
        <v>161.61900578919997</v>
      </c>
      <c r="CG14" s="933">
        <f t="shared" si="1"/>
        <v>165.12380359999997</v>
      </c>
      <c r="CH14" s="935">
        <f t="shared" si="1"/>
        <v>650.66579610950805</v>
      </c>
      <c r="CI14" s="933">
        <f t="shared" si="1"/>
        <v>175.07427346475401</v>
      </c>
      <c r="CJ14" s="933">
        <f t="shared" si="1"/>
        <v>164.94905810668337</v>
      </c>
      <c r="CK14" s="933">
        <f t="shared" si="1"/>
        <v>168.40696777487599</v>
      </c>
      <c r="CL14" s="933">
        <f t="shared" si="1"/>
        <v>172.07880222399999</v>
      </c>
      <c r="CM14" s="935">
        <f t="shared" si="1"/>
        <v>680.50910157031342</v>
      </c>
      <c r="CN14" s="933">
        <f t="shared" si="1"/>
        <v>185.79723784952475</v>
      </c>
      <c r="CO14" s="933">
        <f t="shared" si="1"/>
        <v>171.12617711115772</v>
      </c>
      <c r="CP14" s="933">
        <f t="shared" si="1"/>
        <v>175.74339420172228</v>
      </c>
      <c r="CQ14" s="933">
        <f t="shared" si="1"/>
        <v>179.59718265188002</v>
      </c>
      <c r="CR14" s="935">
        <f t="shared" si="1"/>
        <v>712.26399181428474</v>
      </c>
      <c r="CT14" s="732">
        <f>+(CC14/BN14)^(0.333333333333333)-1</f>
        <v>-6.0099528872722408E-3</v>
      </c>
      <c r="CU14" s="732">
        <f>+(CM14/BN14)^(0.2)-1</f>
        <v>1.4081991515477066E-2</v>
      </c>
      <c r="CW14" s="943">
        <f>+ROUND(AJ14,3)-ROUND(SUM(AF14:AI14),3)</f>
        <v>0</v>
      </c>
      <c r="CX14" s="943">
        <f>+ROUND(AO14,3)-ROUND(SUM(AK14:AN14),3)</f>
        <v>201.20699999999999</v>
      </c>
      <c r="CY14" s="943">
        <f>+ROUND(AT14,3)-ROUND(SUM(AP14:AS14),3)</f>
        <v>0</v>
      </c>
      <c r="CZ14" s="943">
        <f>+ROUND(AY14,3)-ROUND(SUM(AU14:AX14),3)</f>
        <v>0</v>
      </c>
      <c r="DA14" s="943">
        <f>+ROUND(BD14,3)-ROUND(SUM(AZ14:BC14),3)</f>
        <v>0</v>
      </c>
      <c r="DB14" s="943">
        <f>+ROUND(BI14,3)-ROUND(SUM(BE14:BH14),3)</f>
        <v>0</v>
      </c>
      <c r="DC14" s="943">
        <f>+ROUND(BN14,3)-ROUND(SUM(BJ14:BM14),3)</f>
        <v>0</v>
      </c>
      <c r="DD14" s="943">
        <f>+ROUND(BS14,3)-ROUND(SUM(BO14:BR14),3)</f>
        <v>0</v>
      </c>
      <c r="DE14" s="943">
        <f>+ROUND(BX14,3)-ROUND(SUM(BT14:BW14),3)</f>
        <v>0</v>
      </c>
      <c r="DF14" s="943">
        <f>+ROUND(CC14,3)-ROUND(SUM(BY14:CB14),3)</f>
        <v>0</v>
      </c>
      <c r="DG14" s="943">
        <f>+ROUND(CH14,3)-ROUND(SUM(CD14:CG14),3)</f>
        <v>0</v>
      </c>
      <c r="DH14" s="943">
        <f>+ROUND(CM14,3)-ROUND(SUM(CI14:CL14),3)</f>
        <v>0</v>
      </c>
      <c r="DI14" s="943">
        <f>+ROUND(CR14,3)-ROUND(SUM(CN14:CQ14),3)</f>
        <v>0</v>
      </c>
    </row>
    <row r="15" spans="1:114" ht="12" customHeight="1">
      <c r="A15" s="947" t="s">
        <v>958</v>
      </c>
      <c r="B15" s="785"/>
      <c r="C15" s="785"/>
      <c r="D15" s="785"/>
      <c r="E15" s="785"/>
      <c r="F15" s="735"/>
      <c r="G15" s="949"/>
      <c r="H15" s="949"/>
      <c r="I15" s="949"/>
      <c r="J15" s="949"/>
      <c r="K15" s="950"/>
      <c r="L15" s="949"/>
      <c r="M15" s="949"/>
      <c r="N15" s="949"/>
      <c r="O15" s="949"/>
      <c r="P15" s="950"/>
      <c r="Q15" s="949"/>
      <c r="R15" s="949"/>
      <c r="S15" s="949"/>
      <c r="T15" s="949"/>
      <c r="U15" s="950"/>
      <c r="V15" s="949"/>
      <c r="W15" s="949"/>
      <c r="X15" s="949"/>
      <c r="Y15" s="949"/>
      <c r="Z15" s="950"/>
      <c r="AA15" s="949"/>
      <c r="AB15" s="949"/>
      <c r="AC15" s="949"/>
      <c r="AD15" s="949"/>
      <c r="AE15" s="950"/>
      <c r="AF15" s="949"/>
      <c r="AG15" s="949"/>
      <c r="AH15" s="949"/>
      <c r="AI15" s="949"/>
      <c r="AJ15" s="950"/>
      <c r="AK15" s="949"/>
      <c r="AL15" s="949"/>
      <c r="AM15" s="949"/>
      <c r="AN15" s="949"/>
      <c r="AO15" s="950">
        <v>0</v>
      </c>
      <c r="AP15" s="951">
        <v>0</v>
      </c>
      <c r="AQ15" s="949">
        <v>0</v>
      </c>
      <c r="AR15" s="949">
        <v>0</v>
      </c>
      <c r="AS15" s="952">
        <v>0</v>
      </c>
      <c r="AT15" s="950">
        <v>0</v>
      </c>
      <c r="AU15" s="951">
        <v>0</v>
      </c>
      <c r="AV15" s="949">
        <v>0</v>
      </c>
      <c r="AW15" s="949">
        <v>0</v>
      </c>
      <c r="AX15" s="952">
        <v>7.7969999999999686</v>
      </c>
      <c r="AY15" s="950">
        <v>7.7969999999999686</v>
      </c>
      <c r="AZ15" s="951">
        <v>22.501999999999995</v>
      </c>
      <c r="BA15" s="949">
        <v>14.203000000000003</v>
      </c>
      <c r="BB15" s="949">
        <v>10.393999999999977</v>
      </c>
      <c r="BC15" s="952">
        <v>6.4650000000000887</v>
      </c>
      <c r="BD15" s="950">
        <v>53.564000000000064</v>
      </c>
      <c r="BE15" s="951">
        <v>0</v>
      </c>
      <c r="BF15" s="949">
        <v>0</v>
      </c>
      <c r="BG15" s="949">
        <v>0</v>
      </c>
      <c r="BH15" s="952">
        <v>0</v>
      </c>
      <c r="BI15" s="950">
        <v>0</v>
      </c>
      <c r="BJ15" s="951">
        <v>0</v>
      </c>
      <c r="BK15" s="949">
        <v>0</v>
      </c>
      <c r="BL15" s="949">
        <v>0</v>
      </c>
      <c r="BM15" s="949">
        <v>0</v>
      </c>
      <c r="BN15" s="950">
        <v>0</v>
      </c>
      <c r="BO15" s="951">
        <v>0</v>
      </c>
      <c r="BP15" s="949">
        <v>0</v>
      </c>
      <c r="BQ15" s="949">
        <v>0</v>
      </c>
      <c r="BR15" s="949">
        <v>0</v>
      </c>
      <c r="BS15" s="950">
        <v>0</v>
      </c>
      <c r="BT15" s="951">
        <v>0</v>
      </c>
      <c r="BU15" s="949">
        <v>0</v>
      </c>
      <c r="BV15" s="949">
        <v>0</v>
      </c>
      <c r="BW15" s="949">
        <v>0</v>
      </c>
      <c r="BX15" s="950">
        <v>0</v>
      </c>
      <c r="BY15" s="949">
        <v>0</v>
      </c>
      <c r="BZ15" s="949">
        <v>0</v>
      </c>
      <c r="CA15" s="949">
        <v>0</v>
      </c>
      <c r="CB15" s="949">
        <v>0</v>
      </c>
      <c r="CC15" s="950">
        <v>0</v>
      </c>
      <c r="CD15" s="949">
        <v>0</v>
      </c>
      <c r="CE15" s="949">
        <v>0</v>
      </c>
      <c r="CF15" s="949">
        <v>0</v>
      </c>
      <c r="CG15" s="949">
        <v>0</v>
      </c>
      <c r="CH15" s="950">
        <v>0</v>
      </c>
      <c r="CI15" s="949">
        <v>0</v>
      </c>
      <c r="CJ15" s="949">
        <v>0</v>
      </c>
      <c r="CK15" s="949">
        <v>0</v>
      </c>
      <c r="CL15" s="949">
        <v>0</v>
      </c>
      <c r="CM15" s="950">
        <v>0</v>
      </c>
      <c r="CN15" s="949">
        <v>0</v>
      </c>
      <c r="CO15" s="949">
        <v>0</v>
      </c>
      <c r="CP15" s="949">
        <v>0</v>
      </c>
      <c r="CQ15" s="949">
        <v>0</v>
      </c>
      <c r="CR15" s="950">
        <v>0</v>
      </c>
      <c r="CT15" s="938"/>
      <c r="CU15" s="938"/>
      <c r="CW15" s="943"/>
      <c r="CX15" s="943"/>
      <c r="CY15" s="943"/>
      <c r="CZ15" s="943"/>
      <c r="DA15" s="943"/>
      <c r="DB15" s="943"/>
      <c r="DC15" s="943"/>
      <c r="DD15" s="943"/>
      <c r="DE15" s="943"/>
      <c r="DF15" s="943"/>
      <c r="DG15" s="943"/>
      <c r="DH15" s="943"/>
      <c r="DI15" s="943"/>
    </row>
    <row r="16" spans="1:114" s="956" customFormat="1" ht="12" customHeight="1">
      <c r="A16" s="932" t="s">
        <v>959</v>
      </c>
      <c r="B16" s="953"/>
      <c r="C16" s="953"/>
      <c r="D16" s="953"/>
      <c r="E16" s="953"/>
      <c r="F16" s="954"/>
      <c r="G16" s="933"/>
      <c r="H16" s="933"/>
      <c r="I16" s="933"/>
      <c r="J16" s="933"/>
      <c r="K16" s="935"/>
      <c r="L16" s="933"/>
      <c r="M16" s="933"/>
      <c r="N16" s="933"/>
      <c r="O16" s="933"/>
      <c r="P16" s="935"/>
      <c r="Q16" s="933"/>
      <c r="R16" s="933"/>
      <c r="S16" s="933"/>
      <c r="T16" s="933"/>
      <c r="U16" s="935"/>
      <c r="V16" s="933"/>
      <c r="W16" s="933"/>
      <c r="X16" s="933"/>
      <c r="Y16" s="933"/>
      <c r="Z16" s="935"/>
      <c r="AA16" s="933"/>
      <c r="AB16" s="933"/>
      <c r="AC16" s="933"/>
      <c r="AD16" s="933"/>
      <c r="AE16" s="935"/>
      <c r="AF16" s="933"/>
      <c r="AG16" s="933"/>
      <c r="AH16" s="933"/>
      <c r="AI16" s="933"/>
      <c r="AJ16" s="935"/>
      <c r="AK16" s="933"/>
      <c r="AL16" s="933"/>
      <c r="AM16" s="933"/>
      <c r="AN16" s="933"/>
      <c r="AO16" s="935">
        <f t="shared" ref="AO16:AW16" si="3">+AO14</f>
        <v>201.20699999999999</v>
      </c>
      <c r="AP16" s="933">
        <f t="shared" si="3"/>
        <v>62.4</v>
      </c>
      <c r="AQ16" s="933">
        <f t="shared" si="3"/>
        <v>75.400000000000006</v>
      </c>
      <c r="AR16" s="933">
        <f t="shared" si="3"/>
        <v>83.128</v>
      </c>
      <c r="AS16" s="933">
        <f t="shared" si="3"/>
        <v>84.174000000000007</v>
      </c>
      <c r="AT16" s="935">
        <f t="shared" si="3"/>
        <v>305.10199999999998</v>
      </c>
      <c r="AU16" s="933">
        <f t="shared" si="3"/>
        <v>83.124000000000009</v>
      </c>
      <c r="AV16" s="933">
        <f t="shared" si="3"/>
        <v>81.816999999999993</v>
      </c>
      <c r="AW16" s="933">
        <f t="shared" si="3"/>
        <v>84.080999999999989</v>
      </c>
      <c r="AX16" s="933">
        <v>88.786999999999978</v>
      </c>
      <c r="AY16" s="935">
        <v>337.80899999999997</v>
      </c>
      <c r="AZ16" s="933">
        <v>88.828999999999994</v>
      </c>
      <c r="BA16" s="933">
        <v>92.281999999999996</v>
      </c>
      <c r="BB16" s="933">
        <v>147.39599999999999</v>
      </c>
      <c r="BC16" s="933">
        <v>150.61800000000005</v>
      </c>
      <c r="BD16" s="935">
        <v>479.125</v>
      </c>
      <c r="BE16" s="955">
        <v>160.381</v>
      </c>
      <c r="BF16" s="933">
        <v>160.67599999999999</v>
      </c>
      <c r="BG16" s="933">
        <v>164.893</v>
      </c>
      <c r="BH16" s="933">
        <v>166.26499999999999</v>
      </c>
      <c r="BI16" s="935">
        <v>652.21500000000003</v>
      </c>
      <c r="BJ16" s="955">
        <v>160.12</v>
      </c>
      <c r="BK16" s="933">
        <v>158.488</v>
      </c>
      <c r="BL16" s="933">
        <v>157.49700000000001</v>
      </c>
      <c r="BM16" s="933">
        <v>158.44900000000001</v>
      </c>
      <c r="BN16" s="935">
        <v>634.55400000000009</v>
      </c>
      <c r="BO16" s="955">
        <v>151.16300000000001</v>
      </c>
      <c r="BP16" s="933">
        <v>152.19200000000001</v>
      </c>
      <c r="BQ16" s="933">
        <v>151.655</v>
      </c>
      <c r="BR16" s="933">
        <v>152.678</v>
      </c>
      <c r="BS16" s="935">
        <v>607.68799999999999</v>
      </c>
      <c r="BT16" s="955">
        <v>152.61000000000001</v>
      </c>
      <c r="BU16" s="933">
        <v>150.51875516000001</v>
      </c>
      <c r="BV16" s="933">
        <v>151.495406</v>
      </c>
      <c r="BW16" s="933">
        <v>154.08441999999999</v>
      </c>
      <c r="BX16" s="935">
        <v>608.70858115999999</v>
      </c>
      <c r="BY16" s="933">
        <v>156.05559426000002</v>
      </c>
      <c r="BZ16" s="933">
        <v>153.13629280360004</v>
      </c>
      <c r="CA16" s="933">
        <v>155.31941563999999</v>
      </c>
      <c r="CB16" s="933">
        <v>158.67039999999997</v>
      </c>
      <c r="CC16" s="935">
        <v>623.18170270360008</v>
      </c>
      <c r="CD16" s="933">
        <v>165.07653801180001</v>
      </c>
      <c r="CE16" s="933">
        <v>158.84644870850806</v>
      </c>
      <c r="CF16" s="933">
        <v>161.61900578919997</v>
      </c>
      <c r="CG16" s="933">
        <v>165.12380359999997</v>
      </c>
      <c r="CH16" s="935">
        <v>650.66579610950805</v>
      </c>
      <c r="CI16" s="933">
        <v>175.07427346475401</v>
      </c>
      <c r="CJ16" s="933">
        <v>164.94905810668337</v>
      </c>
      <c r="CK16" s="933">
        <v>168.40696777487599</v>
      </c>
      <c r="CL16" s="933">
        <v>172.07880222399999</v>
      </c>
      <c r="CM16" s="935">
        <v>680.50910157031342</v>
      </c>
      <c r="CN16" s="933">
        <v>185.79723784952475</v>
      </c>
      <c r="CO16" s="933">
        <v>171.12617711115772</v>
      </c>
      <c r="CP16" s="933">
        <v>175.74339420172228</v>
      </c>
      <c r="CQ16" s="933">
        <v>179.59718265188002</v>
      </c>
      <c r="CR16" s="935">
        <v>712.26399181428474</v>
      </c>
      <c r="CT16" s="938"/>
      <c r="CU16" s="938"/>
      <c r="CW16" s="957"/>
      <c r="CX16" s="957"/>
      <c r="CY16" s="957"/>
      <c r="CZ16" s="957"/>
      <c r="DA16" s="957"/>
      <c r="DB16" s="957"/>
      <c r="DC16" s="957"/>
      <c r="DD16" s="957"/>
      <c r="DE16" s="957"/>
      <c r="DF16" s="957"/>
      <c r="DG16" s="957"/>
      <c r="DH16" s="957"/>
      <c r="DI16" s="957"/>
    </row>
    <row r="17" spans="1:113" ht="12" customHeight="1" outlineLevel="1">
      <c r="A17" s="947" t="s">
        <v>960</v>
      </c>
      <c r="B17" s="785"/>
      <c r="C17" s="785"/>
      <c r="D17" s="785"/>
      <c r="E17" s="785"/>
      <c r="F17" s="735"/>
      <c r="G17" s="949"/>
      <c r="H17" s="949"/>
      <c r="I17" s="949"/>
      <c r="J17" s="949"/>
      <c r="K17" s="958"/>
      <c r="L17" s="949"/>
      <c r="M17" s="949"/>
      <c r="N17" s="949"/>
      <c r="O17" s="949"/>
      <c r="P17" s="958"/>
      <c r="Q17" s="959"/>
      <c r="R17" s="959"/>
      <c r="S17" s="959"/>
      <c r="T17" s="959"/>
      <c r="U17" s="950"/>
      <c r="V17" s="959"/>
      <c r="W17" s="959"/>
      <c r="X17" s="959"/>
      <c r="Y17" s="959"/>
      <c r="Z17" s="958"/>
      <c r="AA17" s="959"/>
      <c r="AB17" s="959"/>
      <c r="AC17" s="959"/>
      <c r="AD17" s="959"/>
      <c r="AE17" s="950"/>
      <c r="AF17" s="959"/>
      <c r="AG17" s="959"/>
      <c r="AH17" s="959"/>
      <c r="AI17" s="959"/>
      <c r="AJ17" s="950"/>
      <c r="AK17" s="959"/>
      <c r="AL17" s="959"/>
      <c r="AM17" s="959"/>
      <c r="AN17" s="959"/>
      <c r="AO17" s="958">
        <v>33.536999999999999</v>
      </c>
      <c r="AP17" s="959">
        <v>12</v>
      </c>
      <c r="AQ17" s="959">
        <v>15</v>
      </c>
      <c r="AR17" s="959">
        <v>16.611000000000001</v>
      </c>
      <c r="AS17" s="959">
        <v>15.502000000000001</v>
      </c>
      <c r="AT17" s="950">
        <f>+SUM(AP17:AS17)</f>
        <v>59.113000000000007</v>
      </c>
      <c r="AU17" s="959">
        <v>14.138</v>
      </c>
      <c r="AV17" s="959">
        <v>14.86</v>
      </c>
      <c r="AW17" s="959">
        <v>15.568</v>
      </c>
      <c r="AX17" s="959">
        <f>11.036+7.823</f>
        <v>18.859000000000002</v>
      </c>
      <c r="AY17" s="950">
        <f>+SUM(AU17:AX17)</f>
        <v>63.424999999999997</v>
      </c>
      <c r="AZ17" s="959">
        <v>16.507999999999999</v>
      </c>
      <c r="BA17" s="959">
        <v>16.245999999999999</v>
      </c>
      <c r="BB17" s="959">
        <v>30.163</v>
      </c>
      <c r="BC17" s="959">
        <v>30.155000000000001</v>
      </c>
      <c r="BD17" s="950">
        <f>+SUM(AZ17:BC17)</f>
        <v>93.072000000000003</v>
      </c>
      <c r="BE17" s="959">
        <v>33.134</v>
      </c>
      <c r="BF17" s="959">
        <v>36.302</v>
      </c>
      <c r="BG17" s="959">
        <v>35.930999999999997</v>
      </c>
      <c r="BH17" s="959">
        <v>35.094999999999999</v>
      </c>
      <c r="BI17" s="960">
        <f>+SUM(BE17:BH17)</f>
        <v>140.46199999999999</v>
      </c>
      <c r="BJ17" s="959">
        <v>36.543999999999997</v>
      </c>
      <c r="BK17" s="959">
        <v>36.78</v>
      </c>
      <c r="BL17" s="959">
        <v>36.689</v>
      </c>
      <c r="BM17" s="817">
        <v>35.993000000000002</v>
      </c>
      <c r="BN17" s="960">
        <f>+SUM(BJ17:BM17)</f>
        <v>146.006</v>
      </c>
      <c r="BO17" s="959">
        <v>37.098999999999997</v>
      </c>
      <c r="BP17" s="959">
        <v>36.317</v>
      </c>
      <c r="BQ17" s="959">
        <v>35.64</v>
      </c>
      <c r="BR17" s="817">
        <v>36.612000000000002</v>
      </c>
      <c r="BS17" s="960">
        <f>+SUM(BO17:BR17)</f>
        <v>145.66800000000001</v>
      </c>
      <c r="BT17" s="959">
        <v>38.384999999999998</v>
      </c>
      <c r="BU17" s="813">
        <f t="shared" ref="BU17:BW18" si="4">+BU101*BU12</f>
        <v>36.443060781900002</v>
      </c>
      <c r="BV17" s="813">
        <f t="shared" si="4"/>
        <v>36.749340539999999</v>
      </c>
      <c r="BW17" s="813">
        <f t="shared" si="4"/>
        <v>37.406722500000001</v>
      </c>
      <c r="BX17" s="960">
        <f>+SUM(BT17:BW17)</f>
        <v>148.9841238219</v>
      </c>
      <c r="BY17" s="813">
        <f t="shared" ref="BY17:CB18" si="5">+BY101*BY12</f>
        <v>37.486788421500009</v>
      </c>
      <c r="BZ17" s="813">
        <f t="shared" si="5"/>
        <v>36.834567770990013</v>
      </c>
      <c r="CA17" s="813">
        <f t="shared" si="5"/>
        <v>37.469868050999999</v>
      </c>
      <c r="CB17" s="813">
        <f t="shared" si="5"/>
        <v>38.330869499999999</v>
      </c>
      <c r="CC17" s="960">
        <f>+SUM(BY17:CB17)</f>
        <v>150.12209374349001</v>
      </c>
      <c r="CD17" s="813">
        <f t="shared" ref="CD17:CG18" si="6">+CD101*CD12</f>
        <v>39.91326295324501</v>
      </c>
      <c r="CE17" s="813">
        <f t="shared" si="6"/>
        <v>38.352081517339727</v>
      </c>
      <c r="CF17" s="813">
        <f t="shared" si="6"/>
        <v>39.14982562953</v>
      </c>
      <c r="CG17" s="813">
        <f t="shared" si="6"/>
        <v>40.052520584999996</v>
      </c>
      <c r="CH17" s="960">
        <f>+SUM(CD17:CG17)</f>
        <v>157.46769068511475</v>
      </c>
      <c r="CI17" s="813">
        <f t="shared" ref="CI17:CL18" si="7">+CI101*CI12</f>
        <v>42.142999854413091</v>
      </c>
      <c r="CJ17" s="813">
        <f t="shared" si="7"/>
        <v>39.540879541065877</v>
      </c>
      <c r="CK17" s="813">
        <f t="shared" si="7"/>
        <v>40.516685953246274</v>
      </c>
      <c r="CL17" s="813">
        <f t="shared" si="7"/>
        <v>41.454362716704004</v>
      </c>
      <c r="CM17" s="960">
        <f>+SUM(CI17:CL17)</f>
        <v>163.65492806542923</v>
      </c>
      <c r="CN17" s="813">
        <f t="shared" ref="CN17:CQ18" si="8">+CN101*CN12</f>
        <v>44.673955949571685</v>
      </c>
      <c r="CO17" s="813">
        <f t="shared" si="8"/>
        <v>40.865098831851888</v>
      </c>
      <c r="CP17" s="813">
        <f t="shared" si="8"/>
        <v>42.147093158470518</v>
      </c>
      <c r="CQ17" s="813">
        <f t="shared" si="8"/>
        <v>43.126396687924206</v>
      </c>
      <c r="CR17" s="960">
        <f>+SUM(CN17:CQ17)</f>
        <v>170.81254462781828</v>
      </c>
      <c r="CT17" s="938"/>
      <c r="CU17" s="938"/>
      <c r="CW17" s="948"/>
      <c r="CX17" s="948"/>
      <c r="CY17" s="948"/>
      <c r="CZ17" s="948"/>
      <c r="DA17" s="948"/>
      <c r="DB17" s="948"/>
      <c r="DC17" s="948"/>
      <c r="DD17" s="948"/>
      <c r="DE17" s="948"/>
      <c r="DF17" s="948"/>
      <c r="DG17" s="948"/>
      <c r="DH17" s="948"/>
      <c r="DI17" s="948"/>
    </row>
    <row r="18" spans="1:113" ht="12" customHeight="1" outlineLevel="1">
      <c r="A18" s="947" t="s">
        <v>961</v>
      </c>
      <c r="B18" s="791"/>
      <c r="C18" s="791"/>
      <c r="D18" s="791"/>
      <c r="E18" s="791"/>
      <c r="F18" s="792"/>
      <c r="G18" s="949"/>
      <c r="H18" s="949"/>
      <c r="I18" s="949"/>
      <c r="J18" s="949"/>
      <c r="K18" s="958"/>
      <c r="L18" s="949"/>
      <c r="M18" s="949"/>
      <c r="N18" s="949"/>
      <c r="O18" s="949"/>
      <c r="P18" s="958"/>
      <c r="Q18" s="959"/>
      <c r="R18" s="959"/>
      <c r="S18" s="959"/>
      <c r="T18" s="959"/>
      <c r="U18" s="950"/>
      <c r="V18" s="959"/>
      <c r="W18" s="959"/>
      <c r="X18" s="959"/>
      <c r="Y18" s="959"/>
      <c r="Z18" s="958"/>
      <c r="AA18" s="959"/>
      <c r="AB18" s="959"/>
      <c r="AC18" s="959"/>
      <c r="AD18" s="959"/>
      <c r="AE18" s="950"/>
      <c r="AF18" s="959"/>
      <c r="AG18" s="959"/>
      <c r="AH18" s="959"/>
      <c r="AI18" s="959"/>
      <c r="AJ18" s="950"/>
      <c r="AK18" s="959"/>
      <c r="AL18" s="959"/>
      <c r="AM18" s="959"/>
      <c r="AN18" s="959"/>
      <c r="AO18" s="958">
        <v>31.672999999999998</v>
      </c>
      <c r="AP18" s="959">
        <v>8</v>
      </c>
      <c r="AQ18" s="959">
        <v>10</v>
      </c>
      <c r="AR18" s="959">
        <v>11.969000000000001</v>
      </c>
      <c r="AS18" s="959">
        <v>12.445</v>
      </c>
      <c r="AT18" s="950">
        <f>+SUM(AP18:AS18)</f>
        <v>42.414000000000001</v>
      </c>
      <c r="AU18" s="959">
        <v>11.095000000000001</v>
      </c>
      <c r="AV18" s="959">
        <v>10.35</v>
      </c>
      <c r="AW18" s="959">
        <v>11.346</v>
      </c>
      <c r="AX18" s="959">
        <f>7.675+4.324</f>
        <v>11.998999999999999</v>
      </c>
      <c r="AY18" s="950">
        <f>+SUM(AU18:AX18)</f>
        <v>44.789999999999992</v>
      </c>
      <c r="AZ18" s="959">
        <v>10.14</v>
      </c>
      <c r="BA18" s="959">
        <v>10.967000000000001</v>
      </c>
      <c r="BB18" s="959">
        <v>17.587</v>
      </c>
      <c r="BC18" s="959">
        <v>17.408999999999999</v>
      </c>
      <c r="BD18" s="950">
        <f>+SUM(AZ18:BC18)</f>
        <v>56.103000000000002</v>
      </c>
      <c r="BE18" s="959">
        <v>20.646000000000001</v>
      </c>
      <c r="BF18" s="959">
        <v>22.382999999999999</v>
      </c>
      <c r="BG18" s="959">
        <v>20.417000000000002</v>
      </c>
      <c r="BH18" s="959">
        <v>19.492999999999999</v>
      </c>
      <c r="BI18" s="960">
        <f>+SUM(BE18:BH18)</f>
        <v>82.938999999999993</v>
      </c>
      <c r="BJ18" s="959">
        <v>19.527999999999999</v>
      </c>
      <c r="BK18" s="959">
        <v>17.844000000000001</v>
      </c>
      <c r="BL18" s="959">
        <v>17.641999999999999</v>
      </c>
      <c r="BM18" s="817">
        <v>17.234999999999999</v>
      </c>
      <c r="BN18" s="960">
        <f>+SUM(BJ18:BM18)</f>
        <v>72.248999999999995</v>
      </c>
      <c r="BO18" s="959">
        <v>16.751999999999999</v>
      </c>
      <c r="BP18" s="959">
        <v>16.530999999999999</v>
      </c>
      <c r="BQ18" s="959">
        <v>16.545999999999999</v>
      </c>
      <c r="BR18" s="817">
        <v>15.896000000000001</v>
      </c>
      <c r="BS18" s="960">
        <f>+SUM(BO18:BR18)</f>
        <v>65.724999999999994</v>
      </c>
      <c r="BT18" s="959">
        <v>16.847999999999999</v>
      </c>
      <c r="BU18" s="813">
        <f t="shared" si="4"/>
        <v>15.737776200000001</v>
      </c>
      <c r="BV18" s="813">
        <f t="shared" si="4"/>
        <v>15.633587000000004</v>
      </c>
      <c r="BW18" s="813">
        <f t="shared" si="4"/>
        <v>15.8140444</v>
      </c>
      <c r="BX18" s="960">
        <f>+SUM(BT18:BW18)</f>
        <v>64.033407600000004</v>
      </c>
      <c r="BY18" s="813">
        <f t="shared" si="5"/>
        <v>16.551899999999996</v>
      </c>
      <c r="BZ18" s="813">
        <f t="shared" si="5"/>
        <v>15.641814149999998</v>
      </c>
      <c r="CA18" s="813">
        <f t="shared" si="5"/>
        <v>15.53826025</v>
      </c>
      <c r="CB18" s="813">
        <f t="shared" si="5"/>
        <v>15.621190199999999</v>
      </c>
      <c r="CC18" s="960">
        <f>+SUM(BY18:CB18)</f>
        <v>63.353164599999992</v>
      </c>
      <c r="CD18" s="813">
        <f t="shared" si="6"/>
        <v>16.617732</v>
      </c>
      <c r="CE18" s="813">
        <f t="shared" si="6"/>
        <v>15.701310621000001</v>
      </c>
      <c r="CF18" s="813">
        <f t="shared" si="6"/>
        <v>15.597362835000002</v>
      </c>
      <c r="CG18" s="813">
        <f t="shared" si="6"/>
        <v>15.680010730999998</v>
      </c>
      <c r="CH18" s="960">
        <f>+SUM(CD18:CG18)</f>
        <v>63.596416187000003</v>
      </c>
      <c r="CI18" s="813">
        <f t="shared" si="7"/>
        <v>16.683225449999998</v>
      </c>
      <c r="CJ18" s="813">
        <f t="shared" si="7"/>
        <v>15.760432840005</v>
      </c>
      <c r="CK18" s="813">
        <f t="shared" si="7"/>
        <v>15.656093645675</v>
      </c>
      <c r="CL18" s="813">
        <f t="shared" si="7"/>
        <v>15.7384455536</v>
      </c>
      <c r="CM18" s="960">
        <f>+SUM(CI18:CL18)</f>
        <v>63.838197489279999</v>
      </c>
      <c r="CN18" s="813">
        <f t="shared" si="8"/>
        <v>16.748366995799998</v>
      </c>
      <c r="CO18" s="813">
        <f t="shared" si="8"/>
        <v>15.819167372328003</v>
      </c>
      <c r="CP18" s="813">
        <f t="shared" si="8"/>
        <v>15.714439336280002</v>
      </c>
      <c r="CQ18" s="813">
        <f t="shared" si="8"/>
        <v>15.796481071578899</v>
      </c>
      <c r="CR18" s="960">
        <f>+SUM(CN18:CQ18)</f>
        <v>64.078454775986899</v>
      </c>
      <c r="CT18" s="938"/>
      <c r="CU18" s="938"/>
      <c r="CW18" s="948"/>
      <c r="CX18" s="948"/>
      <c r="CY18" s="948"/>
      <c r="CZ18" s="948"/>
      <c r="DA18" s="948"/>
      <c r="DB18" s="948"/>
      <c r="DC18" s="948"/>
      <c r="DD18" s="948"/>
      <c r="DE18" s="948"/>
      <c r="DF18" s="948"/>
      <c r="DG18" s="948"/>
      <c r="DH18" s="948"/>
      <c r="DI18" s="948"/>
    </row>
    <row r="19" spans="1:113" ht="12" customHeight="1" outlineLevel="1">
      <c r="A19" s="961" t="s">
        <v>962</v>
      </c>
      <c r="B19" s="791"/>
      <c r="C19" s="791"/>
      <c r="D19" s="791"/>
      <c r="E19" s="791"/>
      <c r="F19" s="792"/>
      <c r="G19" s="962"/>
      <c r="H19" s="962"/>
      <c r="I19" s="962"/>
      <c r="J19" s="962"/>
      <c r="K19" s="963"/>
      <c r="L19" s="962"/>
      <c r="M19" s="962"/>
      <c r="N19" s="962"/>
      <c r="O19" s="962"/>
      <c r="P19" s="752"/>
      <c r="Q19" s="826"/>
      <c r="R19" s="826"/>
      <c r="S19" s="826"/>
      <c r="T19" s="826"/>
      <c r="U19" s="950"/>
      <c r="V19" s="826"/>
      <c r="W19" s="826"/>
      <c r="X19" s="826"/>
      <c r="Y19" s="826"/>
      <c r="Z19" s="964"/>
      <c r="AA19" s="965"/>
      <c r="AB19" s="965"/>
      <c r="AC19" s="965"/>
      <c r="AD19" s="965"/>
      <c r="AE19" s="964"/>
      <c r="AF19" s="826"/>
      <c r="AG19" s="826"/>
      <c r="AH19" s="826"/>
      <c r="AI19" s="826"/>
      <c r="AJ19" s="950"/>
      <c r="AK19" s="826"/>
      <c r="AL19" s="826"/>
      <c r="AM19" s="826"/>
      <c r="AN19" s="826"/>
      <c r="AO19" s="958">
        <v>8.35</v>
      </c>
      <c r="AP19" s="826">
        <v>3.4</v>
      </c>
      <c r="AQ19" s="826">
        <v>4.4000000000000004</v>
      </c>
      <c r="AR19" s="826">
        <f>87.085-SUM(AP17:AR18,AP19:AQ19)</f>
        <v>5.7049999999999699</v>
      </c>
      <c r="AS19" s="826">
        <v>6.0330000000000004</v>
      </c>
      <c r="AT19" s="950">
        <f>+SUM(AP19:AS19)</f>
        <v>19.537999999999972</v>
      </c>
      <c r="AU19" s="826">
        <v>5.5609999999999999</v>
      </c>
      <c r="AV19" s="826">
        <v>4.9470000000000001</v>
      </c>
      <c r="AW19" s="826">
        <v>4.9450000000000003</v>
      </c>
      <c r="AX19" s="826">
        <f>3.468+4.037</f>
        <v>7.5049999999999999</v>
      </c>
      <c r="AY19" s="950">
        <f>+SUM(AU19:AX19)</f>
        <v>22.957999999999998</v>
      </c>
      <c r="AZ19" s="826">
        <v>11.510999999999999</v>
      </c>
      <c r="BA19" s="826">
        <v>12.337999999999999</v>
      </c>
      <c r="BB19" s="826">
        <v>25.036000000000001</v>
      </c>
      <c r="BC19" s="826">
        <v>24.916</v>
      </c>
      <c r="BD19" s="950">
        <f>+SUM(AZ19:BC19)</f>
        <v>73.801000000000002</v>
      </c>
      <c r="BE19" s="826">
        <v>24.901</v>
      </c>
      <c r="BF19" s="826">
        <v>24.565999999999999</v>
      </c>
      <c r="BG19" s="826">
        <v>24.402000000000001</v>
      </c>
      <c r="BH19" s="826">
        <v>24.661999999999999</v>
      </c>
      <c r="BI19" s="950">
        <f>+SUM(BE19:BH19)</f>
        <v>98.531000000000006</v>
      </c>
      <c r="BJ19" s="826">
        <v>24.63</v>
      </c>
      <c r="BK19" s="826">
        <v>24.698</v>
      </c>
      <c r="BL19" s="826">
        <v>24.59</v>
      </c>
      <c r="BM19" s="959">
        <v>24.69</v>
      </c>
      <c r="BN19" s="950">
        <f>+SUM(BJ19:BM19)</f>
        <v>98.608000000000004</v>
      </c>
      <c r="BO19" s="826">
        <v>24.652000000000001</v>
      </c>
      <c r="BP19" s="826">
        <v>24.699000000000002</v>
      </c>
      <c r="BQ19" s="826">
        <v>23.727</v>
      </c>
      <c r="BR19" s="959">
        <v>23.533000000000001</v>
      </c>
      <c r="BS19" s="950">
        <f>+SUM(BO19:BR19)</f>
        <v>96.611000000000004</v>
      </c>
      <c r="BT19" s="826">
        <v>23.786000000000001</v>
      </c>
      <c r="BU19" s="945">
        <v>23.786000000000001</v>
      </c>
      <c r="BV19" s="945">
        <v>23.786000000000001</v>
      </c>
      <c r="BW19" s="945">
        <v>23.786000000000001</v>
      </c>
      <c r="BX19" s="950">
        <f>+SUM(BT19:BW19)</f>
        <v>95.144000000000005</v>
      </c>
      <c r="BY19" s="945">
        <v>23.786000000000001</v>
      </c>
      <c r="BZ19" s="945">
        <v>23.786000000000001</v>
      </c>
      <c r="CA19" s="945">
        <v>23.786000000000001</v>
      </c>
      <c r="CB19" s="945">
        <v>23.786000000000001</v>
      </c>
      <c r="CC19" s="950">
        <f>+SUM(BY19:CB19)</f>
        <v>95.144000000000005</v>
      </c>
      <c r="CD19" s="945">
        <v>18.75758704699459</v>
      </c>
      <c r="CE19" s="945">
        <v>18.75758704699459</v>
      </c>
      <c r="CF19" s="945">
        <v>18.75758704699459</v>
      </c>
      <c r="CG19" s="945">
        <v>18.75758704699459</v>
      </c>
      <c r="CH19" s="950">
        <f>+SUM(CD19:CG19)</f>
        <v>75.030348187978362</v>
      </c>
      <c r="CI19" s="945">
        <v>18.75758704699459</v>
      </c>
      <c r="CJ19" s="945">
        <v>18.75758704699459</v>
      </c>
      <c r="CK19" s="945">
        <v>18.75758704699459</v>
      </c>
      <c r="CL19" s="945">
        <v>18.75758704699459</v>
      </c>
      <c r="CM19" s="950">
        <f>+SUM(CI19:CL19)</f>
        <v>75.030348187978362</v>
      </c>
      <c r="CN19" s="945">
        <v>18.75758704699459</v>
      </c>
      <c r="CO19" s="945">
        <v>18.75758704699459</v>
      </c>
      <c r="CP19" s="945">
        <v>18.75758704699459</v>
      </c>
      <c r="CQ19" s="945">
        <v>18.75758704699459</v>
      </c>
      <c r="CR19" s="950">
        <f>+SUM(CN19:CQ19)</f>
        <v>75.030348187978362</v>
      </c>
      <c r="CT19" s="938"/>
      <c r="CU19" s="938"/>
      <c r="CW19" s="948"/>
      <c r="CX19" s="948"/>
      <c r="CY19" s="948"/>
      <c r="CZ19" s="948"/>
      <c r="DA19" s="948"/>
      <c r="DB19" s="948"/>
      <c r="DC19" s="948"/>
      <c r="DD19" s="948"/>
      <c r="DE19" s="948"/>
      <c r="DF19" s="948"/>
      <c r="DG19" s="948"/>
      <c r="DH19" s="948"/>
      <c r="DI19" s="948"/>
    </row>
    <row r="20" spans="1:113" ht="14.25" outlineLevel="1">
      <c r="A20" s="944" t="s">
        <v>963</v>
      </c>
      <c r="B20" s="791"/>
      <c r="C20" s="791"/>
      <c r="D20" s="791"/>
      <c r="E20" s="791"/>
      <c r="F20" s="792"/>
      <c r="G20" s="949"/>
      <c r="H20" s="949"/>
      <c r="I20" s="949"/>
      <c r="J20" s="949"/>
      <c r="K20" s="950"/>
      <c r="L20" s="949"/>
      <c r="M20" s="949"/>
      <c r="N20" s="949"/>
      <c r="O20" s="949"/>
      <c r="P20" s="950"/>
      <c r="Q20" s="949"/>
      <c r="R20" s="949"/>
      <c r="S20" s="949"/>
      <c r="T20" s="949"/>
      <c r="U20" s="950"/>
      <c r="V20" s="949"/>
      <c r="W20" s="949"/>
      <c r="X20" s="949"/>
      <c r="Y20" s="949"/>
      <c r="Z20" s="950"/>
      <c r="AA20" s="949"/>
      <c r="AB20" s="949"/>
      <c r="AC20" s="949"/>
      <c r="AD20" s="949"/>
      <c r="AE20" s="950"/>
      <c r="AF20" s="949"/>
      <c r="AG20" s="949"/>
      <c r="AH20" s="949"/>
      <c r="AI20" s="949"/>
      <c r="AJ20" s="950"/>
      <c r="AK20" s="949"/>
      <c r="AL20" s="949"/>
      <c r="AM20" s="949"/>
      <c r="AN20" s="949"/>
      <c r="AO20" s="950">
        <f t="shared" ref="AO20:BE20" si="9">+SUM(AO18,AO17,AO19)</f>
        <v>73.559999999999988</v>
      </c>
      <c r="AP20" s="949">
        <f t="shared" si="9"/>
        <v>23.4</v>
      </c>
      <c r="AQ20" s="949">
        <f t="shared" si="9"/>
        <v>29.4</v>
      </c>
      <c r="AR20" s="949">
        <f t="shared" si="9"/>
        <v>34.284999999999968</v>
      </c>
      <c r="AS20" s="949">
        <f t="shared" si="9"/>
        <v>33.980000000000004</v>
      </c>
      <c r="AT20" s="950">
        <f t="shared" si="9"/>
        <v>121.06499999999998</v>
      </c>
      <c r="AU20" s="949">
        <f t="shared" si="9"/>
        <v>30.794</v>
      </c>
      <c r="AV20" s="949">
        <f t="shared" si="9"/>
        <v>30.157</v>
      </c>
      <c r="AW20" s="949">
        <f t="shared" si="9"/>
        <v>31.859000000000002</v>
      </c>
      <c r="AX20" s="949">
        <f t="shared" si="9"/>
        <v>38.363</v>
      </c>
      <c r="AY20" s="950">
        <f t="shared" si="9"/>
        <v>131.173</v>
      </c>
      <c r="AZ20" s="949">
        <f t="shared" si="9"/>
        <v>38.158999999999999</v>
      </c>
      <c r="BA20" s="949">
        <f t="shared" si="9"/>
        <v>39.551000000000002</v>
      </c>
      <c r="BB20" s="949">
        <f t="shared" si="9"/>
        <v>72.786000000000001</v>
      </c>
      <c r="BC20" s="949">
        <f t="shared" si="9"/>
        <v>72.48</v>
      </c>
      <c r="BD20" s="950">
        <f t="shared" si="9"/>
        <v>222.976</v>
      </c>
      <c r="BE20" s="949">
        <f t="shared" si="9"/>
        <v>78.680999999999997</v>
      </c>
      <c r="BF20" s="949">
        <f>+SUM(BF18,BF17,BF19)</f>
        <v>83.251000000000005</v>
      </c>
      <c r="BG20" s="949">
        <f>+SUM(BG18,BG17,BG19)</f>
        <v>80.75</v>
      </c>
      <c r="BH20" s="949">
        <f>+SUM(BH18,BH17,BH19)</f>
        <v>79.25</v>
      </c>
      <c r="BI20" s="950">
        <f t="shared" ref="BI20:CR20" si="10">+SUM(BI18,BI17,BI19)</f>
        <v>321.93200000000002</v>
      </c>
      <c r="BJ20" s="949">
        <f t="shared" si="10"/>
        <v>80.701999999999998</v>
      </c>
      <c r="BK20" s="949">
        <f t="shared" si="10"/>
        <v>79.322000000000003</v>
      </c>
      <c r="BL20" s="949">
        <f t="shared" si="10"/>
        <v>78.921000000000006</v>
      </c>
      <c r="BM20" s="949">
        <f t="shared" si="10"/>
        <v>77.918000000000006</v>
      </c>
      <c r="BN20" s="950">
        <f t="shared" si="10"/>
        <v>316.863</v>
      </c>
      <c r="BO20" s="949">
        <f>+SUM(BO18,BO17,BO19)</f>
        <v>78.503</v>
      </c>
      <c r="BP20" s="949">
        <f t="shared" ref="BP20:BR20" si="11">+SUM(BP18,BP17,BP19)</f>
        <v>77.546999999999997</v>
      </c>
      <c r="BQ20" s="949">
        <f t="shared" si="11"/>
        <v>75.912999999999997</v>
      </c>
      <c r="BR20" s="949">
        <f t="shared" si="11"/>
        <v>76.040999999999997</v>
      </c>
      <c r="BS20" s="950">
        <f t="shared" si="10"/>
        <v>308.00400000000002</v>
      </c>
      <c r="BT20" s="949">
        <f>+SUM(BT18,BT17,BT19)</f>
        <v>79.019000000000005</v>
      </c>
      <c r="BU20" s="949">
        <f t="shared" si="10"/>
        <v>75.966836981900002</v>
      </c>
      <c r="BV20" s="949">
        <f t="shared" si="10"/>
        <v>76.168927539999999</v>
      </c>
      <c r="BW20" s="949">
        <f t="shared" si="10"/>
        <v>77.006766900000002</v>
      </c>
      <c r="BX20" s="950">
        <f t="shared" si="10"/>
        <v>308.16153142190001</v>
      </c>
      <c r="BY20" s="949">
        <f t="shared" si="10"/>
        <v>77.824688421500014</v>
      </c>
      <c r="BZ20" s="949">
        <f t="shared" si="10"/>
        <v>76.262381920990009</v>
      </c>
      <c r="CA20" s="949">
        <f t="shared" si="10"/>
        <v>76.794128301000001</v>
      </c>
      <c r="CB20" s="949">
        <f t="shared" si="10"/>
        <v>77.738059700000008</v>
      </c>
      <c r="CC20" s="950">
        <f t="shared" si="10"/>
        <v>308.61925834349</v>
      </c>
      <c r="CD20" s="949">
        <f t="shared" si="10"/>
        <v>75.2885820002396</v>
      </c>
      <c r="CE20" s="949">
        <f t="shared" si="10"/>
        <v>72.810979185334318</v>
      </c>
      <c r="CF20" s="949">
        <f t="shared" si="10"/>
        <v>73.504775511524585</v>
      </c>
      <c r="CG20" s="949">
        <f t="shared" si="10"/>
        <v>74.490118362994579</v>
      </c>
      <c r="CH20" s="950">
        <f t="shared" si="10"/>
        <v>296.09445506009308</v>
      </c>
      <c r="CI20" s="949">
        <f t="shared" si="10"/>
        <v>77.583812351407673</v>
      </c>
      <c r="CJ20" s="949">
        <f t="shared" si="10"/>
        <v>74.058899428065473</v>
      </c>
      <c r="CK20" s="949">
        <f t="shared" si="10"/>
        <v>74.930366645915868</v>
      </c>
      <c r="CL20" s="949">
        <f t="shared" si="10"/>
        <v>75.9503953172986</v>
      </c>
      <c r="CM20" s="950">
        <f t="shared" si="10"/>
        <v>302.5234737426876</v>
      </c>
      <c r="CN20" s="949">
        <f t="shared" si="10"/>
        <v>80.179909992366277</v>
      </c>
      <c r="CO20" s="949">
        <f t="shared" si="10"/>
        <v>75.441853251174479</v>
      </c>
      <c r="CP20" s="949">
        <f t="shared" si="10"/>
        <v>76.619119541745107</v>
      </c>
      <c r="CQ20" s="949">
        <f t="shared" si="10"/>
        <v>77.680464806497696</v>
      </c>
      <c r="CR20" s="950">
        <f t="shared" si="10"/>
        <v>309.92134759178356</v>
      </c>
      <c r="CT20" s="938"/>
      <c r="CU20" s="938"/>
      <c r="CW20" s="948"/>
      <c r="CX20" s="948"/>
      <c r="CY20" s="948"/>
      <c r="CZ20" s="948"/>
      <c r="DA20" s="948"/>
      <c r="DB20" s="948"/>
      <c r="DC20" s="948"/>
      <c r="DD20" s="948"/>
      <c r="DE20" s="948"/>
      <c r="DF20" s="948"/>
      <c r="DG20" s="948"/>
      <c r="DH20" s="948"/>
      <c r="DI20" s="948"/>
    </row>
    <row r="21" spans="1:113" ht="14.25" outlineLevel="1">
      <c r="A21" s="947" t="s">
        <v>964</v>
      </c>
      <c r="B21" s="791"/>
      <c r="C21" s="791"/>
      <c r="D21" s="791"/>
      <c r="E21" s="791"/>
      <c r="F21" s="792"/>
      <c r="G21" s="949"/>
      <c r="H21" s="949"/>
      <c r="I21" s="949"/>
      <c r="J21" s="949"/>
      <c r="K21" s="950"/>
      <c r="L21" s="949"/>
      <c r="M21" s="949"/>
      <c r="N21" s="949"/>
      <c r="O21" s="949"/>
      <c r="P21" s="950"/>
      <c r="Q21" s="949"/>
      <c r="R21" s="949"/>
      <c r="S21" s="949"/>
      <c r="T21" s="949"/>
      <c r="U21" s="950"/>
      <c r="V21" s="949"/>
      <c r="W21" s="949"/>
      <c r="X21" s="949"/>
      <c r="Y21" s="949"/>
      <c r="Z21" s="950"/>
      <c r="AA21" s="949"/>
      <c r="AB21" s="949"/>
      <c r="AC21" s="949"/>
      <c r="AD21" s="949"/>
      <c r="AE21" s="950"/>
      <c r="AF21" s="949"/>
      <c r="AG21" s="949"/>
      <c r="AH21" s="949"/>
      <c r="AI21" s="949"/>
      <c r="AJ21" s="950"/>
      <c r="AK21" s="949"/>
      <c r="AL21" s="949"/>
      <c r="AM21" s="949"/>
      <c r="AN21" s="949"/>
      <c r="AO21" s="958">
        <v>0</v>
      </c>
      <c r="AP21" s="959">
        <v>0</v>
      </c>
      <c r="AQ21" s="959">
        <v>0</v>
      </c>
      <c r="AR21" s="959">
        <v>0</v>
      </c>
      <c r="AS21" s="959">
        <v>0</v>
      </c>
      <c r="AT21" s="950">
        <f>+SUM(AP21:AS21)</f>
        <v>0</v>
      </c>
      <c r="AU21" s="959">
        <v>0</v>
      </c>
      <c r="AV21" s="959">
        <v>0</v>
      </c>
      <c r="AW21" s="959">
        <v>0</v>
      </c>
      <c r="AX21" s="959">
        <f>7.797-SUM(AU21:AW21)</f>
        <v>7.7969999999999997</v>
      </c>
      <c r="AY21" s="950">
        <f>+SUM(AU21:AX21)</f>
        <v>7.7969999999999997</v>
      </c>
      <c r="AZ21" s="959">
        <v>22.501999999999999</v>
      </c>
      <c r="BA21" s="959">
        <v>14.202999999999999</v>
      </c>
      <c r="BB21" s="959">
        <v>10.394</v>
      </c>
      <c r="BC21" s="959">
        <f>53.564-SUM(AZ21:BB21)</f>
        <v>6.4650000000000034</v>
      </c>
      <c r="BD21" s="950">
        <f>+SUM(AZ21:BC21)</f>
        <v>53.564</v>
      </c>
      <c r="BE21" s="959">
        <v>0</v>
      </c>
      <c r="BF21" s="959">
        <v>0</v>
      </c>
      <c r="BG21" s="959">
        <v>0</v>
      </c>
      <c r="BH21" s="959">
        <v>0</v>
      </c>
      <c r="BI21" s="950">
        <f>+SUM(BE21:BH21)</f>
        <v>0</v>
      </c>
      <c r="BJ21" s="959">
        <v>0</v>
      </c>
      <c r="BK21" s="959">
        <v>0</v>
      </c>
      <c r="BL21" s="959">
        <v>0</v>
      </c>
      <c r="BM21" s="959">
        <v>0</v>
      </c>
      <c r="BN21" s="950">
        <f>+SUM(BJ21:BM21)</f>
        <v>0</v>
      </c>
      <c r="BO21" s="959">
        <v>0</v>
      </c>
      <c r="BP21" s="959">
        <v>0</v>
      </c>
      <c r="BQ21" s="959">
        <v>0</v>
      </c>
      <c r="BR21" s="959">
        <v>0</v>
      </c>
      <c r="BS21" s="950">
        <f>+SUM(BO21:BR21)</f>
        <v>0</v>
      </c>
      <c r="BT21" s="959">
        <v>0</v>
      </c>
      <c r="BU21" s="959">
        <v>0</v>
      </c>
      <c r="BV21" s="959">
        <v>0</v>
      </c>
      <c r="BW21" s="959">
        <v>0</v>
      </c>
      <c r="BX21" s="950">
        <f>+SUM(BT21:BW21)</f>
        <v>0</v>
      </c>
      <c r="BY21" s="959">
        <v>0</v>
      </c>
      <c r="BZ21" s="959">
        <v>0</v>
      </c>
      <c r="CA21" s="959">
        <v>0</v>
      </c>
      <c r="CB21" s="959">
        <v>0</v>
      </c>
      <c r="CC21" s="950">
        <f>+SUM(BY21:CB21)</f>
        <v>0</v>
      </c>
      <c r="CD21" s="959">
        <v>0</v>
      </c>
      <c r="CE21" s="959">
        <v>0</v>
      </c>
      <c r="CF21" s="959">
        <v>0</v>
      </c>
      <c r="CG21" s="959">
        <v>0</v>
      </c>
      <c r="CH21" s="950">
        <f>+SUM(CD21:CG21)</f>
        <v>0</v>
      </c>
      <c r="CI21" s="959">
        <v>0</v>
      </c>
      <c r="CJ21" s="959">
        <v>0</v>
      </c>
      <c r="CK21" s="959">
        <v>0</v>
      </c>
      <c r="CL21" s="959">
        <v>0</v>
      </c>
      <c r="CM21" s="950">
        <f>+SUM(CI21:CL21)</f>
        <v>0</v>
      </c>
      <c r="CN21" s="959">
        <v>0</v>
      </c>
      <c r="CO21" s="959">
        <v>0</v>
      </c>
      <c r="CP21" s="959">
        <v>0</v>
      </c>
      <c r="CQ21" s="959">
        <v>0</v>
      </c>
      <c r="CR21" s="950">
        <f>+SUM(CN21:CQ21)</f>
        <v>0</v>
      </c>
      <c r="CT21" s="938"/>
      <c r="CU21" s="938"/>
      <c r="CW21" s="948"/>
      <c r="CX21" s="948"/>
      <c r="CY21" s="948"/>
      <c r="CZ21" s="948"/>
      <c r="DA21" s="948"/>
      <c r="DB21" s="948"/>
      <c r="DC21" s="948"/>
      <c r="DD21" s="948"/>
      <c r="DE21" s="948"/>
      <c r="DF21" s="948"/>
      <c r="DG21" s="948"/>
      <c r="DH21" s="948"/>
      <c r="DI21" s="948"/>
    </row>
    <row r="22" spans="1:113" ht="14.25" outlineLevel="1">
      <c r="A22" s="947" t="s">
        <v>965</v>
      </c>
      <c r="B22" s="791"/>
      <c r="C22" s="791"/>
      <c r="D22" s="791"/>
      <c r="E22" s="791"/>
      <c r="F22" s="792"/>
      <c r="G22" s="949"/>
      <c r="H22" s="949"/>
      <c r="I22" s="949"/>
      <c r="J22" s="949"/>
      <c r="K22" s="950"/>
      <c r="L22" s="949"/>
      <c r="M22" s="949"/>
      <c r="N22" s="949"/>
      <c r="O22" s="949"/>
      <c r="P22" s="950"/>
      <c r="Q22" s="949"/>
      <c r="R22" s="949"/>
      <c r="S22" s="949"/>
      <c r="T22" s="949"/>
      <c r="U22" s="950"/>
      <c r="V22" s="949"/>
      <c r="W22" s="949"/>
      <c r="X22" s="949"/>
      <c r="Y22" s="949"/>
      <c r="Z22" s="950"/>
      <c r="AA22" s="949"/>
      <c r="AB22" s="949"/>
      <c r="AC22" s="949"/>
      <c r="AD22" s="949"/>
      <c r="AE22" s="950"/>
      <c r="AF22" s="949"/>
      <c r="AG22" s="949"/>
      <c r="AH22" s="949"/>
      <c r="AI22" s="949"/>
      <c r="AJ22" s="950"/>
      <c r="AK22" s="949"/>
      <c r="AL22" s="949"/>
      <c r="AM22" s="949"/>
      <c r="AN22" s="949"/>
      <c r="AO22" s="958">
        <v>11.7</v>
      </c>
      <c r="AP22" s="959">
        <v>4</v>
      </c>
      <c r="AQ22" s="959">
        <v>6</v>
      </c>
      <c r="AR22" s="959">
        <v>7</v>
      </c>
      <c r="AS22" s="959">
        <v>8.0410000000000004</v>
      </c>
      <c r="AT22" s="950">
        <f>+SUM(AP22:AS22)</f>
        <v>25.041</v>
      </c>
      <c r="AU22" s="959">
        <v>6.7510000000000003</v>
      </c>
      <c r="AV22" s="959">
        <v>6.6280000000000001</v>
      </c>
      <c r="AW22" s="959">
        <v>6.9939999999999998</v>
      </c>
      <c r="AX22" s="959">
        <f>4.645+25.236-SUM(AU22:AW22)</f>
        <v>9.5079999999999991</v>
      </c>
      <c r="AY22" s="950">
        <f>+SUM(AU22:AX22)</f>
        <v>29.881</v>
      </c>
      <c r="AZ22" s="959">
        <v>14.109</v>
      </c>
      <c r="BA22" s="959">
        <v>14.943</v>
      </c>
      <c r="BB22" s="959">
        <v>27.771000000000001</v>
      </c>
      <c r="BC22" s="959">
        <f>84.921-SUM(AZ22:BB22)</f>
        <v>28.098000000000006</v>
      </c>
      <c r="BD22" s="950">
        <f>+SUM(AZ22:BC22)</f>
        <v>84.921000000000006</v>
      </c>
      <c r="BE22" s="959">
        <v>28.420999999999999</v>
      </c>
      <c r="BF22" s="959">
        <v>28.638000000000002</v>
      </c>
      <c r="BG22" s="959">
        <v>28.388000000000002</v>
      </c>
      <c r="BH22" s="959">
        <f>114.075-SUM(BE22:BG22)</f>
        <v>28.628</v>
      </c>
      <c r="BI22" s="950">
        <f>+SUM(BE22:BH22)</f>
        <v>114.075</v>
      </c>
      <c r="BJ22" s="959">
        <v>28.620999999999999</v>
      </c>
      <c r="BK22" s="959">
        <v>28.8</v>
      </c>
      <c r="BL22" s="959">
        <v>28.681000000000001</v>
      </c>
      <c r="BM22" s="959">
        <f>114.943-SUM(BJ22:BL22)</f>
        <v>28.840999999999994</v>
      </c>
      <c r="BN22" s="950">
        <f>+SUM(BJ22:BM22)</f>
        <v>114.943</v>
      </c>
      <c r="BO22" s="959">
        <v>28.484000000000002</v>
      </c>
      <c r="BP22" s="959">
        <v>28.224</v>
      </c>
      <c r="BQ22" s="959">
        <v>27.033999999999999</v>
      </c>
      <c r="BR22" s="959">
        <f>110.123-SUM(BO22:BQ22)</f>
        <v>26.381000000000014</v>
      </c>
      <c r="BS22" s="950">
        <f>+SUM(BO22:BR22)</f>
        <v>110.123</v>
      </c>
      <c r="BT22" s="959">
        <v>26.349</v>
      </c>
      <c r="BU22" s="949">
        <f>+BU156*BU50</f>
        <v>27.252403459122167</v>
      </c>
      <c r="BV22" s="949">
        <f>+BV156*BV50</f>
        <v>27.472951848921163</v>
      </c>
      <c r="BW22" s="949">
        <f>+BW156*BW50</f>
        <v>27.709422846609261</v>
      </c>
      <c r="BX22" s="950">
        <f>+SUM(BT22:BW22)</f>
        <v>108.78377815465258</v>
      </c>
      <c r="BY22" s="949">
        <f>+BY156*BY50</f>
        <v>26.828179443692207</v>
      </c>
      <c r="BZ22" s="949">
        <f>+BZ156*BZ50</f>
        <v>27.023338211021887</v>
      </c>
      <c r="CA22" s="949">
        <f>+CA156*CA50</f>
        <v>27.2200815163113</v>
      </c>
      <c r="CB22" s="949">
        <f>+CB156*CB50</f>
        <v>27.437258568037215</v>
      </c>
      <c r="CC22" s="950">
        <f>+SUM(BY22:CB22)</f>
        <v>108.50885773906262</v>
      </c>
      <c r="CD22" s="949">
        <f>+CD156*CD50</f>
        <v>22.42252253115571</v>
      </c>
      <c r="CE22" s="949">
        <f>+CE156*CE50</f>
        <v>22.598086096250981</v>
      </c>
      <c r="CF22" s="949">
        <f>+CF156*CF50</f>
        <v>22.775737068681874</v>
      </c>
      <c r="CG22" s="949">
        <f>+CG156*CG50</f>
        <v>22.971392795179359</v>
      </c>
      <c r="CH22" s="950">
        <f>+SUM(CD22:CG22)</f>
        <v>90.76773849126792</v>
      </c>
      <c r="CI22" s="949">
        <f>+CI156*CI50</f>
        <v>22.04691374374449</v>
      </c>
      <c r="CJ22" s="949">
        <f>+CJ156*CJ50</f>
        <v>22.201314453379847</v>
      </c>
      <c r="CK22" s="949">
        <f>+CK156*CK50</f>
        <v>22.358080345933534</v>
      </c>
      <c r="CL22" s="949">
        <f>+CL156*CL50</f>
        <v>22.530772346458928</v>
      </c>
      <c r="CM22" s="950">
        <f>+SUM(CI22:CL22)</f>
        <v>89.137080889516795</v>
      </c>
      <c r="CN22" s="949">
        <f>+CN156*CN50</f>
        <v>21.777731071209153</v>
      </c>
      <c r="CO22" s="949">
        <f>+CO156*CO50</f>
        <v>21.916193909915396</v>
      </c>
      <c r="CP22" s="949">
        <f>+CP156*CP50</f>
        <v>22.057541540413052</v>
      </c>
      <c r="CQ22" s="949">
        <f>+CQ156*CQ50</f>
        <v>22.212894745319463</v>
      </c>
      <c r="CR22" s="950">
        <f>+SUM(CN22:CQ22)</f>
        <v>87.964361266857068</v>
      </c>
      <c r="CT22" s="938"/>
      <c r="CU22" s="938"/>
      <c r="CW22" s="948"/>
      <c r="CX22" s="948"/>
      <c r="CY22" s="948"/>
      <c r="CZ22" s="948"/>
      <c r="DA22" s="948"/>
      <c r="DB22" s="948"/>
      <c r="DC22" s="948"/>
      <c r="DD22" s="948"/>
      <c r="DE22" s="948"/>
      <c r="DF22" s="948"/>
      <c r="DG22" s="948"/>
      <c r="DH22" s="948"/>
      <c r="DI22" s="948"/>
    </row>
    <row r="23" spans="1:113" ht="14.25" outlineLevel="1">
      <c r="A23" s="961" t="s">
        <v>966</v>
      </c>
      <c r="B23" s="791"/>
      <c r="C23" s="791"/>
      <c r="D23" s="791"/>
      <c r="E23" s="791"/>
      <c r="F23" s="792"/>
      <c r="G23" s="949"/>
      <c r="H23" s="949"/>
      <c r="I23" s="949"/>
      <c r="J23" s="949"/>
      <c r="K23" s="950"/>
      <c r="L23" s="949"/>
      <c r="M23" s="949"/>
      <c r="N23" s="949"/>
      <c r="O23" s="949"/>
      <c r="P23" s="950"/>
      <c r="Q23" s="949"/>
      <c r="R23" s="949"/>
      <c r="S23" s="949"/>
      <c r="T23" s="949"/>
      <c r="U23" s="950"/>
      <c r="V23" s="949"/>
      <c r="W23" s="949"/>
      <c r="X23" s="949"/>
      <c r="Y23" s="949"/>
      <c r="Z23" s="950"/>
      <c r="AA23" s="949"/>
      <c r="AB23" s="949"/>
      <c r="AC23" s="949"/>
      <c r="AD23" s="949"/>
      <c r="AE23" s="950"/>
      <c r="AF23" s="949"/>
      <c r="AG23" s="949"/>
      <c r="AH23" s="949"/>
      <c r="AI23" s="949"/>
      <c r="AJ23" s="950"/>
      <c r="AK23" s="949"/>
      <c r="AL23" s="949"/>
      <c r="AM23" s="949"/>
      <c r="AN23" s="949"/>
      <c r="AO23" s="958">
        <v>0.77700000000000002</v>
      </c>
      <c r="AP23" s="949">
        <f>0.027/4</f>
        <v>6.7499999999999999E-3</v>
      </c>
      <c r="AQ23" s="949">
        <f>0.027/4</f>
        <v>6.7499999999999999E-3</v>
      </c>
      <c r="AR23" s="949">
        <f>0.027/4</f>
        <v>6.7499999999999999E-3</v>
      </c>
      <c r="AS23" s="949">
        <f>0.027/4</f>
        <v>6.7499999999999999E-3</v>
      </c>
      <c r="AT23" s="950">
        <f>+SUM(AP23:AS23)</f>
        <v>2.7E-2</v>
      </c>
      <c r="AU23" s="959">
        <v>0.13</v>
      </c>
      <c r="AV23" s="959">
        <v>7.3999999999999996E-2</v>
      </c>
      <c r="AW23" s="959">
        <v>0.26300000000000001</v>
      </c>
      <c r="AX23" s="959">
        <f>0.11+0.254-SUM(AU23:AW23)</f>
        <v>-0.10300000000000004</v>
      </c>
      <c r="AY23" s="950">
        <f>+SUM(AU23:AX23)</f>
        <v>0.36399999999999999</v>
      </c>
      <c r="AZ23" s="959">
        <v>0.34200000000000003</v>
      </c>
      <c r="BA23" s="959">
        <v>0.24199999999999999</v>
      </c>
      <c r="BB23" s="959">
        <v>0.50600000000000001</v>
      </c>
      <c r="BC23" s="959">
        <f>1.613-SUM(AZ23:BB23)</f>
        <v>0.52299999999999991</v>
      </c>
      <c r="BD23" s="950">
        <f>+SUM(AZ23:BC23)</f>
        <v>1.613</v>
      </c>
      <c r="BE23" s="959">
        <v>0.9</v>
      </c>
      <c r="BF23" s="959">
        <v>0.70199999999999996</v>
      </c>
      <c r="BG23" s="959">
        <v>0.51300000000000001</v>
      </c>
      <c r="BH23" s="959">
        <f>2.461-SUM(BE23:BG23)</f>
        <v>0.34600000000000009</v>
      </c>
      <c r="BI23" s="950">
        <f>+SUM(BE23:BH23)</f>
        <v>2.4609999999999999</v>
      </c>
      <c r="BJ23" s="959">
        <v>1.742</v>
      </c>
      <c r="BK23" s="959">
        <v>0.42799999999999999</v>
      </c>
      <c r="BL23" s="959">
        <v>1.099</v>
      </c>
      <c r="BM23" s="959">
        <f>3.602-SUM(BJ23:BL23)</f>
        <v>0.33299999999999974</v>
      </c>
      <c r="BN23" s="950">
        <f>+SUM(BJ23:BM23)</f>
        <v>3.6019999999999999</v>
      </c>
      <c r="BO23" s="959">
        <v>0.20399999999999999</v>
      </c>
      <c r="BP23" s="959">
        <v>0.33</v>
      </c>
      <c r="BQ23" s="959">
        <v>4.3999999999999997E-2</v>
      </c>
      <c r="BR23" s="959">
        <f>0.616-SUM(BO23:BQ23)</f>
        <v>3.7999999999999923E-2</v>
      </c>
      <c r="BS23" s="950">
        <f>+SUM(BO23:BR23)</f>
        <v>0.61599999999999999</v>
      </c>
      <c r="BT23" s="959">
        <v>0.79800000000000004</v>
      </c>
      <c r="BU23" s="959">
        <v>0</v>
      </c>
      <c r="BV23" s="959">
        <v>0</v>
      </c>
      <c r="BW23" s="959">
        <v>0</v>
      </c>
      <c r="BX23" s="950">
        <f>+SUM(BT23:BW23)</f>
        <v>0.79800000000000004</v>
      </c>
      <c r="BY23" s="959">
        <v>0</v>
      </c>
      <c r="BZ23" s="959">
        <v>0</v>
      </c>
      <c r="CA23" s="959">
        <v>0</v>
      </c>
      <c r="CB23" s="959">
        <v>0</v>
      </c>
      <c r="CC23" s="950">
        <f>+SUM(BY23:CB23)</f>
        <v>0</v>
      </c>
      <c r="CD23" s="959">
        <v>0</v>
      </c>
      <c r="CE23" s="959">
        <v>0</v>
      </c>
      <c r="CF23" s="959">
        <v>0</v>
      </c>
      <c r="CG23" s="959">
        <v>0</v>
      </c>
      <c r="CH23" s="950">
        <f>+SUM(CD23:CG23)</f>
        <v>0</v>
      </c>
      <c r="CI23" s="959">
        <v>0</v>
      </c>
      <c r="CJ23" s="959">
        <v>0</v>
      </c>
      <c r="CK23" s="959">
        <v>0</v>
      </c>
      <c r="CL23" s="959">
        <v>0</v>
      </c>
      <c r="CM23" s="950">
        <f>+SUM(CI23:CL23)</f>
        <v>0</v>
      </c>
      <c r="CN23" s="959">
        <v>0</v>
      </c>
      <c r="CO23" s="959">
        <v>0</v>
      </c>
      <c r="CP23" s="959">
        <v>0</v>
      </c>
      <c r="CQ23" s="959">
        <v>0</v>
      </c>
      <c r="CR23" s="950">
        <f>+SUM(CN23:CQ23)</f>
        <v>0</v>
      </c>
      <c r="CT23" s="938"/>
      <c r="CU23" s="938"/>
      <c r="CW23" s="948"/>
      <c r="CX23" s="948"/>
      <c r="CY23" s="948"/>
      <c r="CZ23" s="948"/>
      <c r="DA23" s="948"/>
      <c r="DB23" s="948"/>
      <c r="DC23" s="948"/>
      <c r="DD23" s="948"/>
      <c r="DE23" s="948"/>
      <c r="DF23" s="948"/>
      <c r="DG23" s="948"/>
      <c r="DH23" s="948"/>
      <c r="DI23" s="948"/>
    </row>
    <row r="24" spans="1:113" ht="14.25" outlineLevel="1">
      <c r="A24" s="961" t="s">
        <v>967</v>
      </c>
      <c r="B24" s="791"/>
      <c r="C24" s="791"/>
      <c r="D24" s="791"/>
      <c r="E24" s="791"/>
      <c r="F24" s="792"/>
      <c r="G24" s="949"/>
      <c r="H24" s="949"/>
      <c r="I24" s="949"/>
      <c r="J24" s="949"/>
      <c r="K24" s="950"/>
      <c r="L24" s="949"/>
      <c r="M24" s="949"/>
      <c r="N24" s="949"/>
      <c r="O24" s="949"/>
      <c r="P24" s="950"/>
      <c r="Q24" s="949"/>
      <c r="R24" s="949"/>
      <c r="S24" s="949"/>
      <c r="T24" s="949"/>
      <c r="U24" s="950"/>
      <c r="V24" s="949"/>
      <c r="W24" s="949"/>
      <c r="X24" s="949"/>
      <c r="Y24" s="949"/>
      <c r="Z24" s="950"/>
      <c r="AA24" s="949"/>
      <c r="AB24" s="949"/>
      <c r="AC24" s="949"/>
      <c r="AD24" s="949"/>
      <c r="AE24" s="950"/>
      <c r="AF24" s="949"/>
      <c r="AG24" s="949"/>
      <c r="AH24" s="949"/>
      <c r="AI24" s="949"/>
      <c r="AJ24" s="950"/>
      <c r="AK24" s="949"/>
      <c r="AL24" s="949"/>
      <c r="AM24" s="949"/>
      <c r="AN24" s="949"/>
      <c r="AO24" s="958">
        <v>0.42899999999999999</v>
      </c>
      <c r="AP24" s="949">
        <f>1.204/4</f>
        <v>0.30099999999999999</v>
      </c>
      <c r="AQ24" s="949">
        <f>1.204/4</f>
        <v>0.30099999999999999</v>
      </c>
      <c r="AR24" s="949">
        <f>1.204/4</f>
        <v>0.30099999999999999</v>
      </c>
      <c r="AS24" s="949">
        <f>1.204/4</f>
        <v>0.30099999999999999</v>
      </c>
      <c r="AT24" s="950">
        <f>+SUM(AP24:AS24)</f>
        <v>1.204</v>
      </c>
      <c r="AU24" s="959">
        <v>0.17</v>
      </c>
      <c r="AV24" s="959">
        <v>0.11600000000000001</v>
      </c>
      <c r="AW24" s="959">
        <v>0.23899999999999999</v>
      </c>
      <c r="AX24" s="959">
        <f>3.248+0.624-SUM(AU24:AW24)</f>
        <v>3.3470000000000004</v>
      </c>
      <c r="AY24" s="950">
        <f>+SUM(AU24:AX24)</f>
        <v>3.8720000000000003</v>
      </c>
      <c r="AZ24" s="959">
        <v>0.32</v>
      </c>
      <c r="BA24" s="959">
        <v>0.21</v>
      </c>
      <c r="BB24" s="959">
        <v>0.48199999999999998</v>
      </c>
      <c r="BC24" s="959">
        <f>1.294-SUM(AZ24:BB24)</f>
        <v>0.28200000000000003</v>
      </c>
      <c r="BD24" s="950">
        <f>+SUM(AZ24:BC24)</f>
        <v>1.294</v>
      </c>
      <c r="BE24" s="959">
        <v>0.23</v>
      </c>
      <c r="BF24" s="959">
        <v>0.09</v>
      </c>
      <c r="BG24" s="959">
        <v>0.54200000000000004</v>
      </c>
      <c r="BH24" s="959">
        <f>1.515-SUM(BE24:BG24)</f>
        <v>0.6529999999999998</v>
      </c>
      <c r="BI24" s="950">
        <f>+SUM(BE24:BH24)</f>
        <v>1.5149999999999999</v>
      </c>
      <c r="BJ24" s="959">
        <v>0.61699999999999999</v>
      </c>
      <c r="BK24" s="959">
        <v>1.1379999999999999</v>
      </c>
      <c r="BL24" s="959">
        <v>1.3049999999999999</v>
      </c>
      <c r="BM24" s="959">
        <f>4.274-SUM(BJ24:BL24)</f>
        <v>1.2140000000000004</v>
      </c>
      <c r="BN24" s="950">
        <f>+SUM(BJ24:BM24)</f>
        <v>4.274</v>
      </c>
      <c r="BO24" s="959">
        <v>1.2050000000000001</v>
      </c>
      <c r="BP24" s="959">
        <v>1.802</v>
      </c>
      <c r="BQ24" s="959">
        <v>1.504</v>
      </c>
      <c r="BR24" s="959">
        <f>5.62-SUM(BO24:BQ24)</f>
        <v>1.109</v>
      </c>
      <c r="BS24" s="950">
        <f>+SUM(BO24:BR24)</f>
        <v>5.62</v>
      </c>
      <c r="BT24" s="959">
        <v>1.65</v>
      </c>
      <c r="BU24" s="949">
        <f>+BU151*BU$51</f>
        <v>1.8743684156042746</v>
      </c>
      <c r="BV24" s="949">
        <f>+BV151*BV$51</f>
        <v>1.5257902092362083</v>
      </c>
      <c r="BW24" s="949">
        <f>+BW151*BW$51</f>
        <v>1.3829545737091393</v>
      </c>
      <c r="BX24" s="950">
        <f>+SUM(BT24:BW24)</f>
        <v>6.4331131985496226</v>
      </c>
      <c r="BY24" s="949">
        <f>+BY151*BY$51</f>
        <v>1.6872533289365048</v>
      </c>
      <c r="BZ24" s="949">
        <f>+BZ151*BZ$51</f>
        <v>1.9069638877140715</v>
      </c>
      <c r="CA24" s="949">
        <f>+CA151*CA$51</f>
        <v>1.5643038290402098</v>
      </c>
      <c r="CB24" s="949">
        <f>+CB151*CB$51</f>
        <v>1.4241151402085857</v>
      </c>
      <c r="CC24" s="950">
        <f>+SUM(BY24:CB24)</f>
        <v>6.5826361858993714</v>
      </c>
      <c r="CD24" s="949">
        <f>+CD151*CD$51</f>
        <v>1.7847866307546687</v>
      </c>
      <c r="CE24" s="949">
        <f>+CE151*CE$51</f>
        <v>1.9780708794305439</v>
      </c>
      <c r="CF24" s="949">
        <f>+CF151*CF$51</f>
        <v>1.6277503270274172</v>
      </c>
      <c r="CG24" s="949">
        <f>+CG151*CG$51</f>
        <v>1.4820364019728254</v>
      </c>
      <c r="CH24" s="950">
        <f>+SUM(CD24:CG24)</f>
        <v>6.8726442391854556</v>
      </c>
      <c r="CI24" s="949">
        <f>+CI151*CI$51</f>
        <v>1.8928808807866071</v>
      </c>
      <c r="CJ24" s="949">
        <f>+CJ151*CJ$51</f>
        <v>2.0540649859227917</v>
      </c>
      <c r="CK24" s="949">
        <f>+CK151*CK$51</f>
        <v>1.6961154755944441</v>
      </c>
      <c r="CL24" s="949">
        <f>+CL151*CL$51</f>
        <v>1.5444596317659582</v>
      </c>
      <c r="CM24" s="950">
        <f>+SUM(CI24:CL24)</f>
        <v>7.1875209740698018</v>
      </c>
      <c r="CN24" s="949">
        <f>+CN151*CN$51</f>
        <v>2.0088162142173891</v>
      </c>
      <c r="CO24" s="949">
        <f>+CO151*CO$51</f>
        <v>2.1309869399285106</v>
      </c>
      <c r="CP24" s="949">
        <f>+CP151*CP$51</f>
        <v>1.7700044990864425</v>
      </c>
      <c r="CQ24" s="949">
        <f>+CQ151*CQ$51</f>
        <v>1.6119393847456689</v>
      </c>
      <c r="CR24" s="950">
        <f>+SUM(CN24:CQ24)</f>
        <v>7.5217470379780114</v>
      </c>
      <c r="CT24" s="938"/>
      <c r="CU24" s="938"/>
      <c r="CW24" s="948"/>
      <c r="CX24" s="948"/>
      <c r="CY24" s="948"/>
      <c r="CZ24" s="948"/>
      <c r="DA24" s="948"/>
      <c r="DB24" s="948"/>
      <c r="DC24" s="948"/>
      <c r="DD24" s="948"/>
      <c r="DE24" s="948"/>
      <c r="DF24" s="948"/>
      <c r="DG24" s="948"/>
      <c r="DH24" s="948"/>
      <c r="DI24" s="948"/>
    </row>
    <row r="25" spans="1:113" ht="14.25" outlineLevel="1">
      <c r="A25" s="961" t="s">
        <v>31</v>
      </c>
      <c r="B25" s="791"/>
      <c r="C25" s="791"/>
      <c r="D25" s="791"/>
      <c r="E25" s="791"/>
      <c r="F25" s="792"/>
      <c r="G25" s="949"/>
      <c r="H25" s="949"/>
      <c r="I25" s="949"/>
      <c r="J25" s="949"/>
      <c r="K25" s="950"/>
      <c r="L25" s="949"/>
      <c r="M25" s="949"/>
      <c r="N25" s="949"/>
      <c r="O25" s="949"/>
      <c r="P25" s="950"/>
      <c r="Q25" s="949"/>
      <c r="R25" s="949"/>
      <c r="S25" s="949"/>
      <c r="T25" s="949"/>
      <c r="U25" s="950"/>
      <c r="V25" s="949"/>
      <c r="W25" s="949"/>
      <c r="X25" s="949"/>
      <c r="Y25" s="949"/>
      <c r="Z25" s="950"/>
      <c r="AA25" s="949"/>
      <c r="AB25" s="949"/>
      <c r="AC25" s="949"/>
      <c r="AD25" s="949"/>
      <c r="AE25" s="950"/>
      <c r="AF25" s="949"/>
      <c r="AG25" s="949"/>
      <c r="AH25" s="949"/>
      <c r="AI25" s="949"/>
      <c r="AJ25" s="950"/>
      <c r="AK25" s="949"/>
      <c r="AL25" s="949"/>
      <c r="AM25" s="949"/>
      <c r="AN25" s="949"/>
      <c r="AO25" s="958">
        <v>0</v>
      </c>
      <c r="AP25" s="959">
        <v>0</v>
      </c>
      <c r="AQ25" s="959">
        <v>0</v>
      </c>
      <c r="AR25" s="959">
        <v>0</v>
      </c>
      <c r="AS25" s="959">
        <v>0</v>
      </c>
      <c r="AT25" s="950">
        <f>+SUM(AP25:AS25)</f>
        <v>0</v>
      </c>
      <c r="AU25" s="959">
        <v>0</v>
      </c>
      <c r="AV25" s="959">
        <v>0</v>
      </c>
      <c r="AW25" s="959">
        <v>0</v>
      </c>
      <c r="AX25" s="959">
        <v>0</v>
      </c>
      <c r="AY25" s="950">
        <f>+SUM(AU25:AX25)</f>
        <v>0</v>
      </c>
      <c r="AZ25" s="959">
        <v>0</v>
      </c>
      <c r="BA25" s="959">
        <v>0</v>
      </c>
      <c r="BB25" s="959">
        <v>0</v>
      </c>
      <c r="BC25" s="959">
        <v>0</v>
      </c>
      <c r="BD25" s="950">
        <f>+SUM(AZ25:BC25)</f>
        <v>0</v>
      </c>
      <c r="BE25" s="959">
        <v>0</v>
      </c>
      <c r="BF25" s="959">
        <v>0</v>
      </c>
      <c r="BG25" s="959">
        <v>0</v>
      </c>
      <c r="BH25" s="959">
        <v>0</v>
      </c>
      <c r="BI25" s="950">
        <f>+SUM(BE25:BH25)</f>
        <v>0</v>
      </c>
      <c r="BJ25" s="959">
        <v>0</v>
      </c>
      <c r="BK25" s="959">
        <v>0</v>
      </c>
      <c r="BL25" s="959">
        <v>0</v>
      </c>
      <c r="BM25" s="959">
        <v>0</v>
      </c>
      <c r="BN25" s="950">
        <f>+SUM(BJ25:BM25)</f>
        <v>0</v>
      </c>
      <c r="BO25" s="959">
        <v>0</v>
      </c>
      <c r="BP25" s="959">
        <v>0</v>
      </c>
      <c r="BQ25" s="959">
        <v>0</v>
      </c>
      <c r="BR25" s="959">
        <v>0</v>
      </c>
      <c r="BS25" s="950">
        <f>+SUM(BO25:BR25)</f>
        <v>0</v>
      </c>
      <c r="BT25" s="959">
        <v>0</v>
      </c>
      <c r="BU25" s="959">
        <v>0</v>
      </c>
      <c r="BV25" s="959">
        <v>0</v>
      </c>
      <c r="BW25" s="959">
        <v>0</v>
      </c>
      <c r="BX25" s="950">
        <f>+SUM(BT25:BW25)</f>
        <v>0</v>
      </c>
      <c r="BY25" s="959">
        <v>0</v>
      </c>
      <c r="BZ25" s="959">
        <v>0</v>
      </c>
      <c r="CA25" s="959">
        <v>0</v>
      </c>
      <c r="CB25" s="959">
        <v>0</v>
      </c>
      <c r="CC25" s="950">
        <f>+SUM(BY25:CB25)</f>
        <v>0</v>
      </c>
      <c r="CD25" s="959">
        <v>0</v>
      </c>
      <c r="CE25" s="959">
        <v>0</v>
      </c>
      <c r="CF25" s="959">
        <v>0</v>
      </c>
      <c r="CG25" s="959">
        <v>0</v>
      </c>
      <c r="CH25" s="950">
        <f>+SUM(CD25:CG25)</f>
        <v>0</v>
      </c>
      <c r="CI25" s="959">
        <v>0</v>
      </c>
      <c r="CJ25" s="959">
        <v>0</v>
      </c>
      <c r="CK25" s="959">
        <v>0</v>
      </c>
      <c r="CL25" s="959">
        <v>0</v>
      </c>
      <c r="CM25" s="950">
        <f>+SUM(CI25:CL25)</f>
        <v>0</v>
      </c>
      <c r="CN25" s="959">
        <v>0</v>
      </c>
      <c r="CO25" s="959">
        <v>0</v>
      </c>
      <c r="CP25" s="959">
        <v>0</v>
      </c>
      <c r="CQ25" s="959">
        <v>0</v>
      </c>
      <c r="CR25" s="950">
        <f>+SUM(CN25:CQ25)</f>
        <v>0</v>
      </c>
      <c r="CT25" s="938"/>
      <c r="CU25" s="938"/>
      <c r="CW25" s="948"/>
      <c r="CX25" s="948"/>
      <c r="CY25" s="948"/>
      <c r="CZ25" s="948"/>
      <c r="DA25" s="948"/>
      <c r="DB25" s="948"/>
      <c r="DC25" s="948"/>
      <c r="DD25" s="948"/>
      <c r="DE25" s="948"/>
      <c r="DF25" s="948"/>
      <c r="DG25" s="948"/>
      <c r="DH25" s="948"/>
      <c r="DI25" s="948"/>
    </row>
    <row r="26" spans="1:113" ht="15" thickBot="1">
      <c r="A26" s="932" t="s">
        <v>968</v>
      </c>
      <c r="B26" s="791"/>
      <c r="C26" s="791"/>
      <c r="D26" s="791"/>
      <c r="E26" s="791"/>
      <c r="F26" s="792"/>
      <c r="G26" s="949"/>
      <c r="H26" s="949"/>
      <c r="I26" s="949"/>
      <c r="J26" s="949"/>
      <c r="K26" s="950"/>
      <c r="L26" s="949"/>
      <c r="M26" s="949"/>
      <c r="N26" s="949"/>
      <c r="O26" s="949"/>
      <c r="P26" s="950"/>
      <c r="Q26" s="949"/>
      <c r="R26" s="949"/>
      <c r="S26" s="949"/>
      <c r="T26" s="949"/>
      <c r="U26" s="950"/>
      <c r="V26" s="949"/>
      <c r="W26" s="949"/>
      <c r="X26" s="949"/>
      <c r="Y26" s="949"/>
      <c r="Z26" s="950"/>
      <c r="AA26" s="949"/>
      <c r="AB26" s="949"/>
      <c r="AC26" s="949"/>
      <c r="AD26" s="949"/>
      <c r="AE26" s="950"/>
      <c r="AF26" s="949"/>
      <c r="AG26" s="949"/>
      <c r="AH26" s="949"/>
      <c r="AI26" s="949"/>
      <c r="AJ26" s="950"/>
      <c r="AK26" s="949"/>
      <c r="AL26" s="949"/>
      <c r="AM26" s="949"/>
      <c r="AN26" s="949"/>
      <c r="AO26" s="950">
        <f t="shared" ref="AO26:AT26" si="12">+AO20-SUM(AO21:AO25)</f>
        <v>60.653999999999989</v>
      </c>
      <c r="AP26" s="949">
        <f t="shared" si="12"/>
        <v>19.09225</v>
      </c>
      <c r="AQ26" s="949">
        <f t="shared" si="12"/>
        <v>23.09225</v>
      </c>
      <c r="AR26" s="949">
        <f t="shared" si="12"/>
        <v>26.97724999999997</v>
      </c>
      <c r="AS26" s="949">
        <f t="shared" si="12"/>
        <v>25.631250000000001</v>
      </c>
      <c r="AT26" s="950">
        <f t="shared" si="12"/>
        <v>94.792999999999978</v>
      </c>
      <c r="AU26" s="949">
        <f>+AU20-SUM(AU22:AU25)</f>
        <v>23.743000000000002</v>
      </c>
      <c r="AV26" s="949">
        <f>+AV20-SUM(AV22:AV25)</f>
        <v>23.338999999999999</v>
      </c>
      <c r="AW26" s="949">
        <f>+AW20-SUM(AW22:AW25)</f>
        <v>24.363000000000003</v>
      </c>
      <c r="AX26" s="949">
        <f>+AX20-SUM(AX22:AX25)</f>
        <v>25.611000000000001</v>
      </c>
      <c r="AY26" s="950">
        <f t="shared" ref="AY26:CR26" si="13">+AY20-SUM(AY22:AY25)</f>
        <v>97.055999999999997</v>
      </c>
      <c r="AZ26" s="949">
        <f t="shared" si="13"/>
        <v>23.387999999999998</v>
      </c>
      <c r="BA26" s="949">
        <f t="shared" si="13"/>
        <v>24.156000000000002</v>
      </c>
      <c r="BB26" s="949">
        <f t="shared" si="13"/>
        <v>44.027000000000001</v>
      </c>
      <c r="BC26" s="949">
        <f t="shared" si="13"/>
        <v>43.576999999999998</v>
      </c>
      <c r="BD26" s="950">
        <f t="shared" si="13"/>
        <v>135.148</v>
      </c>
      <c r="BE26" s="949">
        <f t="shared" si="13"/>
        <v>49.129999999999995</v>
      </c>
      <c r="BF26" s="949">
        <f t="shared" si="13"/>
        <v>53.820999999999998</v>
      </c>
      <c r="BG26" s="949">
        <f t="shared" si="13"/>
        <v>51.306999999999995</v>
      </c>
      <c r="BH26" s="949">
        <f t="shared" si="13"/>
        <v>49.623000000000005</v>
      </c>
      <c r="BI26" s="950">
        <f t="shared" si="13"/>
        <v>203.88100000000003</v>
      </c>
      <c r="BJ26" s="949">
        <f t="shared" si="13"/>
        <v>49.721999999999994</v>
      </c>
      <c r="BK26" s="949">
        <f t="shared" si="13"/>
        <v>48.956000000000003</v>
      </c>
      <c r="BL26" s="949">
        <f t="shared" si="13"/>
        <v>47.836000000000006</v>
      </c>
      <c r="BM26" s="949">
        <f t="shared" si="13"/>
        <v>47.530000000000015</v>
      </c>
      <c r="BN26" s="950">
        <f t="shared" si="13"/>
        <v>194.04399999999998</v>
      </c>
      <c r="BO26" s="949">
        <f t="shared" si="13"/>
        <v>48.61</v>
      </c>
      <c r="BP26" s="949">
        <f t="shared" si="13"/>
        <v>47.191000000000003</v>
      </c>
      <c r="BQ26" s="949">
        <f t="shared" si="13"/>
        <v>47.330999999999996</v>
      </c>
      <c r="BR26" s="949">
        <f t="shared" si="13"/>
        <v>48.512999999999984</v>
      </c>
      <c r="BS26" s="950">
        <f t="shared" si="13"/>
        <v>191.64500000000001</v>
      </c>
      <c r="BT26" s="949">
        <f t="shared" si="13"/>
        <v>50.222000000000008</v>
      </c>
      <c r="BU26" s="949">
        <f t="shared" si="13"/>
        <v>46.840065107173558</v>
      </c>
      <c r="BV26" s="949">
        <f t="shared" si="13"/>
        <v>47.170185481842623</v>
      </c>
      <c r="BW26" s="949">
        <f t="shared" si="13"/>
        <v>47.914389479681603</v>
      </c>
      <c r="BX26" s="950">
        <f t="shared" si="13"/>
        <v>192.14664006869782</v>
      </c>
      <c r="BY26" s="949">
        <f t="shared" si="13"/>
        <v>49.3092556488713</v>
      </c>
      <c r="BZ26" s="949">
        <f t="shared" si="13"/>
        <v>47.332079822254052</v>
      </c>
      <c r="CA26" s="949">
        <f t="shared" si="13"/>
        <v>48.009742955648491</v>
      </c>
      <c r="CB26" s="949">
        <f t="shared" si="13"/>
        <v>48.876685991754208</v>
      </c>
      <c r="CC26" s="950">
        <f t="shared" si="13"/>
        <v>193.52776441852802</v>
      </c>
      <c r="CD26" s="949">
        <f t="shared" si="13"/>
        <v>51.08127283832922</v>
      </c>
      <c r="CE26" s="949">
        <f t="shared" si="13"/>
        <v>48.234822209652791</v>
      </c>
      <c r="CF26" s="949">
        <f t="shared" si="13"/>
        <v>49.101288115815294</v>
      </c>
      <c r="CG26" s="949">
        <f t="shared" si="13"/>
        <v>50.036689165842397</v>
      </c>
      <c r="CH26" s="950">
        <f t="shared" si="13"/>
        <v>198.4540723296397</v>
      </c>
      <c r="CI26" s="949">
        <f t="shared" si="13"/>
        <v>53.644017726876577</v>
      </c>
      <c r="CJ26" s="949">
        <f t="shared" si="13"/>
        <v>49.803519988762829</v>
      </c>
      <c r="CK26" s="949">
        <f t="shared" si="13"/>
        <v>50.876170824387891</v>
      </c>
      <c r="CL26" s="949">
        <f t="shared" si="13"/>
        <v>51.875163339073715</v>
      </c>
      <c r="CM26" s="950">
        <f t="shared" si="13"/>
        <v>206.19887187910101</v>
      </c>
      <c r="CN26" s="949">
        <f t="shared" si="13"/>
        <v>56.393362706939733</v>
      </c>
      <c r="CO26" s="949">
        <f t="shared" si="13"/>
        <v>51.394672401330567</v>
      </c>
      <c r="CP26" s="949">
        <f t="shared" si="13"/>
        <v>52.791573502245612</v>
      </c>
      <c r="CQ26" s="949">
        <f t="shared" si="13"/>
        <v>53.855630676432568</v>
      </c>
      <c r="CR26" s="950">
        <f t="shared" si="13"/>
        <v>214.43523928694847</v>
      </c>
      <c r="CT26" s="938"/>
      <c r="CU26" s="938"/>
      <c r="CW26" s="943">
        <f>+ROUND(AJ26,3)-ROUND(SUM(AF26:AI26),3)</f>
        <v>0</v>
      </c>
      <c r="CX26" s="943">
        <f>+ROUND(AO26,3)-ROUND(SUM(AK26:AN26),3)</f>
        <v>60.654000000000003</v>
      </c>
      <c r="CY26" s="943">
        <f>+ROUND(AT26,3)-ROUND(SUM(AP26:AS26),3)</f>
        <v>0</v>
      </c>
      <c r="CZ26" s="943">
        <f>+ROUND(AY26,3)-ROUND(SUM(AU26:AX26),3)</f>
        <v>0</v>
      </c>
      <c r="DA26" s="943">
        <f>+ROUND(BD26,3)-ROUND(SUM(AZ26:BC26),3)</f>
        <v>0</v>
      </c>
      <c r="DB26" s="943">
        <f>+ROUND(BI26,3)-ROUND(SUM(BE26:BH26),3)</f>
        <v>0</v>
      </c>
      <c r="DC26" s="943">
        <f>+ROUND(BN26,3)-ROUND(SUM(BJ26:BM26),3)</f>
        <v>0</v>
      </c>
      <c r="DD26" s="943">
        <f>+ROUND(BS26,3)-ROUND(SUM(BO26:BR26),3)</f>
        <v>0</v>
      </c>
      <c r="DE26" s="943">
        <f>+ROUND(BX26,3)-ROUND(SUM(BT26:BW26),3)</f>
        <v>0</v>
      </c>
      <c r="DF26" s="943">
        <f>+ROUND(CC26,3)-ROUND(SUM(BY26:CB26),3)</f>
        <v>0</v>
      </c>
      <c r="DG26" s="943">
        <f>+ROUND(CH26,3)-ROUND(SUM(CD26:CG26),3)</f>
        <v>0</v>
      </c>
      <c r="DH26" s="943">
        <f>+ROUND(CM26,3)-ROUND(SUM(CI26:CL26),3)</f>
        <v>0</v>
      </c>
      <c r="DI26" s="943">
        <f>+ROUND(CR26,3)-ROUND(SUM(CN26:CQ26),3)</f>
        <v>0</v>
      </c>
    </row>
    <row r="27" spans="1:113" ht="12" customHeight="1" thickBot="1">
      <c r="A27" s="966" t="s">
        <v>969</v>
      </c>
      <c r="B27" s="967"/>
      <c r="C27" s="967"/>
      <c r="D27" s="967"/>
      <c r="E27" s="967"/>
      <c r="F27" s="968"/>
      <c r="G27" s="969"/>
      <c r="H27" s="969"/>
      <c r="I27" s="969"/>
      <c r="J27" s="969"/>
      <c r="K27" s="970"/>
      <c r="L27" s="969"/>
      <c r="M27" s="969"/>
      <c r="N27" s="969"/>
      <c r="O27" s="969"/>
      <c r="P27" s="970"/>
      <c r="Q27" s="971"/>
      <c r="R27" s="971"/>
      <c r="S27" s="971"/>
      <c r="T27" s="971"/>
      <c r="U27" s="970"/>
      <c r="V27" s="971"/>
      <c r="W27" s="971"/>
      <c r="X27" s="971"/>
      <c r="Y27" s="971"/>
      <c r="Z27" s="970"/>
      <c r="AA27" s="971"/>
      <c r="AB27" s="971"/>
      <c r="AC27" s="971"/>
      <c r="AD27" s="971"/>
      <c r="AE27" s="970"/>
      <c r="AF27" s="971"/>
      <c r="AG27" s="971"/>
      <c r="AH27" s="971"/>
      <c r="AI27" s="971"/>
      <c r="AJ27" s="970"/>
      <c r="AK27" s="971"/>
      <c r="AL27" s="971"/>
      <c r="AM27" s="971"/>
      <c r="AN27" s="971"/>
      <c r="AO27" s="970">
        <f t="shared" ref="AO27:AT27" si="14">+AO14-AO26</f>
        <v>140.553</v>
      </c>
      <c r="AP27" s="971">
        <f t="shared" si="14"/>
        <v>43.307749999999999</v>
      </c>
      <c r="AQ27" s="971">
        <f t="shared" si="14"/>
        <v>52.307750000000006</v>
      </c>
      <c r="AR27" s="971">
        <f t="shared" si="14"/>
        <v>56.150750000000031</v>
      </c>
      <c r="AS27" s="971">
        <f t="shared" si="14"/>
        <v>58.542750000000005</v>
      </c>
      <c r="AT27" s="970">
        <f t="shared" si="14"/>
        <v>210.309</v>
      </c>
      <c r="AU27" s="971">
        <f>+AU16-AU26</f>
        <v>59.381000000000007</v>
      </c>
      <c r="AV27" s="971">
        <f>+AV16-AV26</f>
        <v>58.477999999999994</v>
      </c>
      <c r="AW27" s="971">
        <f>+AW16-AW26</f>
        <v>59.717999999999989</v>
      </c>
      <c r="AX27" s="971">
        <f t="shared" ref="AX27:BE27" si="15">+AX16-AX26</f>
        <v>63.175999999999974</v>
      </c>
      <c r="AY27" s="970">
        <f t="shared" si="15"/>
        <v>240.75299999999999</v>
      </c>
      <c r="AZ27" s="971">
        <f t="shared" si="15"/>
        <v>65.441000000000003</v>
      </c>
      <c r="BA27" s="971">
        <f t="shared" si="15"/>
        <v>68.125999999999991</v>
      </c>
      <c r="BB27" s="971">
        <f t="shared" si="15"/>
        <v>103.36899999999999</v>
      </c>
      <c r="BC27" s="971">
        <f t="shared" si="15"/>
        <v>107.04100000000005</v>
      </c>
      <c r="BD27" s="970">
        <f t="shared" si="15"/>
        <v>343.97699999999998</v>
      </c>
      <c r="BE27" s="971">
        <f t="shared" si="15"/>
        <v>111.251</v>
      </c>
      <c r="BF27" s="971">
        <f>+BF16-BF26</f>
        <v>106.85499999999999</v>
      </c>
      <c r="BG27" s="971">
        <f>+BG16-BG26</f>
        <v>113.58600000000001</v>
      </c>
      <c r="BH27" s="971">
        <f>+BH16-BH26</f>
        <v>116.64199999999998</v>
      </c>
      <c r="BI27" s="970">
        <f t="shared" ref="BI27:CR27" si="16">+BI14-BI26</f>
        <v>448.334</v>
      </c>
      <c r="BJ27" s="971">
        <f>+BJ16-BJ26</f>
        <v>110.39800000000001</v>
      </c>
      <c r="BK27" s="971">
        <f>+BK16-BK26</f>
        <v>109.532</v>
      </c>
      <c r="BL27" s="971">
        <f>+BL16-BL26</f>
        <v>109.661</v>
      </c>
      <c r="BM27" s="971">
        <f t="shared" si="16"/>
        <v>110.91899999999997</v>
      </c>
      <c r="BN27" s="970">
        <f t="shared" si="16"/>
        <v>440.5100000000001</v>
      </c>
      <c r="BO27" s="971">
        <f>+BO16-BO26</f>
        <v>102.55300000000001</v>
      </c>
      <c r="BP27" s="971">
        <f>+BP16-BP26</f>
        <v>105.001</v>
      </c>
      <c r="BQ27" s="971">
        <f>+BQ16-BQ26</f>
        <v>104.32400000000001</v>
      </c>
      <c r="BR27" s="971">
        <f t="shared" ref="BR27" si="17">+BR14-BR26</f>
        <v>104.16500000000002</v>
      </c>
      <c r="BS27" s="970">
        <f t="shared" si="16"/>
        <v>416.04300000000001</v>
      </c>
      <c r="BT27" s="971">
        <f>+BT16-BT26</f>
        <v>102.38800000000001</v>
      </c>
      <c r="BU27" s="971">
        <f t="shared" si="16"/>
        <v>103.67869005282645</v>
      </c>
      <c r="BV27" s="971">
        <f t="shared" si="16"/>
        <v>104.32522051815738</v>
      </c>
      <c r="BW27" s="971">
        <f t="shared" si="16"/>
        <v>106.17003052031839</v>
      </c>
      <c r="BX27" s="970">
        <f t="shared" si="16"/>
        <v>416.56194109130217</v>
      </c>
      <c r="BY27" s="971">
        <f t="shared" si="16"/>
        <v>106.74633861112872</v>
      </c>
      <c r="BZ27" s="971">
        <f t="shared" si="16"/>
        <v>105.80421298134598</v>
      </c>
      <c r="CA27" s="971">
        <f t="shared" si="16"/>
        <v>107.3096726843515</v>
      </c>
      <c r="CB27" s="971">
        <f t="shared" si="16"/>
        <v>109.79371400824576</v>
      </c>
      <c r="CC27" s="970">
        <f t="shared" si="16"/>
        <v>429.65393828507206</v>
      </c>
      <c r="CD27" s="971">
        <f t="shared" si="16"/>
        <v>113.99526517347078</v>
      </c>
      <c r="CE27" s="971">
        <f t="shared" si="16"/>
        <v>110.61162649885527</v>
      </c>
      <c r="CF27" s="971">
        <f t="shared" si="16"/>
        <v>112.51771767338468</v>
      </c>
      <c r="CG27" s="971">
        <f t="shared" si="16"/>
        <v>115.08711443415757</v>
      </c>
      <c r="CH27" s="970">
        <f t="shared" si="16"/>
        <v>452.21172377986835</v>
      </c>
      <c r="CI27" s="971">
        <f t="shared" si="16"/>
        <v>121.43025573787745</v>
      </c>
      <c r="CJ27" s="971">
        <f t="shared" si="16"/>
        <v>115.14553811792054</v>
      </c>
      <c r="CK27" s="971">
        <f t="shared" si="16"/>
        <v>117.53079695048811</v>
      </c>
      <c r="CL27" s="971">
        <f t="shared" si="16"/>
        <v>120.20363888492628</v>
      </c>
      <c r="CM27" s="970">
        <f t="shared" si="16"/>
        <v>474.31022969121238</v>
      </c>
      <c r="CN27" s="971">
        <f t="shared" si="16"/>
        <v>129.40387514258501</v>
      </c>
      <c r="CO27" s="971">
        <f t="shared" si="16"/>
        <v>119.73150470982715</v>
      </c>
      <c r="CP27" s="971">
        <f t="shared" si="16"/>
        <v>122.95182069947667</v>
      </c>
      <c r="CQ27" s="971">
        <f t="shared" si="16"/>
        <v>125.74155197544745</v>
      </c>
      <c r="CR27" s="970">
        <f t="shared" si="16"/>
        <v>497.82875252733629</v>
      </c>
      <c r="CT27" s="732">
        <f>+(CC27/BN27)^(0.333333333333333)-1</f>
        <v>-8.2831893006977131E-3</v>
      </c>
      <c r="CU27" s="732">
        <f>+(CM27/BN27)^(0.2)-1</f>
        <v>1.4895539863283069E-2</v>
      </c>
      <c r="CW27" s="943">
        <f>+ROUND(AJ27,3)-ROUND(SUM(AF27:AI27),3)</f>
        <v>0</v>
      </c>
      <c r="CX27" s="943">
        <f>+ROUND(AO27,3)-ROUND(SUM(AK27:AN27),3)</f>
        <v>140.553</v>
      </c>
      <c r="CY27" s="943">
        <f>+ROUND(AT27,3)-ROUND(SUM(AP27:AS27),3)</f>
        <v>0</v>
      </c>
      <c r="CZ27" s="943">
        <f>+ROUND(AY27,3)-ROUND(SUM(AU27:AX27),3)</f>
        <v>0</v>
      </c>
      <c r="DA27" s="943">
        <f>+ROUND(BD27,3)-ROUND(SUM(AZ27:BC27),3)</f>
        <v>0</v>
      </c>
      <c r="DB27" s="943">
        <f>+ROUND(BI27,3)-ROUND(SUM(BE27:BH27),3)</f>
        <v>0</v>
      </c>
      <c r="DC27" s="943">
        <f>+ROUND(BN27,3)-ROUND(SUM(BJ27:BM27),3)</f>
        <v>0</v>
      </c>
      <c r="DD27" s="943">
        <f>+ROUND(BS27,3)-ROUND(SUM(BO27:BR27),3)</f>
        <v>0</v>
      </c>
      <c r="DE27" s="943">
        <f>+ROUND(BX27,3)-ROUND(SUM(BT27:BW27),3)</f>
        <v>0</v>
      </c>
      <c r="DF27" s="943">
        <f>+ROUND(CC27,3)-ROUND(SUM(BY27:CB27),3)</f>
        <v>0</v>
      </c>
      <c r="DG27" s="943">
        <f>+ROUND(CH27,3)-ROUND(SUM(CD27:CG27),3)</f>
        <v>0</v>
      </c>
      <c r="DH27" s="943">
        <f>+ROUND(CM27,3)-ROUND(SUM(CI27:CL27),3)</f>
        <v>0</v>
      </c>
      <c r="DI27" s="943">
        <f>+ROUND(CR27,3)-ROUND(SUM(CN27:CQ27),3)</f>
        <v>0</v>
      </c>
    </row>
    <row r="28" spans="1:113" ht="12" customHeight="1" outlineLevel="1">
      <c r="A28" s="972" t="s">
        <v>970</v>
      </c>
      <c r="B28" s="785"/>
      <c r="C28" s="785"/>
      <c r="D28" s="785"/>
      <c r="E28" s="785"/>
      <c r="F28" s="735"/>
      <c r="G28" s="949"/>
      <c r="H28" s="949"/>
      <c r="I28" s="949"/>
      <c r="J28" s="949"/>
      <c r="K28" s="958"/>
      <c r="L28" s="949"/>
      <c r="M28" s="949"/>
      <c r="N28" s="949"/>
      <c r="O28" s="949"/>
      <c r="P28" s="958"/>
      <c r="Q28" s="959"/>
      <c r="R28" s="959"/>
      <c r="S28" s="959"/>
      <c r="T28" s="959"/>
      <c r="U28" s="950"/>
      <c r="V28" s="959"/>
      <c r="W28" s="959"/>
      <c r="X28" s="959"/>
      <c r="Y28" s="959"/>
      <c r="Z28" s="958"/>
      <c r="AA28" s="959"/>
      <c r="AB28" s="959"/>
      <c r="AC28" s="959"/>
      <c r="AD28" s="959"/>
      <c r="AE28" s="950"/>
      <c r="AF28" s="959"/>
      <c r="AG28" s="959"/>
      <c r="AH28" s="959"/>
      <c r="AI28" s="959"/>
      <c r="AJ28" s="950"/>
      <c r="AK28" s="959"/>
      <c r="AL28" s="959"/>
      <c r="AM28" s="959"/>
      <c r="AN28" s="959"/>
      <c r="AO28" s="958">
        <v>42.523000000000003</v>
      </c>
      <c r="AP28" s="959">
        <v>13</v>
      </c>
      <c r="AQ28" s="959">
        <v>15</v>
      </c>
      <c r="AR28" s="959">
        <v>17.018999999999998</v>
      </c>
      <c r="AS28" s="959">
        <v>16.863</v>
      </c>
      <c r="AT28" s="950">
        <f>SUM(AP28:AS28)</f>
        <v>61.881999999999998</v>
      </c>
      <c r="AU28" s="959">
        <v>14.631</v>
      </c>
      <c r="AV28" s="959">
        <v>14.356</v>
      </c>
      <c r="AW28" s="959">
        <v>14.225</v>
      </c>
      <c r="AX28" s="959">
        <f>10.576+10.458</f>
        <v>21.033999999999999</v>
      </c>
      <c r="AY28" s="950">
        <f>SUM(AU28:AX28)</f>
        <v>64.246000000000009</v>
      </c>
      <c r="AZ28" s="959">
        <v>15.701000000000001</v>
      </c>
      <c r="BA28" s="959">
        <v>16.207999999999998</v>
      </c>
      <c r="BB28" s="959">
        <v>25</v>
      </c>
      <c r="BC28" s="959">
        <v>22.791</v>
      </c>
      <c r="BD28" s="950">
        <f>SUM(AZ28:BC28)</f>
        <v>79.7</v>
      </c>
      <c r="BE28" s="959">
        <v>22.562000000000001</v>
      </c>
      <c r="BF28" s="959">
        <v>25.587</v>
      </c>
      <c r="BG28" s="959">
        <v>24.939</v>
      </c>
      <c r="BH28" s="959">
        <v>24.893999999999998</v>
      </c>
      <c r="BI28" s="950">
        <f>SUM(BE28:BH28)</f>
        <v>97.981999999999999</v>
      </c>
      <c r="BJ28" s="959">
        <v>25.866</v>
      </c>
      <c r="BK28" s="959">
        <v>24.945</v>
      </c>
      <c r="BL28" s="959">
        <v>24.937000000000001</v>
      </c>
      <c r="BM28" s="959">
        <v>25.672000000000001</v>
      </c>
      <c r="BN28" s="950">
        <f>SUM(BJ28:BM28)</f>
        <v>101.42</v>
      </c>
      <c r="BO28" s="959">
        <v>24.797000000000001</v>
      </c>
      <c r="BP28" s="959">
        <v>25.978999999999999</v>
      </c>
      <c r="BQ28" s="959">
        <v>23.259</v>
      </c>
      <c r="BR28" s="959">
        <v>23.92</v>
      </c>
      <c r="BS28" s="950">
        <f>SUM(BO28:BR28)</f>
        <v>97.954999999999998</v>
      </c>
      <c r="BT28" s="959">
        <v>23.353999999999999</v>
      </c>
      <c r="BU28" s="949">
        <f>+BU33+SUM(BU29:BU32)</f>
        <v>24.370980384842341</v>
      </c>
      <c r="BV28" s="949">
        <f>+BV33+SUM(BV29:BV32)</f>
        <v>24.835827310904111</v>
      </c>
      <c r="BW28" s="949">
        <f>+BW33+SUM(BW29:BW32)</f>
        <v>25.506645681449228</v>
      </c>
      <c r="BX28" s="950">
        <f>SUM(BT28:BW28)</f>
        <v>98.067453377195676</v>
      </c>
      <c r="BY28" s="949">
        <f>+BY33+SUM(BY29:BY32)</f>
        <v>25.44605533953694</v>
      </c>
      <c r="BZ28" s="949">
        <f>+BZ33+SUM(BZ29:BZ32)</f>
        <v>25.854828813319742</v>
      </c>
      <c r="CA28" s="949">
        <f>+CA33+SUM(CA29:CA32)</f>
        <v>25.788612329573162</v>
      </c>
      <c r="CB28" s="949">
        <f>+CB33+SUM(CB29:CB32)</f>
        <v>25.898977326628142</v>
      </c>
      <c r="CC28" s="950">
        <f>SUM(BY28:CB28)</f>
        <v>102.98847380905798</v>
      </c>
      <c r="CD28" s="949">
        <f>+CD33+SUM(CD29:CD32)</f>
        <v>25.653406042757098</v>
      </c>
      <c r="CE28" s="949">
        <f>+CE33+SUM(CE29:CE32)</f>
        <v>26.148218165954447</v>
      </c>
      <c r="CF28" s="949">
        <f>+CF33+SUM(CF29:CF32)</f>
        <v>26.186676875835062</v>
      </c>
      <c r="CG28" s="949">
        <f>+CG33+SUM(CG29:CG32)</f>
        <v>26.405888637616123</v>
      </c>
      <c r="CH28" s="950">
        <f>SUM(CD28:CG28)</f>
        <v>104.39418972216274</v>
      </c>
      <c r="CI28" s="949">
        <f>+CI33+SUM(CI29:CI32)</f>
        <v>26.894415009684238</v>
      </c>
      <c r="CJ28" s="949">
        <f>+CJ33+SUM(CJ29:CJ32)</f>
        <v>27.322982491155372</v>
      </c>
      <c r="CK28" s="949">
        <f>+CK33+SUM(CK29:CK32)</f>
        <v>27.314780442993484</v>
      </c>
      <c r="CL28" s="949">
        <f>+CL33+SUM(CL29:CL32)</f>
        <v>27.487232187103412</v>
      </c>
      <c r="CM28" s="950">
        <f>SUM(CI28:CL28)</f>
        <v>109.01941013093651</v>
      </c>
      <c r="CN28" s="949">
        <f>+CN33+SUM(CN29:CN32)</f>
        <v>28.058378356370223</v>
      </c>
      <c r="CO28" s="949">
        <f>+CO33+SUM(CO29:CO32)</f>
        <v>28.465432509721037</v>
      </c>
      <c r="CP28" s="949">
        <f>+CP33+SUM(CP29:CP32)</f>
        <v>28.46648982559951</v>
      </c>
      <c r="CQ28" s="949">
        <f>+CQ33+SUM(CQ29:CQ32)</f>
        <v>28.645246195470854</v>
      </c>
      <c r="CR28" s="950">
        <f>SUM(CN28:CQ28)</f>
        <v>113.63554688716164</v>
      </c>
      <c r="CT28" s="938"/>
      <c r="CU28" s="938"/>
      <c r="CW28" s="948"/>
      <c r="CX28" s="948"/>
      <c r="CY28" s="948"/>
      <c r="CZ28" s="948"/>
      <c r="DA28" s="948"/>
      <c r="DB28" s="948"/>
      <c r="DC28" s="948"/>
      <c r="DD28" s="948"/>
      <c r="DE28" s="948"/>
      <c r="DF28" s="948"/>
      <c r="DG28" s="948"/>
      <c r="DH28" s="948"/>
      <c r="DI28" s="948"/>
    </row>
    <row r="29" spans="1:113" ht="12" customHeight="1" outlineLevel="1">
      <c r="A29" s="947" t="s">
        <v>971</v>
      </c>
      <c r="B29" s="785"/>
      <c r="C29" s="785"/>
      <c r="D29" s="785"/>
      <c r="E29" s="785"/>
      <c r="F29" s="735"/>
      <c r="G29" s="973"/>
      <c r="H29" s="973"/>
      <c r="I29" s="973"/>
      <c r="J29" s="973"/>
      <c r="K29" s="752"/>
      <c r="L29" s="973"/>
      <c r="M29" s="973"/>
      <c r="N29" s="973"/>
      <c r="O29" s="973"/>
      <c r="P29" s="752"/>
      <c r="Q29" s="973"/>
      <c r="R29" s="973"/>
      <c r="S29" s="973"/>
      <c r="T29" s="973"/>
      <c r="U29" s="752"/>
      <c r="V29" s="959"/>
      <c r="W29" s="959"/>
      <c r="X29" s="959"/>
      <c r="Y29" s="959"/>
      <c r="Z29" s="950"/>
      <c r="AA29" s="965"/>
      <c r="AB29" s="965"/>
      <c r="AC29" s="965"/>
      <c r="AD29" s="965"/>
      <c r="AE29" s="950"/>
      <c r="AF29" s="959"/>
      <c r="AG29" s="959"/>
      <c r="AH29" s="959"/>
      <c r="AI29" s="959"/>
      <c r="AJ29" s="950"/>
      <c r="AK29" s="959"/>
      <c r="AL29" s="959"/>
      <c r="AM29" s="959"/>
      <c r="AN29" s="959"/>
      <c r="AO29" s="958">
        <v>0</v>
      </c>
      <c r="AP29" s="959">
        <v>0</v>
      </c>
      <c r="AQ29" s="959">
        <v>0</v>
      </c>
      <c r="AR29" s="959">
        <v>0</v>
      </c>
      <c r="AS29" s="959">
        <v>0</v>
      </c>
      <c r="AT29" s="950">
        <f>+SUM(AP29:AS29)</f>
        <v>0</v>
      </c>
      <c r="AU29" s="959">
        <v>0</v>
      </c>
      <c r="AV29" s="959">
        <v>0</v>
      </c>
      <c r="AW29" s="959">
        <v>0</v>
      </c>
      <c r="AX29" s="959">
        <v>0</v>
      </c>
      <c r="AY29" s="950">
        <f>+SUM(AU29:AX29)</f>
        <v>0</v>
      </c>
      <c r="AZ29" s="959">
        <v>0</v>
      </c>
      <c r="BA29" s="959">
        <v>0</v>
      </c>
      <c r="BB29" s="959">
        <v>0</v>
      </c>
      <c r="BC29" s="959">
        <v>0</v>
      </c>
      <c r="BD29" s="950">
        <f>+SUM(AZ29:BC29)</f>
        <v>0</v>
      </c>
      <c r="BE29" s="959">
        <v>0</v>
      </c>
      <c r="BF29" s="959">
        <v>0</v>
      </c>
      <c r="BG29" s="959">
        <v>0</v>
      </c>
      <c r="BH29" s="959">
        <v>0</v>
      </c>
      <c r="BI29" s="950">
        <f>+SUM(BE29:BH29)</f>
        <v>0</v>
      </c>
      <c r="BJ29" s="959">
        <v>0.2</v>
      </c>
      <c r="BK29" s="959">
        <v>0.2</v>
      </c>
      <c r="BL29" s="959">
        <v>0.3</v>
      </c>
      <c r="BM29" s="959">
        <v>0.1</v>
      </c>
      <c r="BN29" s="950">
        <f>+SUM(BJ29:BM29)</f>
        <v>0.79999999999999993</v>
      </c>
      <c r="BO29" s="959">
        <v>0.1</v>
      </c>
      <c r="BP29" s="959">
        <v>0.6</v>
      </c>
      <c r="BQ29" s="959">
        <v>0.2</v>
      </c>
      <c r="BR29" s="959">
        <v>0</v>
      </c>
      <c r="BS29" s="950">
        <f>+SUM(BO29:BR29)</f>
        <v>0.89999999999999991</v>
      </c>
      <c r="BT29" s="959">
        <v>0</v>
      </c>
      <c r="BU29" s="959">
        <v>0</v>
      </c>
      <c r="BV29" s="959">
        <v>0</v>
      </c>
      <c r="BW29" s="959">
        <v>0</v>
      </c>
      <c r="BX29" s="950">
        <f>+SUM(BT29:BW29)</f>
        <v>0</v>
      </c>
      <c r="BY29" s="959">
        <v>0</v>
      </c>
      <c r="BZ29" s="959">
        <v>0</v>
      </c>
      <c r="CA29" s="959">
        <v>0</v>
      </c>
      <c r="CB29" s="959">
        <v>0</v>
      </c>
      <c r="CC29" s="950">
        <f>+SUM(BY29:CB29)</f>
        <v>0</v>
      </c>
      <c r="CD29" s="959">
        <v>0</v>
      </c>
      <c r="CE29" s="959">
        <v>0</v>
      </c>
      <c r="CF29" s="959">
        <v>0</v>
      </c>
      <c r="CG29" s="959">
        <v>0</v>
      </c>
      <c r="CH29" s="950">
        <f>+SUM(CD29:CG29)</f>
        <v>0</v>
      </c>
      <c r="CI29" s="959">
        <v>0</v>
      </c>
      <c r="CJ29" s="959">
        <v>0</v>
      </c>
      <c r="CK29" s="959">
        <v>0</v>
      </c>
      <c r="CL29" s="959">
        <v>0</v>
      </c>
      <c r="CM29" s="950">
        <f>+SUM(CI29:CL29)</f>
        <v>0</v>
      </c>
      <c r="CN29" s="959">
        <v>0</v>
      </c>
      <c r="CO29" s="959">
        <v>0</v>
      </c>
      <c r="CP29" s="959">
        <v>0</v>
      </c>
      <c r="CQ29" s="959">
        <v>0</v>
      </c>
      <c r="CR29" s="950">
        <f>+SUM(CN29:CQ29)</f>
        <v>0</v>
      </c>
      <c r="CT29" s="938"/>
      <c r="CU29" s="938"/>
      <c r="CW29" s="948"/>
      <c r="CX29" s="948"/>
      <c r="CY29" s="948"/>
      <c r="CZ29" s="948"/>
      <c r="DA29" s="948"/>
      <c r="DB29" s="948"/>
      <c r="DC29" s="948"/>
      <c r="DD29" s="948"/>
      <c r="DE29" s="948"/>
      <c r="DF29" s="948"/>
      <c r="DG29" s="948"/>
      <c r="DH29" s="948"/>
      <c r="DI29" s="948"/>
    </row>
    <row r="30" spans="1:113" ht="12" customHeight="1" outlineLevel="1">
      <c r="A30" s="947" t="s">
        <v>713</v>
      </c>
      <c r="B30" s="785"/>
      <c r="C30" s="785"/>
      <c r="D30" s="785"/>
      <c r="E30" s="785"/>
      <c r="F30" s="735"/>
      <c r="G30" s="973"/>
      <c r="H30" s="973"/>
      <c r="I30" s="973"/>
      <c r="J30" s="973"/>
      <c r="K30" s="752"/>
      <c r="L30" s="973"/>
      <c r="M30" s="973"/>
      <c r="N30" s="973"/>
      <c r="O30" s="973"/>
      <c r="P30" s="752"/>
      <c r="Q30" s="973"/>
      <c r="R30" s="973"/>
      <c r="S30" s="973"/>
      <c r="T30" s="973"/>
      <c r="U30" s="752"/>
      <c r="V30" s="959"/>
      <c r="W30" s="959"/>
      <c r="X30" s="959"/>
      <c r="Y30" s="959"/>
      <c r="Z30" s="958"/>
      <c r="AA30" s="959"/>
      <c r="AB30" s="959"/>
      <c r="AC30" s="959"/>
      <c r="AD30" s="959"/>
      <c r="AE30" s="950"/>
      <c r="AF30" s="959"/>
      <c r="AG30" s="959"/>
      <c r="AH30" s="959"/>
      <c r="AI30" s="959"/>
      <c r="AJ30" s="950"/>
      <c r="AK30" s="959"/>
      <c r="AL30" s="959"/>
      <c r="AM30" s="959"/>
      <c r="AN30" s="959"/>
      <c r="AO30" s="958">
        <v>0</v>
      </c>
      <c r="AP30" s="959">
        <v>0</v>
      </c>
      <c r="AQ30" s="959">
        <v>0</v>
      </c>
      <c r="AR30" s="959">
        <v>0</v>
      </c>
      <c r="AS30" s="959">
        <v>0</v>
      </c>
      <c r="AT30" s="950">
        <f>+SUM(AP30:AS30)</f>
        <v>0</v>
      </c>
      <c r="AU30" s="959">
        <v>0</v>
      </c>
      <c r="AV30" s="959">
        <v>0</v>
      </c>
      <c r="AW30" s="959">
        <v>0</v>
      </c>
      <c r="AX30" s="959">
        <v>0</v>
      </c>
      <c r="AY30" s="950">
        <f>+SUM(AU30:AX30)</f>
        <v>0</v>
      </c>
      <c r="AZ30" s="959">
        <v>1.8</v>
      </c>
      <c r="BA30" s="959">
        <v>1.8</v>
      </c>
      <c r="BB30" s="959">
        <v>2</v>
      </c>
      <c r="BC30" s="959">
        <v>2.2999999999999998</v>
      </c>
      <c r="BD30" s="950">
        <f>+SUM(AZ30:BC30)</f>
        <v>7.8999999999999995</v>
      </c>
      <c r="BE30" s="959">
        <v>2.2000000000000002</v>
      </c>
      <c r="BF30" s="959">
        <v>3.3</v>
      </c>
      <c r="BG30" s="959">
        <v>3.1</v>
      </c>
      <c r="BH30" s="959">
        <v>3.6</v>
      </c>
      <c r="BI30" s="950">
        <f>+SUM(BE30:BH30)</f>
        <v>12.2</v>
      </c>
      <c r="BJ30" s="959">
        <v>3.6</v>
      </c>
      <c r="BK30" s="959">
        <v>4.2</v>
      </c>
      <c r="BL30" s="959">
        <v>4.2</v>
      </c>
      <c r="BM30" s="959">
        <v>4.5</v>
      </c>
      <c r="BN30" s="950">
        <f>+SUM(BJ30:BM30)</f>
        <v>16.5</v>
      </c>
      <c r="BO30" s="959">
        <v>4.5</v>
      </c>
      <c r="BP30" s="959">
        <v>4.5999999999999996</v>
      </c>
      <c r="BQ30" s="959">
        <v>4.8</v>
      </c>
      <c r="BR30" s="959">
        <v>4.7</v>
      </c>
      <c r="BS30" s="950">
        <f>+SUM(BO30:BR30)</f>
        <v>18.599999999999998</v>
      </c>
      <c r="BT30" s="959">
        <v>4.4000000000000004</v>
      </c>
      <c r="BU30" s="949">
        <f>+BU50*BU157</f>
        <v>4.5244471837235647</v>
      </c>
      <c r="BV30" s="949">
        <f>+BV50*BV157</f>
        <v>4.5548110364006629</v>
      </c>
      <c r="BW30" s="949">
        <f>+BW50*BW157</f>
        <v>4.5873670235142026</v>
      </c>
      <c r="BX30" s="950">
        <f>+SUM(BT30:BW30)</f>
        <v>18.06662524363843</v>
      </c>
      <c r="BY30" s="949">
        <f>+BY50*BY157</f>
        <v>4.4660424249386921</v>
      </c>
      <c r="BZ30" s="949">
        <f>+BZ50*BZ157</f>
        <v>4.49291077825219</v>
      </c>
      <c r="CA30" s="949">
        <f>+CA50*CA157</f>
        <v>4.5199972817739686</v>
      </c>
      <c r="CB30" s="949">
        <f>+CB50*CB157</f>
        <v>4.5498969877272168</v>
      </c>
      <c r="CC30" s="950">
        <f>+SUM(BY30:CB30)</f>
        <v>18.028847472692068</v>
      </c>
      <c r="CD30" s="949">
        <f>+CD50*CD157</f>
        <v>3.6961903055483338</v>
      </c>
      <c r="CE30" s="949">
        <f>+CE50*CE157</f>
        <v>3.7203609024449036</v>
      </c>
      <c r="CF30" s="949">
        <f>+CF50*CF157</f>
        <v>3.744818881756161</v>
      </c>
      <c r="CG30" s="949">
        <f>+CG50*CG157</f>
        <v>3.7717556535921042</v>
      </c>
      <c r="CH30" s="950">
        <f>+SUM(CD30:CG30)</f>
        <v>14.933125743341501</v>
      </c>
      <c r="CI30" s="949">
        <f>+CI50*CI157</f>
        <v>3.6444786159024831</v>
      </c>
      <c r="CJ30" s="949">
        <f>+CJ50*CJ157</f>
        <v>3.6657356307683826</v>
      </c>
      <c r="CK30" s="949">
        <f>+CK50*CK157</f>
        <v>3.687318270617316</v>
      </c>
      <c r="CL30" s="949">
        <f>+CL50*CL157</f>
        <v>3.7110935267742322</v>
      </c>
      <c r="CM30" s="950">
        <f>+SUM(CI30:CL30)</f>
        <v>14.708626044062413</v>
      </c>
      <c r="CN30" s="949">
        <f>+CN50*CN157</f>
        <v>3.6074190707408076</v>
      </c>
      <c r="CO30" s="949">
        <f>+CO50*CO157</f>
        <v>3.6264818498413982</v>
      </c>
      <c r="CP30" s="949">
        <f>+CP50*CP157</f>
        <v>3.6459417907305576</v>
      </c>
      <c r="CQ30" s="949">
        <f>+CQ50*CQ157</f>
        <v>3.6673299397485239</v>
      </c>
      <c r="CR30" s="950">
        <f>+SUM(CN30:CQ30)</f>
        <v>14.547172651061288</v>
      </c>
      <c r="CT30" s="938"/>
      <c r="CU30" s="938"/>
      <c r="CW30" s="948"/>
      <c r="CX30" s="948"/>
      <c r="CY30" s="948"/>
      <c r="CZ30" s="948"/>
      <c r="DA30" s="948"/>
      <c r="DB30" s="948"/>
      <c r="DC30" s="948"/>
      <c r="DD30" s="948"/>
      <c r="DE30" s="948"/>
      <c r="DF30" s="948"/>
      <c r="DG30" s="948"/>
      <c r="DH30" s="948"/>
      <c r="DI30" s="948"/>
    </row>
    <row r="31" spans="1:113" ht="12" customHeight="1" outlineLevel="1">
      <c r="A31" s="947" t="s">
        <v>972</v>
      </c>
      <c r="B31" s="785"/>
      <c r="C31" s="785"/>
      <c r="D31" s="785"/>
      <c r="E31" s="785"/>
      <c r="F31" s="735"/>
      <c r="G31" s="973"/>
      <c r="H31" s="973"/>
      <c r="I31" s="973"/>
      <c r="J31" s="973"/>
      <c r="K31" s="752"/>
      <c r="L31" s="973"/>
      <c r="M31" s="973"/>
      <c r="N31" s="973"/>
      <c r="O31" s="973"/>
      <c r="P31" s="752"/>
      <c r="Q31" s="973"/>
      <c r="R31" s="973"/>
      <c r="S31" s="973"/>
      <c r="T31" s="973"/>
      <c r="U31" s="752"/>
      <c r="V31" s="959"/>
      <c r="W31" s="959"/>
      <c r="X31" s="959"/>
      <c r="Y31" s="959"/>
      <c r="Z31" s="964"/>
      <c r="AA31" s="965"/>
      <c r="AB31" s="965"/>
      <c r="AC31" s="965"/>
      <c r="AD31" s="965"/>
      <c r="AE31" s="950"/>
      <c r="AF31" s="959"/>
      <c r="AG31" s="959"/>
      <c r="AH31" s="959"/>
      <c r="AI31" s="959"/>
      <c r="AJ31" s="950"/>
      <c r="AK31" s="959"/>
      <c r="AL31" s="959"/>
      <c r="AM31" s="959"/>
      <c r="AN31" s="959"/>
      <c r="AO31" s="958">
        <v>0.44</v>
      </c>
      <c r="AP31" s="959">
        <v>0</v>
      </c>
      <c r="AQ31" s="959">
        <v>0</v>
      </c>
      <c r="AR31" s="959">
        <v>0</v>
      </c>
      <c r="AS31" s="959">
        <v>0</v>
      </c>
      <c r="AT31" s="950">
        <f>+SUM(AP31:AS31)</f>
        <v>0</v>
      </c>
      <c r="AU31" s="959">
        <v>0.16900000000000001</v>
      </c>
      <c r="AV31" s="959">
        <v>0.123</v>
      </c>
      <c r="AW31" s="959">
        <v>0.26500000000000001</v>
      </c>
      <c r="AX31" s="959">
        <f>5.224+0.499-SUM(AU31:AW31)</f>
        <v>5.1659999999999995</v>
      </c>
      <c r="AY31" s="950">
        <f>+SUM(AU31:AX31)</f>
        <v>5.7229999999999999</v>
      </c>
      <c r="AZ31" s="959">
        <v>0.4</v>
      </c>
      <c r="BA31" s="959">
        <v>0.4</v>
      </c>
      <c r="BB31" s="959">
        <v>0.7</v>
      </c>
      <c r="BC31" s="959">
        <v>0.6</v>
      </c>
      <c r="BD31" s="950">
        <f>+SUM(AZ31:BC31)</f>
        <v>2.1</v>
      </c>
      <c r="BE31" s="959">
        <v>0.5</v>
      </c>
      <c r="BF31" s="959">
        <v>0.8</v>
      </c>
      <c r="BG31" s="959">
        <v>0.9</v>
      </c>
      <c r="BH31" s="959">
        <v>1</v>
      </c>
      <c r="BI31" s="950">
        <f>+SUM(BE31:BH31)</f>
        <v>3.2</v>
      </c>
      <c r="BJ31" s="959">
        <v>1</v>
      </c>
      <c r="BK31" s="959">
        <v>1.6</v>
      </c>
      <c r="BL31" s="959">
        <v>1.7</v>
      </c>
      <c r="BM31" s="959">
        <v>1.5</v>
      </c>
      <c r="BN31" s="950">
        <f>+SUM(BJ31:BM31)</f>
        <v>5.8</v>
      </c>
      <c r="BO31" s="959">
        <v>1.9</v>
      </c>
      <c r="BP31" s="959">
        <v>2.5</v>
      </c>
      <c r="BQ31" s="959">
        <v>1.1000000000000001</v>
      </c>
      <c r="BR31" s="959">
        <v>1.2</v>
      </c>
      <c r="BS31" s="950">
        <f>+SUM(BO31:BR31)</f>
        <v>6.7</v>
      </c>
      <c r="BT31" s="959">
        <v>1.4</v>
      </c>
      <c r="BU31" s="949">
        <f>+BU152*BU$51</f>
        <v>1.5903732011187781</v>
      </c>
      <c r="BV31" s="949">
        <f>+BV152*BV$51</f>
        <v>1.2946098745034493</v>
      </c>
      <c r="BW31" s="949">
        <f>+BW152*BW$51</f>
        <v>1.1734160019350273</v>
      </c>
      <c r="BX31" s="950">
        <f>+SUM(BT31:BW31)</f>
        <v>5.4583990775572548</v>
      </c>
      <c r="BY31" s="949">
        <f>+BY152*BY$51</f>
        <v>1.4316088851582462</v>
      </c>
      <c r="BZ31" s="949">
        <f>+BZ152*BZ$51</f>
        <v>1.6180299653331516</v>
      </c>
      <c r="CA31" s="949">
        <f>+CA152*CA$51</f>
        <v>1.3272880973674506</v>
      </c>
      <c r="CB31" s="949">
        <f>+CB152*CB$51</f>
        <v>1.2083401189648606</v>
      </c>
      <c r="CC31" s="950">
        <f>+SUM(BY31:CB31)</f>
        <v>5.5852670668237092</v>
      </c>
      <c r="CD31" s="949">
        <f>+CD152*CD$51</f>
        <v>1.5143644139736581</v>
      </c>
      <c r="CE31" s="949">
        <f>+CE152*CE$51</f>
        <v>1.6783631704259159</v>
      </c>
      <c r="CF31" s="949">
        <f>+CF152*CF$51</f>
        <v>1.3811214895990205</v>
      </c>
      <c r="CG31" s="949">
        <f>+CG152*CG$51</f>
        <v>1.2574854319769426</v>
      </c>
      <c r="CH31" s="950">
        <f>+SUM(CD31:CG31)</f>
        <v>5.831334505975537</v>
      </c>
      <c r="CI31" s="949">
        <f>+CI152*CI$51</f>
        <v>1.6060807473340906</v>
      </c>
      <c r="CJ31" s="949">
        <f>+CJ152*CJ$51</f>
        <v>1.7428430183587322</v>
      </c>
      <c r="CK31" s="949">
        <f>+CK152*CK$51</f>
        <v>1.4391282823225584</v>
      </c>
      <c r="CL31" s="949">
        <f>+CL152*CL$51</f>
        <v>1.3104505966499038</v>
      </c>
      <c r="CM31" s="950">
        <f>+SUM(CI31:CL31)</f>
        <v>6.0985026446652855</v>
      </c>
      <c r="CN31" s="949">
        <f>+CN152*CN$51</f>
        <v>1.7044501211541483</v>
      </c>
      <c r="CO31" s="949">
        <f>+CO152*CO$51</f>
        <v>1.8081101308484331</v>
      </c>
      <c r="CP31" s="949">
        <f>+CP152*CP$51</f>
        <v>1.5018219992248603</v>
      </c>
      <c r="CQ31" s="949">
        <f>+CQ152*CQ$51</f>
        <v>1.3677061446326886</v>
      </c>
      <c r="CR31" s="950">
        <f>+SUM(CN31:CQ31)</f>
        <v>6.38208839586013</v>
      </c>
      <c r="CT31" s="938"/>
      <c r="CU31" s="938"/>
      <c r="CW31" s="948"/>
      <c r="CX31" s="948"/>
      <c r="CY31" s="948"/>
      <c r="CZ31" s="948"/>
      <c r="DA31" s="948"/>
      <c r="DB31" s="948"/>
      <c r="DC31" s="948"/>
      <c r="DD31" s="948"/>
      <c r="DE31" s="948"/>
      <c r="DF31" s="948"/>
      <c r="DG31" s="948"/>
      <c r="DH31" s="948"/>
      <c r="DI31" s="948"/>
    </row>
    <row r="32" spans="1:113" ht="12" customHeight="1" outlineLevel="1">
      <c r="A32" s="947" t="s">
        <v>31</v>
      </c>
      <c r="B32" s="785"/>
      <c r="C32" s="785"/>
      <c r="D32" s="785"/>
      <c r="E32" s="785"/>
      <c r="F32" s="735"/>
      <c r="G32" s="949"/>
      <c r="H32" s="949"/>
      <c r="I32" s="949"/>
      <c r="J32" s="949"/>
      <c r="K32" s="950"/>
      <c r="L32" s="949"/>
      <c r="M32" s="949"/>
      <c r="N32" s="949"/>
      <c r="O32" s="949"/>
      <c r="P32" s="950"/>
      <c r="Q32" s="959"/>
      <c r="R32" s="959"/>
      <c r="S32" s="959"/>
      <c r="T32" s="959"/>
      <c r="U32" s="950"/>
      <c r="V32" s="959"/>
      <c r="W32" s="959"/>
      <c r="X32" s="959"/>
      <c r="Y32" s="959"/>
      <c r="Z32" s="958"/>
      <c r="AA32" s="959"/>
      <c r="AB32" s="959"/>
      <c r="AC32" s="959"/>
      <c r="AD32" s="959"/>
      <c r="AE32" s="950"/>
      <c r="AF32" s="959"/>
      <c r="AG32" s="959"/>
      <c r="AH32" s="959"/>
      <c r="AI32" s="959"/>
      <c r="AJ32" s="950"/>
      <c r="AK32" s="959"/>
      <c r="AL32" s="959"/>
      <c r="AM32" s="959"/>
      <c r="AN32" s="959"/>
      <c r="AO32" s="958">
        <v>0</v>
      </c>
      <c r="AP32" s="959">
        <v>0</v>
      </c>
      <c r="AQ32" s="959">
        <v>0</v>
      </c>
      <c r="AR32" s="959">
        <v>0</v>
      </c>
      <c r="AS32" s="959">
        <v>0</v>
      </c>
      <c r="AT32" s="950">
        <f>+SUM(AP32:AS32)</f>
        <v>0</v>
      </c>
      <c r="AU32" s="959">
        <v>0</v>
      </c>
      <c r="AV32" s="959">
        <v>0</v>
      </c>
      <c r="AW32" s="959">
        <v>0</v>
      </c>
      <c r="AX32" s="959">
        <v>0</v>
      </c>
      <c r="AY32" s="950">
        <f>+SUM(AU32:AX32)</f>
        <v>0</v>
      </c>
      <c r="AZ32" s="959">
        <v>0</v>
      </c>
      <c r="BA32" s="959">
        <v>0</v>
      </c>
      <c r="BB32" s="959">
        <v>0</v>
      </c>
      <c r="BC32" s="959">
        <v>0</v>
      </c>
      <c r="BD32" s="950">
        <f>+SUM(AZ32:BC32)</f>
        <v>0</v>
      </c>
      <c r="BE32" s="959">
        <v>0.1</v>
      </c>
      <c r="BF32" s="959">
        <v>0</v>
      </c>
      <c r="BG32" s="959">
        <v>0</v>
      </c>
      <c r="BH32" s="959">
        <v>0</v>
      </c>
      <c r="BI32" s="950">
        <f>+SUM(BE32:BH32)</f>
        <v>0.1</v>
      </c>
      <c r="BJ32" s="959">
        <v>0</v>
      </c>
      <c r="BK32" s="959">
        <v>0</v>
      </c>
      <c r="BL32" s="959">
        <v>0</v>
      </c>
      <c r="BM32" s="959">
        <v>0</v>
      </c>
      <c r="BN32" s="950">
        <f>+SUM(BJ32:BM32)</f>
        <v>0</v>
      </c>
      <c r="BO32" s="959">
        <v>0</v>
      </c>
      <c r="BP32" s="959">
        <v>0</v>
      </c>
      <c r="BQ32" s="959">
        <v>0</v>
      </c>
      <c r="BR32" s="959">
        <v>0</v>
      </c>
      <c r="BS32" s="950">
        <f>+SUM(BO32:BR32)</f>
        <v>0</v>
      </c>
      <c r="BT32" s="959">
        <v>0</v>
      </c>
      <c r="BU32" s="959">
        <v>0</v>
      </c>
      <c r="BV32" s="959">
        <v>0</v>
      </c>
      <c r="BW32" s="959">
        <v>0</v>
      </c>
      <c r="BX32" s="950">
        <f>+SUM(BT32:BW32)</f>
        <v>0</v>
      </c>
      <c r="BY32" s="959">
        <v>0</v>
      </c>
      <c r="BZ32" s="959">
        <v>0</v>
      </c>
      <c r="CA32" s="959">
        <v>0</v>
      </c>
      <c r="CB32" s="959">
        <v>0</v>
      </c>
      <c r="CC32" s="950">
        <f>+SUM(BY32:CB32)</f>
        <v>0</v>
      </c>
      <c r="CD32" s="959">
        <v>0</v>
      </c>
      <c r="CE32" s="959">
        <v>0</v>
      </c>
      <c r="CF32" s="959">
        <v>0</v>
      </c>
      <c r="CG32" s="959">
        <v>0</v>
      </c>
      <c r="CH32" s="950">
        <f>+SUM(CD32:CG32)</f>
        <v>0</v>
      </c>
      <c r="CI32" s="959">
        <v>0</v>
      </c>
      <c r="CJ32" s="959">
        <v>0</v>
      </c>
      <c r="CK32" s="959">
        <v>0</v>
      </c>
      <c r="CL32" s="959">
        <v>0</v>
      </c>
      <c r="CM32" s="950">
        <f>+SUM(CI32:CL32)</f>
        <v>0</v>
      </c>
      <c r="CN32" s="959">
        <v>0</v>
      </c>
      <c r="CO32" s="959">
        <v>0</v>
      </c>
      <c r="CP32" s="959">
        <v>0</v>
      </c>
      <c r="CQ32" s="959">
        <v>0</v>
      </c>
      <c r="CR32" s="950">
        <f>+SUM(CN32:CQ32)</f>
        <v>0</v>
      </c>
      <c r="CT32" s="938"/>
      <c r="CU32" s="938"/>
      <c r="CW32" s="948"/>
      <c r="CX32" s="948"/>
      <c r="CY32" s="948"/>
      <c r="CZ32" s="948"/>
      <c r="DA32" s="948"/>
      <c r="DB32" s="948"/>
      <c r="DC32" s="948"/>
      <c r="DD32" s="948"/>
      <c r="DE32" s="948"/>
      <c r="DF32" s="948"/>
      <c r="DG32" s="948"/>
      <c r="DH32" s="948"/>
      <c r="DI32" s="948"/>
    </row>
    <row r="33" spans="1:113" ht="12" customHeight="1">
      <c r="A33" s="972" t="s">
        <v>973</v>
      </c>
      <c r="B33" s="785"/>
      <c r="C33" s="785"/>
      <c r="D33" s="785"/>
      <c r="E33" s="785"/>
      <c r="F33" s="735"/>
      <c r="G33" s="959"/>
      <c r="H33" s="959"/>
      <c r="I33" s="959"/>
      <c r="J33" s="959"/>
      <c r="K33" s="950"/>
      <c r="L33" s="959"/>
      <c r="M33" s="959"/>
      <c r="N33" s="959"/>
      <c r="O33" s="959"/>
      <c r="P33" s="950"/>
      <c r="Q33" s="949"/>
      <c r="R33" s="949"/>
      <c r="S33" s="949"/>
      <c r="T33" s="949"/>
      <c r="U33" s="950"/>
      <c r="V33" s="949"/>
      <c r="W33" s="949"/>
      <c r="X33" s="949"/>
      <c r="Y33" s="949"/>
      <c r="Z33" s="950"/>
      <c r="AA33" s="949"/>
      <c r="AB33" s="949"/>
      <c r="AC33" s="949"/>
      <c r="AD33" s="949"/>
      <c r="AE33" s="950"/>
      <c r="AF33" s="949"/>
      <c r="AG33" s="949"/>
      <c r="AH33" s="949"/>
      <c r="AI33" s="949"/>
      <c r="AJ33" s="950"/>
      <c r="AK33" s="949"/>
      <c r="AL33" s="949"/>
      <c r="AM33" s="949"/>
      <c r="AN33" s="949"/>
      <c r="AO33" s="950">
        <f t="shared" ref="AO33:BO33" si="18">+AO28-SUM(AO29:AO32)</f>
        <v>42.083000000000006</v>
      </c>
      <c r="AP33" s="949">
        <f t="shared" si="18"/>
        <v>13</v>
      </c>
      <c r="AQ33" s="949">
        <f t="shared" si="18"/>
        <v>15</v>
      </c>
      <c r="AR33" s="949">
        <f t="shared" si="18"/>
        <v>17.018999999999998</v>
      </c>
      <c r="AS33" s="949">
        <f t="shared" si="18"/>
        <v>16.863</v>
      </c>
      <c r="AT33" s="950">
        <f t="shared" si="18"/>
        <v>61.881999999999998</v>
      </c>
      <c r="AU33" s="949">
        <f t="shared" si="18"/>
        <v>14.462</v>
      </c>
      <c r="AV33" s="949">
        <f t="shared" si="18"/>
        <v>14.233000000000001</v>
      </c>
      <c r="AW33" s="949">
        <f t="shared" si="18"/>
        <v>13.959999999999999</v>
      </c>
      <c r="AX33" s="949">
        <f t="shared" si="18"/>
        <v>15.867999999999999</v>
      </c>
      <c r="AY33" s="950">
        <f t="shared" si="18"/>
        <v>58.52300000000001</v>
      </c>
      <c r="AZ33" s="949">
        <f t="shared" si="18"/>
        <v>13.501000000000001</v>
      </c>
      <c r="BA33" s="949">
        <f t="shared" si="18"/>
        <v>14.007999999999999</v>
      </c>
      <c r="BB33" s="949">
        <f t="shared" si="18"/>
        <v>22.3</v>
      </c>
      <c r="BC33" s="949">
        <f t="shared" si="18"/>
        <v>19.891000000000002</v>
      </c>
      <c r="BD33" s="950">
        <f t="shared" si="18"/>
        <v>69.7</v>
      </c>
      <c r="BE33" s="949">
        <f t="shared" si="18"/>
        <v>19.762</v>
      </c>
      <c r="BF33" s="949">
        <f t="shared" si="18"/>
        <v>21.487000000000002</v>
      </c>
      <c r="BG33" s="949">
        <f t="shared" si="18"/>
        <v>20.939</v>
      </c>
      <c r="BH33" s="949">
        <f t="shared" si="18"/>
        <v>20.293999999999997</v>
      </c>
      <c r="BI33" s="950">
        <f t="shared" si="18"/>
        <v>82.481999999999999</v>
      </c>
      <c r="BJ33" s="949">
        <f t="shared" si="18"/>
        <v>21.065999999999999</v>
      </c>
      <c r="BK33" s="949">
        <f t="shared" si="18"/>
        <v>18.945</v>
      </c>
      <c r="BL33" s="949">
        <f t="shared" si="18"/>
        <v>18.737000000000002</v>
      </c>
      <c r="BM33" s="949">
        <f t="shared" si="18"/>
        <v>19.572000000000003</v>
      </c>
      <c r="BN33" s="950">
        <f t="shared" si="18"/>
        <v>78.319999999999993</v>
      </c>
      <c r="BO33" s="949">
        <f t="shared" si="18"/>
        <v>18.297000000000001</v>
      </c>
      <c r="BP33" s="949">
        <f t="shared" ref="BP33" si="19">+BP28-SUM(BP29:BP32)</f>
        <v>18.279</v>
      </c>
      <c r="BQ33" s="949">
        <f t="shared" ref="BQ33:BR33" si="20">+BQ28-SUM(BQ29:BQ32)</f>
        <v>17.158999999999999</v>
      </c>
      <c r="BR33" s="949">
        <f t="shared" si="20"/>
        <v>18.020000000000003</v>
      </c>
      <c r="BS33" s="950">
        <f>+BS28-SUM(BS29:BS32)</f>
        <v>71.754999999999995</v>
      </c>
      <c r="BT33" s="949">
        <f t="shared" ref="BT33" si="21">+BT28-SUM(BT29:BT32)</f>
        <v>17.553999999999998</v>
      </c>
      <c r="BU33" s="949">
        <f>+BT33*(1+BU132)</f>
        <v>18.256159999999998</v>
      </c>
      <c r="BV33" s="949">
        <f>+BU33*(1+BV132)</f>
        <v>18.9864064</v>
      </c>
      <c r="BW33" s="949">
        <f>+BV33*(1+BW132)</f>
        <v>19.745862656</v>
      </c>
      <c r="BX33" s="950">
        <f>+BX28-SUM(BX29:BX32)</f>
        <v>74.542429055999989</v>
      </c>
      <c r="BY33" s="949">
        <f>+BW33*(1+BY132)</f>
        <v>19.54840402944</v>
      </c>
      <c r="BZ33" s="949">
        <f>+BY33*(1+BZ132)</f>
        <v>19.7438880697344</v>
      </c>
      <c r="CA33" s="949">
        <f>+BZ33*(1+CA132)</f>
        <v>19.941326950431744</v>
      </c>
      <c r="CB33" s="949">
        <f>+CA33*(1+CB132)</f>
        <v>20.140740219936063</v>
      </c>
      <c r="CC33" s="950">
        <f>+CC28-SUM(CC29:CC32)</f>
        <v>79.374359269542197</v>
      </c>
      <c r="CD33" s="949">
        <f>+CB33*(1+CD132)</f>
        <v>20.442851323235104</v>
      </c>
      <c r="CE33" s="949">
        <f>+CD33*(1+CE132)</f>
        <v>20.749494093083626</v>
      </c>
      <c r="CF33" s="949">
        <f>+CE33*(1+CF132)</f>
        <v>21.06073650447988</v>
      </c>
      <c r="CG33" s="949">
        <f>+CF33*(1+CG132)</f>
        <v>21.376647552047075</v>
      </c>
      <c r="CH33" s="950">
        <f>+CH28-SUM(CH29:CH32)</f>
        <v>83.629729472845696</v>
      </c>
      <c r="CI33" s="949">
        <f>+CG33*(1+CI132)</f>
        <v>21.643855646447662</v>
      </c>
      <c r="CJ33" s="949">
        <f>+CI33*(1+CJ132)</f>
        <v>21.914403842028257</v>
      </c>
      <c r="CK33" s="949">
        <f>+CJ33*(1+CK132)</f>
        <v>22.18833389005361</v>
      </c>
      <c r="CL33" s="949">
        <f>+CK33*(1+CL132)</f>
        <v>22.465688063679277</v>
      </c>
      <c r="CM33" s="950">
        <f>+CM28-SUM(CM29:CM32)</f>
        <v>88.212281442208806</v>
      </c>
      <c r="CN33" s="949">
        <f>+CL33*(1+CN132)</f>
        <v>22.746509164475267</v>
      </c>
      <c r="CO33" s="949">
        <f>+CN33*(1+CO132)</f>
        <v>23.030840529031206</v>
      </c>
      <c r="CP33" s="949">
        <f>+CO33*(1+CP132)</f>
        <v>23.318726035644094</v>
      </c>
      <c r="CQ33" s="949">
        <f>+CP33*(1+CQ132)</f>
        <v>23.610210111089643</v>
      </c>
      <c r="CR33" s="950">
        <f>+CR28-SUM(CR29:CR32)</f>
        <v>92.706285840240213</v>
      </c>
      <c r="CT33" s="767">
        <f>+(CC33/BN33)^(0.333333333333333)-1</f>
        <v>4.4674115166276618E-3</v>
      </c>
      <c r="CU33" s="767">
        <f>+(CM33/BN33)^(0.2)-1</f>
        <v>2.4073846863439163E-2</v>
      </c>
      <c r="CW33" s="943">
        <f>+ROUND(AJ33,3)-ROUND(SUM(AF33:AI33),3)</f>
        <v>0</v>
      </c>
      <c r="CX33" s="943">
        <f>+ROUND(AO33,3)-ROUND(SUM(AK33:AN33),3)</f>
        <v>42.082999999999998</v>
      </c>
      <c r="CY33" s="943">
        <f>+ROUND(AT33,3)-ROUND(SUM(AP33:AS33),3)</f>
        <v>0</v>
      </c>
      <c r="CZ33" s="943">
        <f>+ROUND(AY33,3)-ROUND(SUM(AU33:AX33),3)</f>
        <v>0</v>
      </c>
      <c r="DA33" s="943">
        <f>+ROUND(BD33,3)-ROUND(SUM(AZ33:BC33),3)</f>
        <v>0</v>
      </c>
      <c r="DB33" s="943">
        <f>+ROUND(BI33,3)-ROUND(SUM(BE33:BH33),3)</f>
        <v>0</v>
      </c>
      <c r="DC33" s="943">
        <f>+ROUND(BN33,3)-ROUND(SUM(BJ33:BM33),3)</f>
        <v>0</v>
      </c>
      <c r="DD33" s="943">
        <f>+ROUND(BS33,3)-ROUND(SUM(BO33:BR33),3)</f>
        <v>0</v>
      </c>
      <c r="DE33" s="943">
        <f>+ROUND(BX33,3)-ROUND(SUM(BT33:BW33),3)</f>
        <v>0</v>
      </c>
      <c r="DF33" s="943">
        <f>+ROUND(CC33,3)-ROUND(SUM(BY33:CB33),3)</f>
        <v>0</v>
      </c>
      <c r="DG33" s="943">
        <f>+ROUND(CH33,3)-ROUND(SUM(CD33:CG33),3)</f>
        <v>0</v>
      </c>
      <c r="DH33" s="943">
        <f>+ROUND(CM33,3)-ROUND(SUM(CI33:CL33),3)</f>
        <v>0</v>
      </c>
      <c r="DI33" s="943">
        <f>+ROUND(CR33,3)-ROUND(SUM(CN33:CQ33),3)</f>
        <v>0</v>
      </c>
    </row>
    <row r="34" spans="1:113" ht="12" customHeight="1" outlineLevel="1">
      <c r="A34" s="972" t="s">
        <v>929</v>
      </c>
      <c r="B34" s="785"/>
      <c r="C34" s="785"/>
      <c r="D34" s="785"/>
      <c r="E34" s="785"/>
      <c r="F34" s="735"/>
      <c r="G34" s="949"/>
      <c r="H34" s="949"/>
      <c r="I34" s="949"/>
      <c r="J34" s="949"/>
      <c r="K34" s="958"/>
      <c r="L34" s="949"/>
      <c r="M34" s="949"/>
      <c r="N34" s="949"/>
      <c r="O34" s="949"/>
      <c r="P34" s="958"/>
      <c r="Q34" s="959"/>
      <c r="R34" s="959"/>
      <c r="S34" s="959"/>
      <c r="T34" s="959"/>
      <c r="U34" s="950"/>
      <c r="V34" s="959"/>
      <c r="W34" s="959"/>
      <c r="X34" s="959"/>
      <c r="Y34" s="959"/>
      <c r="Z34" s="958"/>
      <c r="AA34" s="959"/>
      <c r="AB34" s="959"/>
      <c r="AC34" s="959"/>
      <c r="AD34" s="959"/>
      <c r="AE34" s="950"/>
      <c r="AF34" s="959"/>
      <c r="AG34" s="959"/>
      <c r="AH34" s="959"/>
      <c r="AI34" s="959"/>
      <c r="AJ34" s="950"/>
      <c r="AK34" s="959"/>
      <c r="AL34" s="959"/>
      <c r="AM34" s="959"/>
      <c r="AN34" s="959"/>
      <c r="AO34" s="958">
        <v>34.398000000000003</v>
      </c>
      <c r="AP34" s="959">
        <v>11</v>
      </c>
      <c r="AQ34" s="959">
        <v>13</v>
      </c>
      <c r="AR34" s="959">
        <v>13.779999999999994</v>
      </c>
      <c r="AS34" s="959">
        <v>15.824999999999999</v>
      </c>
      <c r="AT34" s="950">
        <f>+SUM(AP34:AS34)</f>
        <v>53.60499999999999</v>
      </c>
      <c r="AU34" s="959">
        <v>12.31</v>
      </c>
      <c r="AV34" s="959">
        <v>11.992000000000001</v>
      </c>
      <c r="AW34" s="959">
        <v>12.973000000000001</v>
      </c>
      <c r="AX34" s="959">
        <f>8.788+8.759</f>
        <v>17.547000000000001</v>
      </c>
      <c r="AY34" s="950">
        <f>+SUM(AU34:AX34)</f>
        <v>54.822000000000003</v>
      </c>
      <c r="AZ34" s="959">
        <v>12.513999999999999</v>
      </c>
      <c r="BA34" s="959">
        <v>11.173999999999999</v>
      </c>
      <c r="BB34" s="959">
        <v>18.100999999999999</v>
      </c>
      <c r="BC34" s="959">
        <v>18.475999999999999</v>
      </c>
      <c r="BD34" s="950">
        <f>+SUM(AZ34:BC34)</f>
        <v>60.265000000000001</v>
      </c>
      <c r="BE34" s="959">
        <v>24.155000000000001</v>
      </c>
      <c r="BF34" s="959">
        <v>22.745000000000001</v>
      </c>
      <c r="BG34" s="959">
        <v>20.448</v>
      </c>
      <c r="BH34" s="959">
        <v>20.611999999999998</v>
      </c>
      <c r="BI34" s="950">
        <f>+SUM(BE34:BH34)</f>
        <v>87.960000000000008</v>
      </c>
      <c r="BJ34" s="959">
        <v>19.558</v>
      </c>
      <c r="BK34" s="959">
        <v>21.550999999999998</v>
      </c>
      <c r="BL34" s="959">
        <v>22.582999999999998</v>
      </c>
      <c r="BM34" s="959">
        <v>24.042000000000002</v>
      </c>
      <c r="BN34" s="950">
        <f>+SUM(BJ34:BM34)</f>
        <v>87.733999999999995</v>
      </c>
      <c r="BO34" s="959">
        <v>20.995999999999999</v>
      </c>
      <c r="BP34" s="959">
        <v>20.324999999999999</v>
      </c>
      <c r="BQ34" s="959">
        <v>21.529</v>
      </c>
      <c r="BR34" s="959">
        <v>16.454000000000001</v>
      </c>
      <c r="BS34" s="950">
        <f>+SUM(BO34:BR34)</f>
        <v>79.304000000000002</v>
      </c>
      <c r="BT34" s="959">
        <v>20.172999999999998</v>
      </c>
      <c r="BU34" s="949">
        <f>+BU39+SUM(BU35:BU38)</f>
        <v>22.498358835024217</v>
      </c>
      <c r="BV34" s="949">
        <f>+BV39+SUM(BV35:BV38)</f>
        <v>23.914450212618529</v>
      </c>
      <c r="BW34" s="949">
        <f>+BW39+SUM(BW35:BW38)</f>
        <v>18.821762400628131</v>
      </c>
      <c r="BX34" s="950">
        <f>+SUM(BT34:BW34)</f>
        <v>85.407571448270872</v>
      </c>
      <c r="BY34" s="949">
        <f>+BY39+SUM(BY35:BY38)</f>
        <v>21.348556366188884</v>
      </c>
      <c r="BZ34" s="949">
        <f>+BZ39+SUM(BZ35:BZ38)</f>
        <v>23.908004941002481</v>
      </c>
      <c r="CA34" s="949">
        <f>+CA39+SUM(CA35:CA38)</f>
        <v>25.46891443862641</v>
      </c>
      <c r="CB34" s="949">
        <f>+CB39+SUM(CB35:CB38)</f>
        <v>19.873495311879402</v>
      </c>
      <c r="CC34" s="950">
        <f>+SUM(BY34:CB34)</f>
        <v>90.598971057697185</v>
      </c>
      <c r="CD34" s="949">
        <f>+CD39+SUM(CD35:CD38)</f>
        <v>22.3907963180623</v>
      </c>
      <c r="CE34" s="949">
        <f>+CE39+SUM(CE35:CE38)</f>
        <v>25.021349028793779</v>
      </c>
      <c r="CF34" s="949">
        <f>+CF39+SUM(CF35:CF38)</f>
        <v>26.674475249363795</v>
      </c>
      <c r="CG34" s="949">
        <f>+CG39+SUM(CG35:CG38)</f>
        <v>20.801331318758471</v>
      </c>
      <c r="CH34" s="950">
        <f>+SUM(CD34:CG34)</f>
        <v>94.887951914978345</v>
      </c>
      <c r="CI34" s="949">
        <f>+CI39+SUM(CI35:CI38)</f>
        <v>23.235374745929818</v>
      </c>
      <c r="CJ34" s="949">
        <f>+CJ39+SUM(CJ35:CJ38)</f>
        <v>25.898939409368705</v>
      </c>
      <c r="CK34" s="949">
        <f>+CK39+SUM(CK35:CK38)</f>
        <v>27.616774017881006</v>
      </c>
      <c r="CL34" s="949">
        <f>+CL39+SUM(CL35:CL38)</f>
        <v>21.536607836859375</v>
      </c>
      <c r="CM34" s="950">
        <f>+SUM(CI34:CL34)</f>
        <v>98.287696010038914</v>
      </c>
      <c r="CN34" s="949">
        <f>+CN39+SUM(CN35:CN38)</f>
        <v>24.096208137201987</v>
      </c>
      <c r="CO34" s="949">
        <f>+CO39+SUM(CO35:CO38)</f>
        <v>26.782786804913229</v>
      </c>
      <c r="CP34" s="949">
        <f>+CP39+SUM(CP35:CP38)</f>
        <v>28.572742422805867</v>
      </c>
      <c r="CQ34" s="949">
        <f>+CQ39+SUM(CQ35:CQ38)</f>
        <v>22.28380690102712</v>
      </c>
      <c r="CR34" s="950">
        <f>+SUM(CN34:CQ34)</f>
        <v>101.73554426594821</v>
      </c>
      <c r="CT34" s="732"/>
      <c r="CU34" s="732"/>
      <c r="CW34" s="948"/>
      <c r="CX34" s="948"/>
      <c r="CY34" s="948"/>
      <c r="CZ34" s="948"/>
      <c r="DA34" s="948"/>
      <c r="DB34" s="948"/>
      <c r="DC34" s="948"/>
      <c r="DD34" s="948"/>
      <c r="DE34" s="948"/>
      <c r="DF34" s="948"/>
      <c r="DG34" s="948"/>
      <c r="DH34" s="948"/>
      <c r="DI34" s="948"/>
    </row>
    <row r="35" spans="1:113" ht="12" customHeight="1" outlineLevel="1">
      <c r="A35" s="947" t="s">
        <v>971</v>
      </c>
      <c r="B35" s="785"/>
      <c r="C35" s="785"/>
      <c r="D35" s="785"/>
      <c r="E35" s="785"/>
      <c r="F35" s="735"/>
      <c r="G35" s="973"/>
      <c r="H35" s="973"/>
      <c r="I35" s="973"/>
      <c r="J35" s="973"/>
      <c r="K35" s="752"/>
      <c r="L35" s="973"/>
      <c r="M35" s="973"/>
      <c r="N35" s="973"/>
      <c r="O35" s="973"/>
      <c r="P35" s="752"/>
      <c r="Q35" s="973"/>
      <c r="R35" s="973"/>
      <c r="S35" s="973"/>
      <c r="T35" s="973"/>
      <c r="U35" s="752"/>
      <c r="V35" s="959"/>
      <c r="W35" s="959"/>
      <c r="X35" s="959"/>
      <c r="Y35" s="959"/>
      <c r="Z35" s="950"/>
      <c r="AA35" s="965"/>
      <c r="AB35" s="965"/>
      <c r="AC35" s="965"/>
      <c r="AD35" s="965"/>
      <c r="AE35" s="950"/>
      <c r="AF35" s="959"/>
      <c r="AG35" s="959"/>
      <c r="AH35" s="959"/>
      <c r="AI35" s="959"/>
      <c r="AJ35" s="950"/>
      <c r="AK35" s="959"/>
      <c r="AL35" s="959"/>
      <c r="AM35" s="959"/>
      <c r="AN35" s="959"/>
      <c r="AO35" s="958">
        <v>0</v>
      </c>
      <c r="AP35" s="959">
        <v>0</v>
      </c>
      <c r="AQ35" s="959">
        <v>0</v>
      </c>
      <c r="AR35" s="959">
        <v>0</v>
      </c>
      <c r="AS35" s="959">
        <v>0</v>
      </c>
      <c r="AT35" s="950">
        <f>+SUM(AP35:AS35)</f>
        <v>0</v>
      </c>
      <c r="AU35" s="959">
        <v>0</v>
      </c>
      <c r="AV35" s="959">
        <v>0</v>
      </c>
      <c r="AW35" s="959">
        <v>0</v>
      </c>
      <c r="AX35" s="959">
        <v>0</v>
      </c>
      <c r="AY35" s="950">
        <f>+SUM(AU35:AX35)</f>
        <v>0</v>
      </c>
      <c r="AZ35" s="959">
        <v>0</v>
      </c>
      <c r="BA35" s="959">
        <v>0</v>
      </c>
      <c r="BB35" s="959">
        <v>0</v>
      </c>
      <c r="BC35" s="959">
        <v>0.6</v>
      </c>
      <c r="BD35" s="950">
        <f>+SUM(AZ35:BC35)</f>
        <v>0.6</v>
      </c>
      <c r="BE35" s="959">
        <v>0</v>
      </c>
      <c r="BF35" s="959">
        <v>0.3</v>
      </c>
      <c r="BG35" s="959">
        <v>0.3</v>
      </c>
      <c r="BH35" s="959">
        <v>0.7</v>
      </c>
      <c r="BI35" s="950">
        <f>+SUM(BE35:BH35)</f>
        <v>1.2999999999999998</v>
      </c>
      <c r="BJ35" s="959">
        <v>0.4</v>
      </c>
      <c r="BK35" s="959">
        <v>0.3</v>
      </c>
      <c r="BL35" s="959">
        <v>0.3</v>
      </c>
      <c r="BM35" s="959">
        <v>1.3</v>
      </c>
      <c r="BN35" s="950">
        <f>+SUM(BJ35:BM35)</f>
        <v>2.2999999999999998</v>
      </c>
      <c r="BO35" s="959">
        <v>0.8</v>
      </c>
      <c r="BP35" s="959">
        <v>0.2</v>
      </c>
      <c r="BQ35" s="959">
        <v>0</v>
      </c>
      <c r="BR35" s="959">
        <v>0</v>
      </c>
      <c r="BS35" s="950">
        <f>+SUM(BO35:BR35)</f>
        <v>1</v>
      </c>
      <c r="BT35" s="959">
        <v>0.1</v>
      </c>
      <c r="BU35" s="959">
        <v>0</v>
      </c>
      <c r="BV35" s="959">
        <v>0</v>
      </c>
      <c r="BW35" s="959">
        <v>0</v>
      </c>
      <c r="BX35" s="950">
        <f>+SUM(BT35:BW35)</f>
        <v>0.1</v>
      </c>
      <c r="BY35" s="959">
        <v>0</v>
      </c>
      <c r="BZ35" s="959">
        <v>0</v>
      </c>
      <c r="CA35" s="959">
        <v>0</v>
      </c>
      <c r="CB35" s="959">
        <v>0</v>
      </c>
      <c r="CC35" s="950">
        <f>+SUM(BY35:CB35)</f>
        <v>0</v>
      </c>
      <c r="CD35" s="959">
        <v>0</v>
      </c>
      <c r="CE35" s="959">
        <v>0</v>
      </c>
      <c r="CF35" s="959">
        <v>0</v>
      </c>
      <c r="CG35" s="959">
        <v>0</v>
      </c>
      <c r="CH35" s="950">
        <f>+SUM(CD35:CG35)</f>
        <v>0</v>
      </c>
      <c r="CI35" s="959">
        <v>0</v>
      </c>
      <c r="CJ35" s="959">
        <v>0</v>
      </c>
      <c r="CK35" s="959">
        <v>0</v>
      </c>
      <c r="CL35" s="959">
        <v>0</v>
      </c>
      <c r="CM35" s="950">
        <f>+SUM(CI35:CL35)</f>
        <v>0</v>
      </c>
      <c r="CN35" s="959">
        <v>0</v>
      </c>
      <c r="CO35" s="959">
        <v>0</v>
      </c>
      <c r="CP35" s="959">
        <v>0</v>
      </c>
      <c r="CQ35" s="959">
        <v>0</v>
      </c>
      <c r="CR35" s="950">
        <f>+SUM(CN35:CQ35)</f>
        <v>0</v>
      </c>
      <c r="CT35" s="938"/>
      <c r="CU35" s="938"/>
      <c r="CW35" s="948"/>
      <c r="CX35" s="948"/>
      <c r="CY35" s="948"/>
      <c r="CZ35" s="948"/>
      <c r="DA35" s="948"/>
      <c r="DB35" s="948"/>
      <c r="DC35" s="948"/>
      <c r="DD35" s="948"/>
      <c r="DE35" s="948"/>
      <c r="DF35" s="948"/>
      <c r="DG35" s="948"/>
      <c r="DH35" s="948"/>
      <c r="DI35" s="948"/>
    </row>
    <row r="36" spans="1:113" ht="12" customHeight="1" outlineLevel="1">
      <c r="A36" s="947" t="s">
        <v>713</v>
      </c>
      <c r="B36" s="785"/>
      <c r="C36" s="785"/>
      <c r="D36" s="785"/>
      <c r="E36" s="785"/>
      <c r="F36" s="735"/>
      <c r="G36" s="973"/>
      <c r="H36" s="973"/>
      <c r="I36" s="973"/>
      <c r="J36" s="973"/>
      <c r="K36" s="752"/>
      <c r="L36" s="973"/>
      <c r="M36" s="973"/>
      <c r="N36" s="973"/>
      <c r="O36" s="973"/>
      <c r="P36" s="752"/>
      <c r="Q36" s="973"/>
      <c r="R36" s="973"/>
      <c r="S36" s="973"/>
      <c r="T36" s="973"/>
      <c r="U36" s="752"/>
      <c r="V36" s="959"/>
      <c r="W36" s="959"/>
      <c r="X36" s="959"/>
      <c r="Y36" s="959"/>
      <c r="Z36" s="958"/>
      <c r="AA36" s="959"/>
      <c r="AB36" s="959"/>
      <c r="AC36" s="959"/>
      <c r="AD36" s="959"/>
      <c r="AE36" s="950"/>
      <c r="AF36" s="959"/>
      <c r="AG36" s="959"/>
      <c r="AH36" s="959"/>
      <c r="AI36" s="959"/>
      <c r="AJ36" s="950"/>
      <c r="AK36" s="959"/>
      <c r="AL36" s="959"/>
      <c r="AM36" s="959"/>
      <c r="AN36" s="959"/>
      <c r="AO36" s="958">
        <v>0</v>
      </c>
      <c r="AP36" s="959">
        <v>0</v>
      </c>
      <c r="AQ36" s="959">
        <v>0</v>
      </c>
      <c r="AR36" s="959">
        <v>0</v>
      </c>
      <c r="AS36" s="959">
        <v>0</v>
      </c>
      <c r="AT36" s="950">
        <f>+SUM(AP36:AS36)</f>
        <v>0</v>
      </c>
      <c r="AU36" s="959">
        <v>0</v>
      </c>
      <c r="AV36" s="959">
        <v>0</v>
      </c>
      <c r="AW36" s="959">
        <v>0</v>
      </c>
      <c r="AX36" s="959">
        <v>0</v>
      </c>
      <c r="AY36" s="950">
        <f>+SUM(AU36:AX36)</f>
        <v>0</v>
      </c>
      <c r="AZ36" s="959">
        <v>0.3</v>
      </c>
      <c r="BA36" s="959">
        <v>0.3</v>
      </c>
      <c r="BB36" s="959">
        <v>0.3</v>
      </c>
      <c r="BC36" s="959">
        <v>0.3</v>
      </c>
      <c r="BD36" s="950">
        <f>+SUM(AZ36:BC36)</f>
        <v>1.2</v>
      </c>
      <c r="BE36" s="959">
        <v>0.3</v>
      </c>
      <c r="BF36" s="959">
        <v>0.3</v>
      </c>
      <c r="BG36" s="959">
        <v>0.3</v>
      </c>
      <c r="BH36" s="959">
        <v>0.3</v>
      </c>
      <c r="BI36" s="950">
        <f>+SUM(BE36:BH36)</f>
        <v>1.2</v>
      </c>
      <c r="BJ36" s="959">
        <v>0.3</v>
      </c>
      <c r="BK36" s="959">
        <v>0.3</v>
      </c>
      <c r="BL36" s="959">
        <v>0.3</v>
      </c>
      <c r="BM36" s="959">
        <v>0.3</v>
      </c>
      <c r="BN36" s="950">
        <f>+SUM(BJ36:BM36)</f>
        <v>1.2</v>
      </c>
      <c r="BO36" s="959">
        <v>0.3</v>
      </c>
      <c r="BP36" s="959">
        <v>0.3</v>
      </c>
      <c r="BQ36" s="959">
        <v>0.2</v>
      </c>
      <c r="BR36" s="959">
        <v>0.2</v>
      </c>
      <c r="BS36" s="950">
        <f>+SUM(BO36:BR36)</f>
        <v>1</v>
      </c>
      <c r="BT36" s="959">
        <v>0.2</v>
      </c>
      <c r="BU36" s="949">
        <f>+BU50*BU158</f>
        <v>0.20565669016925295</v>
      </c>
      <c r="BV36" s="949">
        <f>+BV50*BV158</f>
        <v>0.20703686529093923</v>
      </c>
      <c r="BW36" s="949">
        <f>+BW50*BW158</f>
        <v>0.2085166828870092</v>
      </c>
      <c r="BX36" s="950">
        <f>+SUM(BT36:BW36)</f>
        <v>0.82121023834720142</v>
      </c>
      <c r="BY36" s="949">
        <f>+BY50*BY158</f>
        <v>0.20300192840630418</v>
      </c>
      <c r="BZ36" s="949">
        <f>+BZ50*BZ158</f>
        <v>0.20422321719328138</v>
      </c>
      <c r="CA36" s="949">
        <f>+CA50*CA158</f>
        <v>0.20545442189881677</v>
      </c>
      <c r="CB36" s="949">
        <f>+CB50*CB158</f>
        <v>0.20681349944214622</v>
      </c>
      <c r="CC36" s="950">
        <f>+SUM(BY36:CB36)</f>
        <v>0.81949306694054858</v>
      </c>
      <c r="CD36" s="949">
        <f>+CD50*CD158</f>
        <v>0.16800865025219699</v>
      </c>
      <c r="CE36" s="949">
        <f>+CE50*CE158</f>
        <v>0.1691073137474956</v>
      </c>
      <c r="CF36" s="949">
        <f>+CF50*CF158</f>
        <v>0.1702190400798255</v>
      </c>
      <c r="CG36" s="949">
        <f>+CG50*CG158</f>
        <v>0.17144343879964111</v>
      </c>
      <c r="CH36" s="950">
        <f>+SUM(CD36:CG36)</f>
        <v>0.67877844287915912</v>
      </c>
      <c r="CI36" s="949">
        <f>+CI50*CI158</f>
        <v>0.16565811890465831</v>
      </c>
      <c r="CJ36" s="949">
        <f>+CJ50*CJ158</f>
        <v>0.16662434685310831</v>
      </c>
      <c r="CK36" s="949">
        <f>+CK50*CK158</f>
        <v>0.16760537593715072</v>
      </c>
      <c r="CL36" s="949">
        <f>+CL50*CL158</f>
        <v>0.16868606939882874</v>
      </c>
      <c r="CM36" s="950">
        <f>+SUM(CI36:CL36)</f>
        <v>0.66857391109374609</v>
      </c>
      <c r="CN36" s="949">
        <f>+CN50*CN158</f>
        <v>0.16397359412458215</v>
      </c>
      <c r="CO36" s="949">
        <f>+CO50*CO158</f>
        <v>0.16484008408369993</v>
      </c>
      <c r="CP36" s="949">
        <f>+CP50*CP158</f>
        <v>0.165724626851389</v>
      </c>
      <c r="CQ36" s="949">
        <f>+CQ50*CQ158</f>
        <v>0.16669681544311471</v>
      </c>
      <c r="CR36" s="950">
        <f>+SUM(CN36:CQ36)</f>
        <v>0.66123512050278577</v>
      </c>
      <c r="CT36" s="938"/>
      <c r="CU36" s="938"/>
      <c r="CW36" s="948"/>
      <c r="CX36" s="948"/>
      <c r="CY36" s="948"/>
      <c r="CZ36" s="948"/>
      <c r="DA36" s="948"/>
      <c r="DB36" s="948"/>
      <c r="DC36" s="948"/>
      <c r="DD36" s="948"/>
      <c r="DE36" s="948"/>
      <c r="DF36" s="948"/>
      <c r="DG36" s="948"/>
      <c r="DH36" s="948"/>
      <c r="DI36" s="948"/>
    </row>
    <row r="37" spans="1:113" ht="12" customHeight="1" outlineLevel="1">
      <c r="A37" s="947" t="s">
        <v>972</v>
      </c>
      <c r="B37" s="785"/>
      <c r="C37" s="785"/>
      <c r="D37" s="785"/>
      <c r="E37" s="785"/>
      <c r="F37" s="735"/>
      <c r="G37" s="973"/>
      <c r="H37" s="973"/>
      <c r="I37" s="973"/>
      <c r="J37" s="973"/>
      <c r="K37" s="752"/>
      <c r="L37" s="973"/>
      <c r="M37" s="973"/>
      <c r="N37" s="973"/>
      <c r="O37" s="973"/>
      <c r="P37" s="752"/>
      <c r="Q37" s="973"/>
      <c r="R37" s="973"/>
      <c r="S37" s="973"/>
      <c r="T37" s="973"/>
      <c r="U37" s="752"/>
      <c r="V37" s="959"/>
      <c r="W37" s="959"/>
      <c r="X37" s="959"/>
      <c r="Y37" s="959"/>
      <c r="Z37" s="964"/>
      <c r="AA37" s="965"/>
      <c r="AB37" s="965"/>
      <c r="AC37" s="965"/>
      <c r="AD37" s="965"/>
      <c r="AE37" s="950"/>
      <c r="AF37" s="959"/>
      <c r="AG37" s="959"/>
      <c r="AH37" s="959"/>
      <c r="AI37" s="959"/>
      <c r="AJ37" s="950"/>
      <c r="AK37" s="959"/>
      <c r="AL37" s="959"/>
      <c r="AM37" s="959"/>
      <c r="AN37" s="959"/>
      <c r="AO37" s="958">
        <v>1.0329999999999999</v>
      </c>
      <c r="AP37" s="959">
        <v>0</v>
      </c>
      <c r="AQ37" s="959">
        <v>0</v>
      </c>
      <c r="AR37" s="959">
        <v>0</v>
      </c>
      <c r="AS37" s="959">
        <v>0</v>
      </c>
      <c r="AT37" s="950">
        <f>+SUM(AP37:AS37)</f>
        <v>0</v>
      </c>
      <c r="AU37" s="959">
        <v>0.191</v>
      </c>
      <c r="AV37" s="959">
        <v>0.185</v>
      </c>
      <c r="AW37" s="959">
        <v>0.255</v>
      </c>
      <c r="AX37" s="959">
        <f>5.134+0.659-SUM(AU37:AW37)</f>
        <v>5.1619999999999999</v>
      </c>
      <c r="AY37" s="950">
        <f>+SUM(AU37:AX37)</f>
        <v>5.7930000000000001</v>
      </c>
      <c r="AZ37" s="959">
        <v>0.45</v>
      </c>
      <c r="BA37" s="959">
        <v>0.45</v>
      </c>
      <c r="BB37" s="959">
        <v>0.7</v>
      </c>
      <c r="BC37" s="959">
        <v>0.2</v>
      </c>
      <c r="BD37" s="950">
        <f>+SUM(AZ37:BC37)</f>
        <v>1.8</v>
      </c>
      <c r="BE37" s="959">
        <v>0.8</v>
      </c>
      <c r="BF37" s="959">
        <v>0.9</v>
      </c>
      <c r="BG37" s="959">
        <v>0.9</v>
      </c>
      <c r="BH37" s="959">
        <v>0.8</v>
      </c>
      <c r="BI37" s="950">
        <f>+SUM(BE37:BH37)</f>
        <v>3.4000000000000004</v>
      </c>
      <c r="BJ37" s="959">
        <v>0.5</v>
      </c>
      <c r="BK37" s="959">
        <v>1.4</v>
      </c>
      <c r="BL37" s="959">
        <v>1.6</v>
      </c>
      <c r="BM37" s="959">
        <v>2.2000000000000002</v>
      </c>
      <c r="BN37" s="950">
        <f>+SUM(BJ37:BM37)</f>
        <v>5.7</v>
      </c>
      <c r="BO37" s="959">
        <v>1.6</v>
      </c>
      <c r="BP37" s="959">
        <v>2.2999999999999998</v>
      </c>
      <c r="BQ37" s="959">
        <v>1.7</v>
      </c>
      <c r="BR37" s="959">
        <v>1.1000000000000001</v>
      </c>
      <c r="BS37" s="950">
        <f>+SUM(BO37:BR37)</f>
        <v>6.6999999999999993</v>
      </c>
      <c r="BT37" s="959">
        <v>2.5</v>
      </c>
      <c r="BU37" s="949">
        <f>+BU153*BU$51</f>
        <v>2.8399521448549616</v>
      </c>
      <c r="BV37" s="949">
        <f>+BV153*BV$51</f>
        <v>2.3118033473275883</v>
      </c>
      <c r="BW37" s="949">
        <f>+BW153*BW$51</f>
        <v>2.0953857177411201</v>
      </c>
      <c r="BX37" s="950">
        <f>+SUM(BT37:BW37)</f>
        <v>9.7471412099236705</v>
      </c>
      <c r="BY37" s="949">
        <f>+BY153*BY$51</f>
        <v>2.556444437782583</v>
      </c>
      <c r="BZ37" s="949">
        <f>+BZ153*BZ$51</f>
        <v>2.8893392238091993</v>
      </c>
      <c r="CA37" s="949">
        <f>+CA153*CA$51</f>
        <v>2.3701573167275907</v>
      </c>
      <c r="CB37" s="949">
        <f>+CB153*CB$51</f>
        <v>2.157750212437251</v>
      </c>
      <c r="CC37" s="950">
        <f>+SUM(BY37:CB37)</f>
        <v>9.9736911907566252</v>
      </c>
      <c r="CD37" s="949">
        <f>+CD153*CD$51</f>
        <v>2.7042221678101042</v>
      </c>
      <c r="CE37" s="949">
        <f>+CE153*CE$51</f>
        <v>2.9970770900462789</v>
      </c>
      <c r="CF37" s="949">
        <f>+CF153*CF$51</f>
        <v>2.4662883742839656</v>
      </c>
      <c r="CG37" s="949">
        <f>+CG153*CG$51</f>
        <v>2.2455096999588262</v>
      </c>
      <c r="CH37" s="950">
        <f>+SUM(CD37:CG37)</f>
        <v>10.413097332099174</v>
      </c>
      <c r="CI37" s="949">
        <f>+CI153*CI$51</f>
        <v>2.8680013345251623</v>
      </c>
      <c r="CJ37" s="949">
        <f>+CJ153*CJ$51</f>
        <v>3.1122196756405933</v>
      </c>
      <c r="CK37" s="949">
        <f>+CK153*CK$51</f>
        <v>2.5698719327188546</v>
      </c>
      <c r="CL37" s="949">
        <f>+CL153*CL$51</f>
        <v>2.3400903511605429</v>
      </c>
      <c r="CM37" s="950">
        <f>+SUM(CI37:CL37)</f>
        <v>10.890183294045153</v>
      </c>
      <c r="CN37" s="949">
        <f>+CN153*CN$51</f>
        <v>3.0436609306324081</v>
      </c>
      <c r="CO37" s="949">
        <f>+CO153*CO$51</f>
        <v>3.2287680908007736</v>
      </c>
      <c r="CP37" s="949">
        <f>+CP153*CP$51</f>
        <v>2.6818249986158222</v>
      </c>
      <c r="CQ37" s="949">
        <f>+CQ153*CQ$51</f>
        <v>2.4423324011298013</v>
      </c>
      <c r="CR37" s="950">
        <f>+SUM(CN37:CQ37)</f>
        <v>11.396586421178805</v>
      </c>
      <c r="CT37" s="938"/>
      <c r="CU37" s="938"/>
      <c r="CW37" s="948"/>
      <c r="CX37" s="948"/>
      <c r="CY37" s="948"/>
      <c r="CZ37" s="948"/>
      <c r="DA37" s="948"/>
      <c r="DB37" s="948"/>
      <c r="DC37" s="948"/>
      <c r="DD37" s="948"/>
      <c r="DE37" s="948"/>
      <c r="DF37" s="948"/>
      <c r="DG37" s="948"/>
      <c r="DH37" s="948"/>
      <c r="DI37" s="948"/>
    </row>
    <row r="38" spans="1:113" ht="12" customHeight="1" outlineLevel="1">
      <c r="A38" s="947" t="s">
        <v>31</v>
      </c>
      <c r="B38" s="785"/>
      <c r="C38" s="785"/>
      <c r="D38" s="785"/>
      <c r="E38" s="785"/>
      <c r="F38" s="735"/>
      <c r="G38" s="949"/>
      <c r="H38" s="949"/>
      <c r="I38" s="949"/>
      <c r="J38" s="949"/>
      <c r="K38" s="950"/>
      <c r="L38" s="959"/>
      <c r="M38" s="959"/>
      <c r="N38" s="959"/>
      <c r="O38" s="959"/>
      <c r="P38" s="950"/>
      <c r="Q38" s="959"/>
      <c r="R38" s="959"/>
      <c r="S38" s="959"/>
      <c r="T38" s="959"/>
      <c r="U38" s="950"/>
      <c r="V38" s="959"/>
      <c r="W38" s="959"/>
      <c r="X38" s="959"/>
      <c r="Y38" s="959"/>
      <c r="Z38" s="958"/>
      <c r="AA38" s="959"/>
      <c r="AB38" s="959"/>
      <c r="AC38" s="959"/>
      <c r="AD38" s="959"/>
      <c r="AE38" s="950"/>
      <c r="AF38" s="959"/>
      <c r="AG38" s="959"/>
      <c r="AH38" s="959"/>
      <c r="AI38" s="959"/>
      <c r="AJ38" s="950"/>
      <c r="AK38" s="959"/>
      <c r="AL38" s="959"/>
      <c r="AM38" s="959"/>
      <c r="AN38" s="959"/>
      <c r="AO38" s="958">
        <v>0</v>
      </c>
      <c r="AP38" s="959">
        <v>0</v>
      </c>
      <c r="AQ38" s="959">
        <v>0</v>
      </c>
      <c r="AR38" s="959">
        <v>0</v>
      </c>
      <c r="AS38" s="959">
        <v>0</v>
      </c>
      <c r="AT38" s="950">
        <f>+SUM(AP38:AS38)</f>
        <v>0</v>
      </c>
      <c r="AU38" s="959">
        <v>0</v>
      </c>
      <c r="AV38" s="959">
        <v>0</v>
      </c>
      <c r="AW38" s="959">
        <v>0</v>
      </c>
      <c r="AX38" s="959">
        <v>0</v>
      </c>
      <c r="AY38" s="950">
        <f>+SUM(AU38:AX38)</f>
        <v>0</v>
      </c>
      <c r="AZ38" s="959">
        <v>0.05</v>
      </c>
      <c r="BA38" s="959">
        <v>0.05</v>
      </c>
      <c r="BB38" s="959">
        <v>0.05</v>
      </c>
      <c r="BC38" s="959">
        <v>0</v>
      </c>
      <c r="BD38" s="950">
        <f>+SUM(AZ38:BC38)</f>
        <v>0.15000000000000002</v>
      </c>
      <c r="BE38" s="959">
        <v>0.5</v>
      </c>
      <c r="BF38" s="959">
        <v>0</v>
      </c>
      <c r="BG38" s="959">
        <v>0</v>
      </c>
      <c r="BH38" s="959">
        <v>0</v>
      </c>
      <c r="BI38" s="950">
        <f>+SUM(BE38:BH38)</f>
        <v>0.5</v>
      </c>
      <c r="BJ38" s="959">
        <v>0</v>
      </c>
      <c r="BK38" s="959">
        <v>0</v>
      </c>
      <c r="BL38" s="959">
        <v>0</v>
      </c>
      <c r="BM38" s="959">
        <v>0</v>
      </c>
      <c r="BN38" s="950">
        <f>+SUM(BJ38:BM38)</f>
        <v>0</v>
      </c>
      <c r="BO38" s="959">
        <v>0</v>
      </c>
      <c r="BP38" s="959">
        <v>0</v>
      </c>
      <c r="BQ38" s="959">
        <v>0</v>
      </c>
      <c r="BR38" s="959">
        <v>0</v>
      </c>
      <c r="BS38" s="950">
        <f>+SUM(BO38:BR38)</f>
        <v>0</v>
      </c>
      <c r="BT38" s="959">
        <v>0</v>
      </c>
      <c r="BU38" s="959">
        <v>0</v>
      </c>
      <c r="BV38" s="959">
        <v>0</v>
      </c>
      <c r="BW38" s="959">
        <v>0</v>
      </c>
      <c r="BX38" s="950">
        <f>+SUM(BT38:BW38)</f>
        <v>0</v>
      </c>
      <c r="BY38" s="959">
        <v>0</v>
      </c>
      <c r="BZ38" s="959">
        <v>0</v>
      </c>
      <c r="CA38" s="959">
        <v>0</v>
      </c>
      <c r="CB38" s="959">
        <v>0</v>
      </c>
      <c r="CC38" s="950">
        <f>+SUM(BY38:CB38)</f>
        <v>0</v>
      </c>
      <c r="CD38" s="959">
        <v>0</v>
      </c>
      <c r="CE38" s="959">
        <v>0</v>
      </c>
      <c r="CF38" s="959">
        <v>0</v>
      </c>
      <c r="CG38" s="959">
        <v>0</v>
      </c>
      <c r="CH38" s="950">
        <f>+SUM(CD38:CG38)</f>
        <v>0</v>
      </c>
      <c r="CI38" s="959">
        <v>0</v>
      </c>
      <c r="CJ38" s="959">
        <v>0</v>
      </c>
      <c r="CK38" s="959">
        <v>0</v>
      </c>
      <c r="CL38" s="959">
        <v>0</v>
      </c>
      <c r="CM38" s="950">
        <f>+SUM(CI38:CL38)</f>
        <v>0</v>
      </c>
      <c r="CN38" s="959">
        <v>0</v>
      </c>
      <c r="CO38" s="959">
        <v>0</v>
      </c>
      <c r="CP38" s="959">
        <v>0</v>
      </c>
      <c r="CQ38" s="959">
        <v>0</v>
      </c>
      <c r="CR38" s="950">
        <f>+SUM(CN38:CQ38)</f>
        <v>0</v>
      </c>
      <c r="CT38" s="938"/>
      <c r="CU38" s="938"/>
      <c r="CW38" s="948"/>
      <c r="CX38" s="948"/>
      <c r="CY38" s="948"/>
      <c r="CZ38" s="948"/>
      <c r="DA38" s="948"/>
      <c r="DB38" s="948"/>
      <c r="DC38" s="948"/>
      <c r="DD38" s="948"/>
      <c r="DE38" s="948"/>
      <c r="DF38" s="948"/>
      <c r="DG38" s="948"/>
      <c r="DH38" s="948"/>
      <c r="DI38" s="948"/>
    </row>
    <row r="39" spans="1:113" ht="12" customHeight="1">
      <c r="A39" s="972" t="s">
        <v>974</v>
      </c>
      <c r="B39" s="934"/>
      <c r="C39" s="934"/>
      <c r="D39" s="934"/>
      <c r="E39" s="934"/>
      <c r="F39" s="936"/>
      <c r="G39" s="959"/>
      <c r="H39" s="959"/>
      <c r="I39" s="959"/>
      <c r="J39" s="959"/>
      <c r="K39" s="950"/>
      <c r="L39" s="959"/>
      <c r="M39" s="959"/>
      <c r="N39" s="959"/>
      <c r="O39" s="959"/>
      <c r="P39" s="950"/>
      <c r="Q39" s="949"/>
      <c r="R39" s="949"/>
      <c r="S39" s="949"/>
      <c r="T39" s="949"/>
      <c r="U39" s="950"/>
      <c r="V39" s="949"/>
      <c r="W39" s="949"/>
      <c r="X39" s="949"/>
      <c r="Y39" s="949"/>
      <c r="Z39" s="950"/>
      <c r="AA39" s="949"/>
      <c r="AB39" s="949"/>
      <c r="AC39" s="949"/>
      <c r="AD39" s="949"/>
      <c r="AE39" s="950"/>
      <c r="AF39" s="949"/>
      <c r="AG39" s="949"/>
      <c r="AH39" s="949"/>
      <c r="AI39" s="949"/>
      <c r="AJ39" s="950"/>
      <c r="AK39" s="949"/>
      <c r="AL39" s="949"/>
      <c r="AM39" s="949"/>
      <c r="AN39" s="949"/>
      <c r="AO39" s="950">
        <f t="shared" ref="AO39:AT39" si="22">+AO34-SUM(AO36:AO38)</f>
        <v>33.365000000000002</v>
      </c>
      <c r="AP39" s="949">
        <f t="shared" si="22"/>
        <v>11</v>
      </c>
      <c r="AQ39" s="949">
        <f t="shared" si="22"/>
        <v>13</v>
      </c>
      <c r="AR39" s="949">
        <f t="shared" si="22"/>
        <v>13.779999999999994</v>
      </c>
      <c r="AS39" s="949">
        <f t="shared" si="22"/>
        <v>15.824999999999999</v>
      </c>
      <c r="AT39" s="950">
        <f t="shared" si="22"/>
        <v>53.60499999999999</v>
      </c>
      <c r="AU39" s="949">
        <f>+AU34-SUM(AU35:AU38)</f>
        <v>12.119</v>
      </c>
      <c r="AV39" s="949">
        <f t="shared" ref="AV39:BR39" si="23">+AV34-SUM(AV35:AV38)</f>
        <v>11.807</v>
      </c>
      <c r="AW39" s="949">
        <f t="shared" si="23"/>
        <v>12.718</v>
      </c>
      <c r="AX39" s="949">
        <f t="shared" si="23"/>
        <v>12.385000000000002</v>
      </c>
      <c r="AY39" s="950">
        <f t="shared" si="23"/>
        <v>49.029000000000003</v>
      </c>
      <c r="AZ39" s="949">
        <f t="shared" si="23"/>
        <v>11.713999999999999</v>
      </c>
      <c r="BA39" s="949">
        <f t="shared" si="23"/>
        <v>10.373999999999999</v>
      </c>
      <c r="BB39" s="949">
        <f t="shared" si="23"/>
        <v>17.050999999999998</v>
      </c>
      <c r="BC39" s="949">
        <f t="shared" si="23"/>
        <v>17.375999999999998</v>
      </c>
      <c r="BD39" s="950">
        <f t="shared" si="23"/>
        <v>56.515000000000001</v>
      </c>
      <c r="BE39" s="949">
        <f t="shared" si="23"/>
        <v>22.555</v>
      </c>
      <c r="BF39" s="949">
        <f t="shared" si="23"/>
        <v>21.245000000000001</v>
      </c>
      <c r="BG39" s="949">
        <f t="shared" si="23"/>
        <v>18.948</v>
      </c>
      <c r="BH39" s="949">
        <f t="shared" si="23"/>
        <v>18.811999999999998</v>
      </c>
      <c r="BI39" s="950">
        <f t="shared" si="23"/>
        <v>81.56</v>
      </c>
      <c r="BJ39" s="949">
        <f t="shared" si="23"/>
        <v>18.358000000000001</v>
      </c>
      <c r="BK39" s="949">
        <f t="shared" si="23"/>
        <v>19.550999999999998</v>
      </c>
      <c r="BL39" s="949">
        <f t="shared" si="23"/>
        <v>20.382999999999999</v>
      </c>
      <c r="BM39" s="949">
        <f t="shared" si="23"/>
        <v>20.242000000000001</v>
      </c>
      <c r="BN39" s="950">
        <f t="shared" si="23"/>
        <v>78.533999999999992</v>
      </c>
      <c r="BO39" s="949">
        <f t="shared" si="23"/>
        <v>18.295999999999999</v>
      </c>
      <c r="BP39" s="949">
        <f t="shared" si="23"/>
        <v>17.524999999999999</v>
      </c>
      <c r="BQ39" s="949">
        <f t="shared" si="23"/>
        <v>19.629000000000001</v>
      </c>
      <c r="BR39" s="949">
        <f t="shared" si="23"/>
        <v>15.154</v>
      </c>
      <c r="BS39" s="950">
        <f>+BS34-SUM(BS35:BS38)</f>
        <v>70.603999999999999</v>
      </c>
      <c r="BT39" s="949">
        <f t="shared" ref="BT39" si="24">+BT34-SUM(BT35:BT38)</f>
        <v>17.372999999999998</v>
      </c>
      <c r="BU39" s="906">
        <f>+BP39*(1+BU113)</f>
        <v>19.452750000000002</v>
      </c>
      <c r="BV39" s="906">
        <f>+BQ39*(1+BV113)</f>
        <v>21.395610000000001</v>
      </c>
      <c r="BW39" s="906">
        <f>+BR39*(1+BW113)</f>
        <v>16.517860000000002</v>
      </c>
      <c r="BX39" s="950">
        <f>+BX34-SUM(BX35:BX38)</f>
        <v>74.739220000000003</v>
      </c>
      <c r="BY39" s="906">
        <f>+BT39*(1+BY113)</f>
        <v>18.589109999999998</v>
      </c>
      <c r="BZ39" s="906">
        <f>+BU39*(1+BZ113)</f>
        <v>20.814442500000002</v>
      </c>
      <c r="CA39" s="906">
        <f>+BV39*(1+CA113)</f>
        <v>22.893302700000003</v>
      </c>
      <c r="CB39" s="906">
        <f>+BW39*(1+CB113)</f>
        <v>17.508931600000004</v>
      </c>
      <c r="CC39" s="950">
        <f>+CC34-SUM(CC35:CC38)</f>
        <v>79.805786800000007</v>
      </c>
      <c r="CD39" s="906">
        <f>+BY39*(1+CD113)</f>
        <v>19.518565499999998</v>
      </c>
      <c r="CE39" s="906">
        <f>+BZ39*(1+CE113)</f>
        <v>21.855164625000004</v>
      </c>
      <c r="CF39" s="906">
        <f>+CA39*(1+CF113)</f>
        <v>24.037967835000003</v>
      </c>
      <c r="CG39" s="906">
        <f>+CB39*(1+CG113)</f>
        <v>18.384378180000006</v>
      </c>
      <c r="CH39" s="950">
        <f>+CH34-SUM(CH35:CH38)</f>
        <v>83.796076140000011</v>
      </c>
      <c r="CI39" s="906">
        <f>+CD39*(1+CI113)</f>
        <v>20.201715292499998</v>
      </c>
      <c r="CJ39" s="906">
        <f>+CE39*(1+CJ113)</f>
        <v>22.620095386875004</v>
      </c>
      <c r="CK39" s="906">
        <f>+CF39*(1+CK113)</f>
        <v>24.879296709225002</v>
      </c>
      <c r="CL39" s="906">
        <f>+CG39*(1+CL113)</f>
        <v>19.027831416300003</v>
      </c>
      <c r="CM39" s="950">
        <f>+CM34-SUM(CM35:CM38)</f>
        <v>86.728938804900011</v>
      </c>
      <c r="CN39" s="906">
        <f>+CI39*(1+CN113)</f>
        <v>20.888573612444997</v>
      </c>
      <c r="CO39" s="906">
        <f>+CJ39*(1+CO113)</f>
        <v>23.389178630028756</v>
      </c>
      <c r="CP39" s="906">
        <f>+CK39*(1+CP113)</f>
        <v>25.725192797338654</v>
      </c>
      <c r="CQ39" s="906">
        <f>+CL39*(1+CQ113)</f>
        <v>19.674777684454202</v>
      </c>
      <c r="CR39" s="950">
        <f>+CR34-SUM(CR35:CR38)</f>
        <v>89.677722724266616</v>
      </c>
      <c r="CT39" s="767">
        <f>+(CC39/BN39)^(0.333333333333333)-1</f>
        <v>5.3691511988163132E-3</v>
      </c>
      <c r="CU39" s="767">
        <f>+(CM39/BN39)^(0.2)-1</f>
        <v>2.0049536581890015E-2</v>
      </c>
      <c r="CW39" s="943">
        <f>+ROUND(AJ39,3)-ROUND(SUM(AF39:AI39),3)</f>
        <v>0</v>
      </c>
      <c r="CX39" s="943">
        <f>+ROUND(AO39,3)-ROUND(SUM(AK39:AN39),3)</f>
        <v>33.365000000000002</v>
      </c>
      <c r="CY39" s="943">
        <f>+ROUND(AT39,3)-ROUND(SUM(AP39:AS39),3)</f>
        <v>0</v>
      </c>
      <c r="CZ39" s="943">
        <f>+ROUND(AY39,3)-ROUND(SUM(AU39:AX39),3)</f>
        <v>0</v>
      </c>
      <c r="DA39" s="943">
        <f>+ROUND(BD39,3)-ROUND(SUM(AZ39:BC39),3)</f>
        <v>0</v>
      </c>
      <c r="DB39" s="943">
        <f>+ROUND(BI39,3)-ROUND(SUM(BE39:BH39),3)</f>
        <v>0</v>
      </c>
      <c r="DC39" s="943">
        <f>+ROUND(BN39,3)-ROUND(SUM(BJ39:BM39),3)</f>
        <v>0</v>
      </c>
      <c r="DD39" s="943">
        <f>+ROUND(BS39,3)-ROUND(SUM(BO39:BR39),3)</f>
        <v>0</v>
      </c>
      <c r="DE39" s="943">
        <f>+ROUND(BX39,3)-ROUND(SUM(BT39:BW39),3)</f>
        <v>0</v>
      </c>
      <c r="DF39" s="943">
        <f>+ROUND(CC39,3)-ROUND(SUM(BY39:CB39),3)</f>
        <v>0</v>
      </c>
      <c r="DG39" s="943">
        <f>+ROUND(CH39,3)-ROUND(SUM(CD39:CG39),3)</f>
        <v>0</v>
      </c>
      <c r="DH39" s="943">
        <f>+ROUND(CM39,3)-ROUND(SUM(CI39:CL39),3)</f>
        <v>0</v>
      </c>
      <c r="DI39" s="943">
        <f>+ROUND(CR39,3)-ROUND(SUM(CN39:CQ39),3)</f>
        <v>0</v>
      </c>
    </row>
    <row r="40" spans="1:113" ht="12" customHeight="1" outlineLevel="1">
      <c r="A40" s="972" t="s">
        <v>975</v>
      </c>
      <c r="B40" s="934"/>
      <c r="C40" s="934"/>
      <c r="D40" s="934"/>
      <c r="E40" s="934"/>
      <c r="F40" s="936"/>
      <c r="G40" s="906"/>
      <c r="H40" s="906"/>
      <c r="I40" s="906"/>
      <c r="J40" s="906"/>
      <c r="K40" s="958"/>
      <c r="L40" s="906"/>
      <c r="M40" s="906"/>
      <c r="N40" s="906"/>
      <c r="O40" s="906"/>
      <c r="P40" s="958"/>
      <c r="Q40" s="959"/>
      <c r="R40" s="959"/>
      <c r="S40" s="959"/>
      <c r="T40" s="959"/>
      <c r="U40" s="950"/>
      <c r="V40" s="959"/>
      <c r="W40" s="959"/>
      <c r="X40" s="959"/>
      <c r="Y40" s="959"/>
      <c r="Z40" s="958"/>
      <c r="AA40" s="959"/>
      <c r="AB40" s="959"/>
      <c r="AC40" s="959"/>
      <c r="AD40" s="959"/>
      <c r="AE40" s="950"/>
      <c r="AF40" s="959"/>
      <c r="AG40" s="959"/>
      <c r="AH40" s="959"/>
      <c r="AI40" s="959"/>
      <c r="AJ40" s="950"/>
      <c r="AK40" s="959"/>
      <c r="AL40" s="959"/>
      <c r="AM40" s="959"/>
      <c r="AN40" s="959"/>
      <c r="AO40" s="958">
        <v>28.001000000000001</v>
      </c>
      <c r="AP40" s="959">
        <v>9</v>
      </c>
      <c r="AQ40" s="959">
        <v>20</v>
      </c>
      <c r="AR40" s="959">
        <v>11.341000000000001</v>
      </c>
      <c r="AS40" s="959">
        <v>11.458</v>
      </c>
      <c r="AT40" s="950">
        <f>SUM(AP40:AS40)</f>
        <v>51.798999999999999</v>
      </c>
      <c r="AU40" s="959">
        <v>9.7639999999999993</v>
      </c>
      <c r="AV40" s="959">
        <v>9.8610000000000007</v>
      </c>
      <c r="AW40" s="959">
        <v>10.412000000000001</v>
      </c>
      <c r="AX40" s="959">
        <f>23.123+7.318</f>
        <v>30.441000000000003</v>
      </c>
      <c r="AY40" s="950">
        <f>SUM(AU40:AX40)</f>
        <v>60.478000000000002</v>
      </c>
      <c r="AZ40" s="959">
        <v>13.717000000000001</v>
      </c>
      <c r="BA40" s="959">
        <v>13.401</v>
      </c>
      <c r="BB40" s="959">
        <v>22.870999999999999</v>
      </c>
      <c r="BC40" s="959">
        <v>19.933</v>
      </c>
      <c r="BD40" s="950">
        <f>SUM(AZ40:BC40)</f>
        <v>69.921999999999997</v>
      </c>
      <c r="BE40" s="959">
        <v>20.346</v>
      </c>
      <c r="BF40" s="959">
        <v>23.355</v>
      </c>
      <c r="BG40" s="959">
        <v>23.073</v>
      </c>
      <c r="BH40" s="959">
        <v>21.295999999999999</v>
      </c>
      <c r="BI40" s="950">
        <f>+SUM(BE40:BH40)</f>
        <v>88.07</v>
      </c>
      <c r="BJ40" s="959">
        <v>26.125</v>
      </c>
      <c r="BK40" s="959">
        <v>38.549999999999997</v>
      </c>
      <c r="BL40" s="959">
        <v>24.739000000000001</v>
      </c>
      <c r="BM40" s="959">
        <v>22.634</v>
      </c>
      <c r="BN40" s="950">
        <f>+SUM(BJ40:BM40)</f>
        <v>112.048</v>
      </c>
      <c r="BO40" s="959">
        <v>23.343</v>
      </c>
      <c r="BP40" s="959">
        <v>21.579000000000001</v>
      </c>
      <c r="BQ40" s="959">
        <v>20.831</v>
      </c>
      <c r="BR40" s="959">
        <v>20.446000000000002</v>
      </c>
      <c r="BS40" s="950">
        <f>+SUM(BO40:BR40)</f>
        <v>86.198999999999998</v>
      </c>
      <c r="BT40" s="959">
        <v>21.414999999999999</v>
      </c>
      <c r="BU40" s="906">
        <f>+BU45+SUM(BU41:BU44)</f>
        <v>21.99995561726849</v>
      </c>
      <c r="BV40" s="906">
        <f>+BV45+SUM(BV41:BV44)</f>
        <v>20.950333914867507</v>
      </c>
      <c r="BW40" s="906">
        <f>+BW45+SUM(BW41:BW44)</f>
        <v>20.613191109663695</v>
      </c>
      <c r="BX40" s="950">
        <f>+SUM(BT40:BW40)</f>
        <v>84.978480641799678</v>
      </c>
      <c r="BY40" s="906">
        <f>+BY45+SUM(BY41:BY44)</f>
        <v>21.817674410444951</v>
      </c>
      <c r="BZ40" s="906">
        <f>+BZ45+SUM(BZ41:BZ44)</f>
        <v>22.736127135275236</v>
      </c>
      <c r="CA40" s="906">
        <f>+CA45+SUM(CA41:CA44)</f>
        <v>21.713095772798027</v>
      </c>
      <c r="CB40" s="906">
        <f>+CB45+SUM(CB41:CB44)</f>
        <v>21.358991038365385</v>
      </c>
      <c r="CC40" s="950">
        <f>+SUM(BY40:CB40)</f>
        <v>87.625888356883607</v>
      </c>
      <c r="CD40" s="906">
        <f>+CD45+SUM(CD41:CD44)</f>
        <v>22.822717535226147</v>
      </c>
      <c r="CE40" s="906">
        <f>+CE45+SUM(CE41:CE44)</f>
        <v>23.739399525542787</v>
      </c>
      <c r="CF40" s="906">
        <f>+CF45+SUM(CF41:CF44)</f>
        <v>22.781575031442969</v>
      </c>
      <c r="CG40" s="906">
        <f>+CG45+SUM(CG41:CG44)</f>
        <v>22.53455271483767</v>
      </c>
      <c r="CH40" s="950">
        <f>+SUM(CD40:CG40)</f>
        <v>91.878244807049583</v>
      </c>
      <c r="CI40" s="906">
        <f>+CI45+SUM(CI41:CI44)</f>
        <v>24.166265073545347</v>
      </c>
      <c r="CJ40" s="906">
        <f>+CJ45+SUM(CJ41:CJ44)</f>
        <v>24.942741533361797</v>
      </c>
      <c r="CK40" s="906">
        <f>+CK45+SUM(CK41:CK44)</f>
        <v>23.928279093234359</v>
      </c>
      <c r="CL40" s="906">
        <f>+CL45+SUM(CL41:CL44)</f>
        <v>23.62943190407119</v>
      </c>
      <c r="CM40" s="950">
        <f>+SUM(CI40:CL40)</f>
        <v>96.666717604212693</v>
      </c>
      <c r="CN40" s="906">
        <f>+CN45+SUM(CN41:CN44)</f>
        <v>25.457793586221413</v>
      </c>
      <c r="CO40" s="906">
        <f>+CO45+SUM(CO41:CO44)</f>
        <v>26.110555343516516</v>
      </c>
      <c r="CP40" s="906">
        <f>+CP45+SUM(CP41:CP44)</f>
        <v>25.096837749481494</v>
      </c>
      <c r="CQ40" s="906">
        <f>+CQ45+SUM(CQ41:CQ44)</f>
        <v>24.787202452387483</v>
      </c>
      <c r="CR40" s="950">
        <f>+SUM(CN40:CQ40)</f>
        <v>101.45238913160691</v>
      </c>
      <c r="CT40" s="732"/>
      <c r="CU40" s="732"/>
      <c r="CW40" s="948"/>
      <c r="CX40" s="948"/>
      <c r="CY40" s="948"/>
      <c r="CZ40" s="948"/>
      <c r="DA40" s="948"/>
      <c r="DB40" s="948"/>
      <c r="DC40" s="943"/>
      <c r="DD40" s="948"/>
      <c r="DE40" s="948"/>
      <c r="DF40" s="948"/>
      <c r="DG40" s="948"/>
      <c r="DH40" s="948"/>
      <c r="DI40" s="948"/>
    </row>
    <row r="41" spans="1:113" ht="12" customHeight="1" outlineLevel="1">
      <c r="A41" s="947" t="s">
        <v>971</v>
      </c>
      <c r="B41" s="934"/>
      <c r="C41" s="934"/>
      <c r="D41" s="934"/>
      <c r="E41" s="934"/>
      <c r="F41" s="936"/>
      <c r="G41" s="934"/>
      <c r="H41" s="934"/>
      <c r="I41" s="934"/>
      <c r="J41" s="934"/>
      <c r="K41" s="936"/>
      <c r="L41" s="934"/>
      <c r="M41" s="934"/>
      <c r="N41" s="934"/>
      <c r="O41" s="934"/>
      <c r="P41" s="936"/>
      <c r="Q41" s="934"/>
      <c r="R41" s="934"/>
      <c r="S41" s="934"/>
      <c r="T41" s="934"/>
      <c r="U41" s="936"/>
      <c r="V41" s="959"/>
      <c r="W41" s="959"/>
      <c r="X41" s="959"/>
      <c r="Y41" s="959"/>
      <c r="Z41" s="950"/>
      <c r="AA41" s="965"/>
      <c r="AB41" s="965"/>
      <c r="AC41" s="965"/>
      <c r="AD41" s="965"/>
      <c r="AE41" s="950"/>
      <c r="AF41" s="959"/>
      <c r="AG41" s="959"/>
      <c r="AH41" s="959"/>
      <c r="AI41" s="959"/>
      <c r="AJ41" s="950"/>
      <c r="AK41" s="959"/>
      <c r="AL41" s="959"/>
      <c r="AM41" s="959"/>
      <c r="AN41" s="959"/>
      <c r="AO41" s="958">
        <v>-0.31900000000000001</v>
      </c>
      <c r="AP41" s="959">
        <f>-1.652/4</f>
        <v>-0.41299999999999998</v>
      </c>
      <c r="AQ41" s="959">
        <f>-1.652/4</f>
        <v>-0.41299999999999998</v>
      </c>
      <c r="AR41" s="959">
        <f>-1.652/4</f>
        <v>-0.41299999999999998</v>
      </c>
      <c r="AS41" s="959">
        <f>-1.652/4</f>
        <v>-0.41299999999999998</v>
      </c>
      <c r="AT41" s="950">
        <f>+SUM(AP41:AS41)</f>
        <v>-1.6519999999999999</v>
      </c>
      <c r="AU41" s="959">
        <v>0</v>
      </c>
      <c r="AV41" s="959">
        <v>0</v>
      </c>
      <c r="AW41" s="959">
        <v>0</v>
      </c>
      <c r="AX41" s="959">
        <v>0</v>
      </c>
      <c r="AY41" s="950">
        <f>+SUM(AU41:AX41)</f>
        <v>0</v>
      </c>
      <c r="AZ41" s="959">
        <v>0</v>
      </c>
      <c r="BA41" s="959">
        <f>14.203-BA21</f>
        <v>0</v>
      </c>
      <c r="BB41" s="959">
        <v>0</v>
      </c>
      <c r="BC41" s="959">
        <v>0</v>
      </c>
      <c r="BD41" s="950">
        <f>+SUM(AZ41:BC41)</f>
        <v>0</v>
      </c>
      <c r="BE41" s="959">
        <v>0</v>
      </c>
      <c r="BF41" s="959">
        <v>2</v>
      </c>
      <c r="BG41" s="959">
        <f>0.6+1.8</f>
        <v>2.4</v>
      </c>
      <c r="BH41" s="959">
        <v>0.9</v>
      </c>
      <c r="BI41" s="950">
        <f>+SUM(BE41:BH41)</f>
        <v>5.3000000000000007</v>
      </c>
      <c r="BJ41" s="959">
        <v>0</v>
      </c>
      <c r="BK41" s="959">
        <v>1.8240000000000001</v>
      </c>
      <c r="BL41" s="949">
        <f>8.254+0.07-SUM(BL35,BL29,BL23)</f>
        <v>6.625</v>
      </c>
      <c r="BM41" s="949">
        <f>17.75+0.659-SUM(BJ41:BL41)-SUM(BJ35:BM35)-SUM(BJ29:BM29)-SUM(BJ24:BM24)</f>
        <v>2.5859999999999994</v>
      </c>
      <c r="BN41" s="950">
        <f>+SUM(BJ41:BM41)</f>
        <v>11.035</v>
      </c>
      <c r="BO41" s="959">
        <v>0</v>
      </c>
      <c r="BP41" s="959">
        <v>0.1</v>
      </c>
      <c r="BQ41" s="959">
        <v>0.5</v>
      </c>
      <c r="BR41" s="949">
        <f>4.556-2.366+0.576-SUM(BO41:BQ41)-SUM(BO35:BR35)-SUM(BO29:BR29)-SUM(BO23:BR23)</f>
        <v>-0.35</v>
      </c>
      <c r="BS41" s="950">
        <f>+SUM(BO41:BR41)</f>
        <v>0.25</v>
      </c>
      <c r="BT41" s="959">
        <v>0.3</v>
      </c>
      <c r="BU41" s="959">
        <v>0</v>
      </c>
      <c r="BV41" s="959">
        <v>0</v>
      </c>
      <c r="BW41" s="959">
        <v>0</v>
      </c>
      <c r="BX41" s="950">
        <f>+SUM(BT41:BW41)</f>
        <v>0.3</v>
      </c>
      <c r="BY41" s="959">
        <v>0</v>
      </c>
      <c r="BZ41" s="959">
        <v>0</v>
      </c>
      <c r="CA41" s="959">
        <v>0</v>
      </c>
      <c r="CB41" s="959">
        <v>0</v>
      </c>
      <c r="CC41" s="950">
        <f>+SUM(BY41:CB41)</f>
        <v>0</v>
      </c>
      <c r="CD41" s="959">
        <v>0</v>
      </c>
      <c r="CE41" s="959">
        <v>0</v>
      </c>
      <c r="CF41" s="959">
        <v>0</v>
      </c>
      <c r="CG41" s="959">
        <v>0</v>
      </c>
      <c r="CH41" s="950">
        <f>+SUM(CD41:CG41)</f>
        <v>0</v>
      </c>
      <c r="CI41" s="959">
        <v>0</v>
      </c>
      <c r="CJ41" s="959">
        <v>0</v>
      </c>
      <c r="CK41" s="959">
        <v>0</v>
      </c>
      <c r="CL41" s="959">
        <v>0</v>
      </c>
      <c r="CM41" s="950">
        <f>+SUM(CI41:CL41)</f>
        <v>0</v>
      </c>
      <c r="CN41" s="959">
        <v>0</v>
      </c>
      <c r="CO41" s="959">
        <v>0</v>
      </c>
      <c r="CP41" s="959">
        <v>0</v>
      </c>
      <c r="CQ41" s="959">
        <v>0</v>
      </c>
      <c r="CR41" s="950">
        <f>+SUM(CN41:CQ41)</f>
        <v>0</v>
      </c>
      <c r="CT41" s="938"/>
      <c r="CU41" s="938"/>
      <c r="CW41" s="948"/>
      <c r="CX41" s="948"/>
      <c r="CY41" s="948"/>
      <c r="CZ41" s="948"/>
      <c r="DA41" s="948"/>
      <c r="DB41" s="948"/>
      <c r="DC41" s="948"/>
      <c r="DD41" s="948"/>
      <c r="DE41" s="948"/>
      <c r="DF41" s="948"/>
      <c r="DG41" s="948"/>
      <c r="DH41" s="948"/>
      <c r="DI41" s="948"/>
    </row>
    <row r="42" spans="1:113" ht="12" customHeight="1" outlineLevel="1">
      <c r="A42" s="947" t="s">
        <v>713</v>
      </c>
      <c r="B42" s="934"/>
      <c r="C42" s="934"/>
      <c r="D42" s="934"/>
      <c r="E42" s="934"/>
      <c r="F42" s="936"/>
      <c r="G42" s="934"/>
      <c r="H42" s="934"/>
      <c r="I42" s="934"/>
      <c r="J42" s="934"/>
      <c r="K42" s="936"/>
      <c r="L42" s="934"/>
      <c r="M42" s="934"/>
      <c r="N42" s="934"/>
      <c r="O42" s="934"/>
      <c r="P42" s="936"/>
      <c r="Q42" s="934"/>
      <c r="R42" s="934"/>
      <c r="S42" s="934"/>
      <c r="T42" s="934"/>
      <c r="U42" s="936"/>
      <c r="V42" s="959"/>
      <c r="W42" s="959"/>
      <c r="X42" s="959"/>
      <c r="Y42" s="959"/>
      <c r="Z42" s="958"/>
      <c r="AA42" s="959"/>
      <c r="AB42" s="959"/>
      <c r="AC42" s="959"/>
      <c r="AD42" s="959"/>
      <c r="AE42" s="950"/>
      <c r="AF42" s="959"/>
      <c r="AG42" s="959"/>
      <c r="AH42" s="959"/>
      <c r="AI42" s="959"/>
      <c r="AJ42" s="950"/>
      <c r="AK42" s="959"/>
      <c r="AL42" s="959"/>
      <c r="AM42" s="959"/>
      <c r="AN42" s="959"/>
      <c r="AO42" s="958">
        <f>34.348-AO47-AO22</f>
        <v>2.5869999999999997</v>
      </c>
      <c r="AP42" s="959">
        <f>11-AP22-AP47</f>
        <v>1</v>
      </c>
      <c r="AQ42" s="959">
        <f>15-AQ22-AQ47</f>
        <v>1</v>
      </c>
      <c r="AR42" s="959">
        <f>18-AR22-AR47</f>
        <v>2</v>
      </c>
      <c r="AS42" s="959">
        <f>16.416-AS22-AS47</f>
        <v>0.24599999999999866</v>
      </c>
      <c r="AT42" s="950">
        <f>+SUM(AP42:AS42)</f>
        <v>4.2459999999999987</v>
      </c>
      <c r="AU42" s="949">
        <f>16.978-AU47-AU22</f>
        <v>1.7600000000000007</v>
      </c>
      <c r="AV42" s="949">
        <f>16.888-AV22-AV47</f>
        <v>1.8130000000000024</v>
      </c>
      <c r="AW42" s="949">
        <f>17.31-AW22-AW47</f>
        <v>1.8649999999999984</v>
      </c>
      <c r="AX42" s="949">
        <f>63.263+6.394-AX22-AX47-SUM(AU42:AW42)-SUM(AU47:AW47)-SUM(AU22:AW22)</f>
        <v>1.8139999999999965</v>
      </c>
      <c r="AY42" s="950">
        <f>+SUM(AU42:AX42)</f>
        <v>7.251999999999998</v>
      </c>
      <c r="AZ42" s="949">
        <f>20.205-AZ47-AZ22-AZ36-AZ30</f>
        <v>0.16599999999999993</v>
      </c>
      <c r="BA42" s="949">
        <f>20.795-BA47-BA22-BA36-BA30</f>
        <v>0.20900000000000296</v>
      </c>
      <c r="BB42" s="949">
        <f>50.496-BB22-BB47-BB36-BB30</f>
        <v>0.95500000000000274</v>
      </c>
      <c r="BC42" s="949">
        <f>142.609-BC22-BC47-SUM(AZ42:BB42)-SUM(AZ47:BB47)-SUM(AZ22:BB22)-SUM(AZ30:BC30)-SUM(AZ36:BC36)</f>
        <v>0.89999999999997926</v>
      </c>
      <c r="BD42" s="950">
        <f>+SUM(AZ42:BC42)</f>
        <v>2.2299999999999849</v>
      </c>
      <c r="BE42" s="949">
        <f>53.297-BE47-BE22-BE36-BE30</f>
        <v>0.84099999999999753</v>
      </c>
      <c r="BF42" s="949">
        <f>54.083-BF47-BF22-BF36-BF30</f>
        <v>0.82200000000000095</v>
      </c>
      <c r="BG42" s="949">
        <f>52.451-BG22-BG47-BG36-BG30</f>
        <v>0.69799999999999907</v>
      </c>
      <c r="BH42" s="949">
        <f>213.26-BH22-BH47-SUM(BE42:BG42)-SUM(BE47:BG47)-SUM(BE22:BG22)-SUM(BE30:BH30)-SUM(BE36:BH36)</f>
        <v>0.61200000000002963</v>
      </c>
      <c r="BI42" s="950">
        <f>+SUM(BE42:BH42)</f>
        <v>2.9730000000000274</v>
      </c>
      <c r="BJ42" s="949">
        <f>53.319-BJ47-BJ22-BJ36-BJ30</f>
        <v>0.67000000000000393</v>
      </c>
      <c r="BK42" s="949">
        <f>53.849-BK47-BK22-BK36-BK30</f>
        <v>0.55599999999999383</v>
      </c>
      <c r="BL42" s="949">
        <f>53.59-BL22-BL47-BL36-BL30</f>
        <v>0.39500000000000313</v>
      </c>
      <c r="BM42" s="949">
        <f>214.727-BM22-BM47-SUM(BJ42:BL42)-SUM(BJ47:BL47)-SUM(BJ22:BL22)-SUM(BJ30:BM30)-SUM(BJ36:BM36)</f>
        <v>0.18700000000002892</v>
      </c>
      <c r="BN42" s="950">
        <f>+SUM(BJ42:BM42)</f>
        <v>1.8080000000000298</v>
      </c>
      <c r="BO42" s="949">
        <f>53.605-BO47-BO22-BO36-BO30</f>
        <v>0.23499999999999677</v>
      </c>
      <c r="BP42" s="949">
        <f>53.453-BP47-BP22-BP36-BP30</f>
        <v>0.18600000000000261</v>
      </c>
      <c r="BQ42" s="949">
        <f>37.838-BQ47-BQ22-BQ36-BQ30</f>
        <v>0.19300000000000495</v>
      </c>
      <c r="BR42" s="949">
        <f>181.975-BR22-BR47-SUM(BO42:BQ42)-SUM(BO47:BQ47)-SUM(BO22:BQ22)-SUM(BO30:BR30)-SUM(BO36:BR36)</f>
        <v>0.1930000000000085</v>
      </c>
      <c r="BS42" s="950">
        <f>+SUM(BO42:BR42)</f>
        <v>0.80700000000001282</v>
      </c>
      <c r="BT42" s="949">
        <f>36.698-BT47-BT22-BT36-BT30</f>
        <v>0.13799999999999901</v>
      </c>
      <c r="BU42" s="906">
        <f>+BU159*BU50</f>
        <v>0.14243874614123417</v>
      </c>
      <c r="BV42" s="906">
        <f>+BV159*BV50</f>
        <v>0.14339466162167164</v>
      </c>
      <c r="BW42" s="906">
        <f>+BW159*BW50</f>
        <v>0.14441958992684112</v>
      </c>
      <c r="BX42" s="950">
        <f>+SUM(BT42:BW42)</f>
        <v>0.56825299768974591</v>
      </c>
      <c r="BY42" s="906">
        <f>+BY159*BY50</f>
        <v>0.14060004623554712</v>
      </c>
      <c r="BZ42" s="906">
        <f>+BZ159*BZ50</f>
        <v>0.14144591632783643</v>
      </c>
      <c r="CA42" s="906">
        <f>+CA159*CA50</f>
        <v>0.14229865422979973</v>
      </c>
      <c r="CB42" s="906">
        <f>+CB159*CB50</f>
        <v>0.14323995743282825</v>
      </c>
      <c r="CC42" s="950">
        <f>+SUM(BY42:CB42)</f>
        <v>0.5675845742260115</v>
      </c>
      <c r="CD42" s="906">
        <f>+CD159*CD50</f>
        <v>0.11636354481397718</v>
      </c>
      <c r="CE42" s="906">
        <f>+CE159*CE50</f>
        <v>0.1171244840791802</v>
      </c>
      <c r="CF42" s="906">
        <f>+CF159*CF50</f>
        <v>0.11789447072390807</v>
      </c>
      <c r="CG42" s="906">
        <f>+CG159*CG50</f>
        <v>0.11874249476963174</v>
      </c>
      <c r="CH42" s="950">
        <f>+SUM(CD42:CG42)</f>
        <v>0.47012499438669719</v>
      </c>
      <c r="CI42" s="906">
        <f>+CI159*CI50</f>
        <v>0.1147355562587129</v>
      </c>
      <c r="CJ42" s="906">
        <f>+CJ159*CJ50</f>
        <v>0.11540477007009227</v>
      </c>
      <c r="CK42" s="906">
        <f>+CK159*CK50</f>
        <v>0.11608423521437757</v>
      </c>
      <c r="CL42" s="906">
        <f>+CL159*CL50</f>
        <v>0.11683272835368541</v>
      </c>
      <c r="CM42" s="950">
        <f>+SUM(CI42:CL42)</f>
        <v>0.46305728989686812</v>
      </c>
      <c r="CN42" s="906">
        <f>+CN159*CN50</f>
        <v>0.11356884683962998</v>
      </c>
      <c r="CO42" s="906">
        <f>+CO159*CO50</f>
        <v>0.1141689816721955</v>
      </c>
      <c r="CP42" s="906">
        <f>+CP159*CP50</f>
        <v>0.11478161996095837</v>
      </c>
      <c r="CQ42" s="906">
        <f>+CQ159*CQ50</f>
        <v>0.11545496214060864</v>
      </c>
      <c r="CR42" s="950">
        <f>+SUM(CN42:CQ42)</f>
        <v>0.45797441061339245</v>
      </c>
      <c r="CT42" s="938"/>
      <c r="CU42" s="938"/>
      <c r="CW42" s="948"/>
      <c r="CX42" s="948"/>
      <c r="CY42" s="948"/>
      <c r="CZ42" s="948"/>
      <c r="DA42" s="948"/>
      <c r="DB42" s="948"/>
      <c r="DC42" s="948"/>
      <c r="DD42" s="948"/>
      <c r="DE42" s="948"/>
      <c r="DF42" s="948"/>
      <c r="DG42" s="948"/>
      <c r="DH42" s="948"/>
      <c r="DI42" s="948"/>
    </row>
    <row r="43" spans="1:113" ht="12" customHeight="1" outlineLevel="1">
      <c r="A43" s="947" t="s">
        <v>972</v>
      </c>
      <c r="B43" s="934"/>
      <c r="C43" s="934"/>
      <c r="D43" s="934"/>
      <c r="E43" s="934"/>
      <c r="F43" s="936"/>
      <c r="G43" s="934"/>
      <c r="H43" s="934"/>
      <c r="I43" s="934"/>
      <c r="J43" s="934"/>
      <c r="K43" s="936"/>
      <c r="L43" s="934"/>
      <c r="M43" s="934"/>
      <c r="N43" s="934"/>
      <c r="O43" s="934"/>
      <c r="P43" s="936"/>
      <c r="Q43" s="934"/>
      <c r="R43" s="934"/>
      <c r="S43" s="934"/>
      <c r="T43" s="934"/>
      <c r="U43" s="936"/>
      <c r="V43" s="959"/>
      <c r="W43" s="959"/>
      <c r="X43" s="959"/>
      <c r="Y43" s="959"/>
      <c r="Z43" s="964"/>
      <c r="AA43" s="965"/>
      <c r="AB43" s="965"/>
      <c r="AC43" s="965"/>
      <c r="AD43" s="965"/>
      <c r="AE43" s="950"/>
      <c r="AF43" s="959"/>
      <c r="AG43" s="959"/>
      <c r="AH43" s="959"/>
      <c r="AI43" s="959"/>
      <c r="AJ43" s="950"/>
      <c r="AK43" s="959"/>
      <c r="AL43" s="959"/>
      <c r="AM43" s="959"/>
      <c r="AN43" s="959"/>
      <c r="AO43" s="958">
        <v>6.2640000000000002</v>
      </c>
      <c r="AP43" s="959">
        <f>2-AP24</f>
        <v>1.6990000000000001</v>
      </c>
      <c r="AQ43" s="959">
        <f>10-AQ24</f>
        <v>9.6989999999999998</v>
      </c>
      <c r="AR43" s="959">
        <f>3-AR24</f>
        <v>2.6989999999999998</v>
      </c>
      <c r="AS43" s="959">
        <f>4.167-AS24</f>
        <v>3.8659999999999997</v>
      </c>
      <c r="AT43" s="950">
        <f>+SUM(AP43:AS43)</f>
        <v>17.963000000000001</v>
      </c>
      <c r="AU43" s="949">
        <f>2.285-AU24-AU37-AU31</f>
        <v>1.7550000000000001</v>
      </c>
      <c r="AV43" s="949">
        <f>2.036-AV24-AV37-AV31</f>
        <v>1.6119999999999999</v>
      </c>
      <c r="AW43" s="949">
        <f>2.403-AW24-AW37-AW31</f>
        <v>1.6440000000000001</v>
      </c>
      <c r="AX43" s="949">
        <f>33+8.118-SUM(AU43:AW43)-SUM(AU37:AX37)-SUM(AU31:AX31)-SUM(AU24:AX24)</f>
        <v>20.719000000000001</v>
      </c>
      <c r="AY43" s="950">
        <f>+SUM(AU43:AX43)</f>
        <v>25.73</v>
      </c>
      <c r="AZ43" s="949">
        <f>2.397-AZ24-AZ37-AZ31</f>
        <v>1.2269999999999999</v>
      </c>
      <c r="BA43" s="949">
        <f>2.537-BA24-BA37-BA31</f>
        <v>1.4769999999999999</v>
      </c>
      <c r="BB43" s="949">
        <f>4.027-BB24-BB37-BB31</f>
        <v>2.1449999999999996</v>
      </c>
      <c r="BC43" s="949">
        <f>11.293-SUM(AZ43:BB43)-SUM(AZ37:BC37)-SUM(AZ31:BC31)-SUM(AZ24:BC24)</f>
        <v>1.25</v>
      </c>
      <c r="BD43" s="950">
        <f>+SUM(AZ43:BC43)</f>
        <v>6.0989999999999993</v>
      </c>
      <c r="BE43" s="949">
        <f>3.206-BE24-BE37-BE31</f>
        <v>1.6760000000000002</v>
      </c>
      <c r="BF43" s="949">
        <f>5.154-BF24-BF37-BF31</f>
        <v>3.3639999999999999</v>
      </c>
      <c r="BG43" s="949">
        <f>4.797-BG24-BG37-BG31</f>
        <v>2.4550000000000001</v>
      </c>
      <c r="BH43" s="949">
        <f>17.8-SUM(BE43:BG43)-SUM(BE37:BH37)-SUM(BE31:BH31)-SUM(BE24:BH24)</f>
        <v>2.1899999999999995</v>
      </c>
      <c r="BI43" s="950">
        <f>+SUM(BE43:BH43)</f>
        <v>9.6849999999999987</v>
      </c>
      <c r="BJ43" s="949">
        <f>4.46-BJ24-BJ37-BJ31</f>
        <v>2.343</v>
      </c>
      <c r="BK43" s="949">
        <f>7.443-BK24-BK37-BK31</f>
        <v>3.3049999999999993</v>
      </c>
      <c r="BL43" s="949">
        <f>6.841-BL24-BL37-BL31</f>
        <v>2.2360000000000007</v>
      </c>
      <c r="BM43" s="949">
        <f>27.187-SUM(BJ43:BL43)-SUM(BJ37:BM37)-SUM(BJ31:BM31)-SUM(BJ24:BM24)</f>
        <v>3.5290000000000017</v>
      </c>
      <c r="BN43" s="950">
        <f>+SUM(BJ43:BM43)</f>
        <v>11.413000000000002</v>
      </c>
      <c r="BO43" s="949">
        <f>11.787-BO24-BO37-BO31</f>
        <v>7.0820000000000007</v>
      </c>
      <c r="BP43" s="949">
        <f>12.923-BP24-BP37-BP31</f>
        <v>6.3210000000000015</v>
      </c>
      <c r="BQ43" s="949">
        <f>10.415-BQ24-BQ37-BQ31</f>
        <v>6.1109999999999989</v>
      </c>
      <c r="BR43" s="949">
        <f>44.469-SUM(BO43:BQ43)-SUM(BO37:BR37)-SUM(BO31:BR31)-SUM(BO24:BR24)</f>
        <v>5.9349999999999996</v>
      </c>
      <c r="BS43" s="950">
        <f>+SUM(BO43:BR43)</f>
        <v>25.449000000000002</v>
      </c>
      <c r="BT43" s="949">
        <f>11.251-BT24-BT37-BT31</f>
        <v>5.7009999999999987</v>
      </c>
      <c r="BU43" s="949">
        <f>+BU154*BU$51</f>
        <v>6.4762268711272535</v>
      </c>
      <c r="BV43" s="949">
        <f>+BV154*BV$51</f>
        <v>5.2718363532458312</v>
      </c>
      <c r="BW43" s="949">
        <f>+BW154*BW$51</f>
        <v>4.77831759073685</v>
      </c>
      <c r="BX43" s="950">
        <f>+SUM(BT43:BW43)</f>
        <v>22.227380815109935</v>
      </c>
      <c r="BY43" s="949">
        <f>+BY154*BY$51</f>
        <v>5.829715895919402</v>
      </c>
      <c r="BZ43" s="949">
        <f>+BZ154*BZ$51</f>
        <v>6.5888491659744979</v>
      </c>
      <c r="CA43" s="949">
        <f>+CA154*CA$51</f>
        <v>5.4049067450655963</v>
      </c>
      <c r="CB43" s="949">
        <f>+CB154*CB$51</f>
        <v>4.9205335844419071</v>
      </c>
      <c r="CC43" s="950">
        <f>+SUM(BY43:CB43)</f>
        <v>22.744005391401402</v>
      </c>
      <c r="CD43" s="949">
        <f>+CD154*CD$51</f>
        <v>6.1667082314741606</v>
      </c>
      <c r="CE43" s="949">
        <f>+CE154*CE$51</f>
        <v>6.8345345961415331</v>
      </c>
      <c r="CF43" s="949">
        <f>+CF154*CF$51</f>
        <v>5.6241240087171542</v>
      </c>
      <c r="CG43" s="949">
        <f>+CG154*CG$51</f>
        <v>5.1206603197861069</v>
      </c>
      <c r="CH43" s="950">
        <f>+SUM(CD43:CG43)</f>
        <v>23.746027156118956</v>
      </c>
      <c r="CI43" s="949">
        <f>+CI154*CI$51</f>
        <v>6.5401902432511791</v>
      </c>
      <c r="CJ43" s="949">
        <f>+CJ154*CJ$51</f>
        <v>7.0971057483308089</v>
      </c>
      <c r="CK43" s="949">
        <f>+CK154*CK$51</f>
        <v>5.8603359553720749</v>
      </c>
      <c r="CL43" s="949">
        <f>+CL154*CL$51</f>
        <v>5.3363420367865011</v>
      </c>
      <c r="CM43" s="950">
        <f>+SUM(CI43:CL43)</f>
        <v>24.833973983740563</v>
      </c>
      <c r="CN43" s="949">
        <f>+CN154*CN$51</f>
        <v>6.9407643862141422</v>
      </c>
      <c r="CO43" s="949">
        <f>+CO154*CO$51</f>
        <v>7.3628827542620838</v>
      </c>
      <c r="CP43" s="949">
        <f>+CP154*CP$51</f>
        <v>6.1156337268435204</v>
      </c>
      <c r="CQ43" s="949">
        <f>+CQ154*CQ$51</f>
        <v>5.5694948075363984</v>
      </c>
      <c r="CR43" s="950">
        <f>+SUM(CN43:CQ43)</f>
        <v>25.988775674856143</v>
      </c>
      <c r="CT43" s="938"/>
      <c r="CU43" s="938"/>
      <c r="CW43" s="948"/>
      <c r="CX43" s="948"/>
      <c r="CY43" s="948"/>
      <c r="CZ43" s="948"/>
      <c r="DA43" s="948"/>
      <c r="DB43" s="948"/>
      <c r="DC43" s="948"/>
      <c r="DD43" s="948"/>
      <c r="DE43" s="948"/>
      <c r="DF43" s="948"/>
      <c r="DG43" s="948"/>
      <c r="DH43" s="948"/>
      <c r="DI43" s="948"/>
    </row>
    <row r="44" spans="1:113" ht="12" customHeight="1" outlineLevel="1">
      <c r="A44" s="947" t="s">
        <v>31</v>
      </c>
      <c r="B44" s="934"/>
      <c r="C44" s="934"/>
      <c r="D44" s="934"/>
      <c r="E44" s="934"/>
      <c r="F44" s="936"/>
      <c r="G44" s="906"/>
      <c r="H44" s="906"/>
      <c r="I44" s="906"/>
      <c r="J44" s="906"/>
      <c r="K44" s="964"/>
      <c r="L44" s="974"/>
      <c r="M44" s="975"/>
      <c r="N44" s="975"/>
      <c r="O44" s="975"/>
      <c r="P44" s="964"/>
      <c r="Q44" s="959"/>
      <c r="R44" s="959"/>
      <c r="S44" s="959"/>
      <c r="T44" s="959"/>
      <c r="U44" s="950"/>
      <c r="V44" s="959"/>
      <c r="W44" s="959"/>
      <c r="X44" s="959"/>
      <c r="Y44" s="959"/>
      <c r="Z44" s="958"/>
      <c r="AA44" s="959"/>
      <c r="AB44" s="959"/>
      <c r="AC44" s="959"/>
      <c r="AD44" s="959"/>
      <c r="AE44" s="950"/>
      <c r="AF44" s="959"/>
      <c r="AG44" s="959"/>
      <c r="AH44" s="959"/>
      <c r="AI44" s="959"/>
      <c r="AJ44" s="950"/>
      <c r="AK44" s="959"/>
      <c r="AL44" s="959"/>
      <c r="AM44" s="959"/>
      <c r="AN44" s="959"/>
      <c r="AO44" s="958">
        <f>2.358+3.52</f>
        <v>5.8780000000000001</v>
      </c>
      <c r="AP44" s="959">
        <f>(6.212-SUM($AP$23:$AS$23))/4</f>
        <v>1.5462499999999999</v>
      </c>
      <c r="AQ44" s="959">
        <f>(6.212-SUM($AP$23:$AS$23))/4</f>
        <v>1.5462499999999999</v>
      </c>
      <c r="AR44" s="959">
        <f>(6.212-SUM($AP$23:$AS$23))/4/2</f>
        <v>0.77312499999999995</v>
      </c>
      <c r="AS44" s="959">
        <f>(6.212-SUM($AP$23:$AS$23))/4+AR44</f>
        <v>2.319375</v>
      </c>
      <c r="AT44" s="950">
        <f>+SUM(AP44:AS44)</f>
        <v>6.1849999999999996</v>
      </c>
      <c r="AU44" s="949">
        <f>1.11-AU23-AU38-AU32+AU55-AU65</f>
        <v>0.41100000000000136</v>
      </c>
      <c r="AV44" s="949">
        <f>-0.691-AV23-AV38-AV32+AV55-AV65</f>
        <v>0.14900000000000091</v>
      </c>
      <c r="AW44" s="949">
        <f>2.982-AW23-AW38-AW32+AW55-AW65</f>
        <v>2.1180000000000021</v>
      </c>
      <c r="AX44" s="949">
        <f>3.933+0.443-SUM(AU44:AW44)-SUM(AU38:AX38)-SUM(AU32:AX32)-SUM(AU25:AX25)-SUM(AU23:AX23)+SUM(AU55:AX55)-SUM(AU65:AX65)</f>
        <v>1.0810000000000031</v>
      </c>
      <c r="AY44" s="950">
        <f>+SUM(AU44:AX44)</f>
        <v>3.7590000000000074</v>
      </c>
      <c r="AZ44" s="949">
        <f>0.447-AZ23-AZ38-AZ32+AZ55-AZ65</f>
        <v>1.2889999999999997</v>
      </c>
      <c r="BA44" s="949">
        <f>2.052-BA23-BA38-BA32+BA55-BA65</f>
        <v>1.4710000000000001</v>
      </c>
      <c r="BB44" s="949">
        <f>2.987-BB23-BB38-BB32+BB55-BB65</f>
        <v>1.6429999999999989</v>
      </c>
      <c r="BC44" s="959">
        <v>1.907</v>
      </c>
      <c r="BD44" s="950">
        <f>+SUM(AZ44:BC44)</f>
        <v>6.3099999999999987</v>
      </c>
      <c r="BE44" s="949">
        <f>1.626-BE23-BE38-BE32+BE55-BE65</f>
        <v>0.29499999999999993</v>
      </c>
      <c r="BF44" s="949">
        <f>2.748-BF23-BF38-BF32+BF55-BF65</f>
        <v>1.3170000000000002</v>
      </c>
      <c r="BG44" s="949">
        <v>0</v>
      </c>
      <c r="BH44" s="959">
        <v>1.4</v>
      </c>
      <c r="BI44" s="950">
        <f>+SUM(BE44:BH44)</f>
        <v>3.012</v>
      </c>
      <c r="BJ44" s="949">
        <f>5.326+3.762-BJ23-BJ38-BJ32+BJ55-BJ65</f>
        <v>5.8990000000000009</v>
      </c>
      <c r="BK44" s="959">
        <f>17.75+0.187</f>
        <v>17.937000000000001</v>
      </c>
      <c r="BL44" s="959">
        <v>0.29799999999999999</v>
      </c>
      <c r="BM44" s="959">
        <v>0.33500000000000002</v>
      </c>
      <c r="BN44" s="950">
        <f>+SUM(BJ44:BM44)</f>
        <v>24.469000000000001</v>
      </c>
      <c r="BO44" s="959">
        <v>0.79100000000000004</v>
      </c>
      <c r="BP44" s="959">
        <f>0.576+0.066</f>
        <v>0.6419999999999999</v>
      </c>
      <c r="BQ44" s="959">
        <v>6.6000000000000003E-2</v>
      </c>
      <c r="BR44" s="959">
        <v>-8.0000000000000002E-3</v>
      </c>
      <c r="BS44" s="950">
        <f>+SUM(BO44:BR44)</f>
        <v>1.4909999999999999</v>
      </c>
      <c r="BT44" s="959">
        <v>4.7E-2</v>
      </c>
      <c r="BU44" s="959">
        <v>0</v>
      </c>
      <c r="BV44" s="959">
        <v>0</v>
      </c>
      <c r="BW44" s="959">
        <v>0</v>
      </c>
      <c r="BX44" s="950">
        <f>+SUM(BT44:BW44)</f>
        <v>4.7E-2</v>
      </c>
      <c r="BY44" s="959">
        <v>0</v>
      </c>
      <c r="BZ44" s="959">
        <v>0</v>
      </c>
      <c r="CA44" s="959">
        <v>0</v>
      </c>
      <c r="CB44" s="959">
        <v>0</v>
      </c>
      <c r="CC44" s="950">
        <f>+SUM(BY44:CB44)</f>
        <v>0</v>
      </c>
      <c r="CD44" s="959">
        <v>0</v>
      </c>
      <c r="CE44" s="959">
        <v>0</v>
      </c>
      <c r="CF44" s="959">
        <v>0</v>
      </c>
      <c r="CG44" s="959">
        <v>0</v>
      </c>
      <c r="CH44" s="950">
        <f>+SUM(CD44:CG44)</f>
        <v>0</v>
      </c>
      <c r="CI44" s="959">
        <v>0</v>
      </c>
      <c r="CJ44" s="959">
        <v>0</v>
      </c>
      <c r="CK44" s="959">
        <v>0</v>
      </c>
      <c r="CL44" s="959">
        <v>0</v>
      </c>
      <c r="CM44" s="950">
        <f>+SUM(CI44:CL44)</f>
        <v>0</v>
      </c>
      <c r="CN44" s="959">
        <v>0</v>
      </c>
      <c r="CO44" s="959">
        <v>0</v>
      </c>
      <c r="CP44" s="959">
        <v>0</v>
      </c>
      <c r="CQ44" s="959">
        <v>0</v>
      </c>
      <c r="CR44" s="950">
        <f>+SUM(CN44:CQ44)</f>
        <v>0</v>
      </c>
      <c r="CT44" s="938"/>
      <c r="CU44" s="938"/>
      <c r="CW44" s="948"/>
      <c r="CX44" s="948"/>
      <c r="CY44" s="948"/>
      <c r="CZ44" s="948"/>
      <c r="DA44" s="948"/>
      <c r="DB44" s="948"/>
      <c r="DC44" s="948"/>
      <c r="DD44" s="948"/>
      <c r="DE44" s="948"/>
      <c r="DF44" s="948"/>
      <c r="DG44" s="948"/>
      <c r="DH44" s="948"/>
      <c r="DI44" s="948"/>
    </row>
    <row r="45" spans="1:113" ht="12" customHeight="1">
      <c r="A45" s="972" t="s">
        <v>976</v>
      </c>
      <c r="B45" s="791"/>
      <c r="C45" s="791"/>
      <c r="D45" s="791"/>
      <c r="E45" s="791"/>
      <c r="F45" s="792"/>
      <c r="G45" s="959"/>
      <c r="H45" s="959"/>
      <c r="I45" s="959"/>
      <c r="J45" s="959"/>
      <c r="K45" s="950"/>
      <c r="L45" s="959"/>
      <c r="M45" s="959"/>
      <c r="N45" s="959"/>
      <c r="O45" s="959"/>
      <c r="P45" s="950"/>
      <c r="Q45" s="949"/>
      <c r="R45" s="949"/>
      <c r="S45" s="949"/>
      <c r="T45" s="949"/>
      <c r="U45" s="950"/>
      <c r="V45" s="949"/>
      <c r="W45" s="949"/>
      <c r="X45" s="949"/>
      <c r="Y45" s="949"/>
      <c r="Z45" s="950"/>
      <c r="AA45" s="949"/>
      <c r="AB45" s="949"/>
      <c r="AC45" s="949"/>
      <c r="AD45" s="949"/>
      <c r="AE45" s="950"/>
      <c r="AF45" s="949"/>
      <c r="AG45" s="949"/>
      <c r="AH45" s="949"/>
      <c r="AI45" s="949"/>
      <c r="AJ45" s="950"/>
      <c r="AK45" s="949"/>
      <c r="AL45" s="949"/>
      <c r="AM45" s="949"/>
      <c r="AN45" s="949"/>
      <c r="AO45" s="950">
        <f>+AO40-SUM(AO41:AO44)</f>
        <v>13.591000000000001</v>
      </c>
      <c r="AP45" s="949">
        <f>+AP40-SUM(AP41:AP44)</f>
        <v>5.1677499999999998</v>
      </c>
      <c r="AQ45" s="949">
        <f t="shared" ref="AQ45:BR45" si="25">+AQ40-SUM(AQ41:AQ44)</f>
        <v>8.1677499999999998</v>
      </c>
      <c r="AR45" s="949">
        <f t="shared" si="25"/>
        <v>6.2818750000000012</v>
      </c>
      <c r="AS45" s="949">
        <f t="shared" si="25"/>
        <v>5.4396250000000013</v>
      </c>
      <c r="AT45" s="950">
        <f t="shared" si="25"/>
        <v>25.057000000000002</v>
      </c>
      <c r="AU45" s="949">
        <f>+AU40-SUM(AU41:AU44)</f>
        <v>5.8379999999999974</v>
      </c>
      <c r="AV45" s="949">
        <f>+AV40-SUM(AV41:AV44)</f>
        <v>6.2869999999999973</v>
      </c>
      <c r="AW45" s="949">
        <f>+AW40-SUM(AW41:AW44)</f>
        <v>4.7850000000000001</v>
      </c>
      <c r="AX45" s="949">
        <f>+AX40-SUM(AX41:AX44)</f>
        <v>6.8270000000000017</v>
      </c>
      <c r="AY45" s="950">
        <f>+AY40-SUM(AY41:AY44)</f>
        <v>23.736999999999995</v>
      </c>
      <c r="AZ45" s="949">
        <f t="shared" si="25"/>
        <v>11.035</v>
      </c>
      <c r="BA45" s="949">
        <f t="shared" si="25"/>
        <v>10.243999999999996</v>
      </c>
      <c r="BB45" s="949">
        <f t="shared" si="25"/>
        <v>18.127999999999997</v>
      </c>
      <c r="BC45" s="949">
        <f t="shared" si="25"/>
        <v>15.876000000000021</v>
      </c>
      <c r="BD45" s="950">
        <f t="shared" si="25"/>
        <v>55.283000000000015</v>
      </c>
      <c r="BE45" s="949">
        <f t="shared" si="25"/>
        <v>17.534000000000002</v>
      </c>
      <c r="BF45" s="949">
        <f t="shared" si="25"/>
        <v>15.852</v>
      </c>
      <c r="BG45" s="949">
        <f t="shared" si="25"/>
        <v>17.520000000000003</v>
      </c>
      <c r="BH45" s="949">
        <f t="shared" si="25"/>
        <v>16.193999999999971</v>
      </c>
      <c r="BI45" s="950">
        <f t="shared" si="25"/>
        <v>67.099999999999966</v>
      </c>
      <c r="BJ45" s="949">
        <f t="shared" si="25"/>
        <v>17.212999999999994</v>
      </c>
      <c r="BK45" s="949">
        <f t="shared" si="25"/>
        <v>14.928000000000004</v>
      </c>
      <c r="BL45" s="949">
        <f t="shared" si="25"/>
        <v>15.184999999999997</v>
      </c>
      <c r="BM45" s="949">
        <f t="shared" si="25"/>
        <v>15.996999999999971</v>
      </c>
      <c r="BN45" s="950">
        <f t="shared" si="25"/>
        <v>63.322999999999965</v>
      </c>
      <c r="BO45" s="949">
        <f t="shared" si="25"/>
        <v>15.235000000000003</v>
      </c>
      <c r="BP45" s="949">
        <f t="shared" si="25"/>
        <v>14.329999999999997</v>
      </c>
      <c r="BQ45" s="949">
        <f t="shared" si="25"/>
        <v>13.960999999999995</v>
      </c>
      <c r="BR45" s="949">
        <f t="shared" si="25"/>
        <v>14.675999999999993</v>
      </c>
      <c r="BS45" s="950">
        <f>+BS40-SUM(BS41:BS44)</f>
        <v>58.201999999999984</v>
      </c>
      <c r="BT45" s="949">
        <f t="shared" ref="BT45" si="26">+BT40-SUM(BT41:BT44)</f>
        <v>15.229000000000003</v>
      </c>
      <c r="BU45" s="906">
        <f>+BT45*(1+BU134)</f>
        <v>15.381290000000003</v>
      </c>
      <c r="BV45" s="906">
        <f>+BU45*(1+BV134)</f>
        <v>15.535102900000004</v>
      </c>
      <c r="BW45" s="906">
        <f>+BV45*(1+BW134)</f>
        <v>15.690453929000004</v>
      </c>
      <c r="BX45" s="950">
        <f>+BX40-SUM(BX41:BX44)</f>
        <v>61.835846828999991</v>
      </c>
      <c r="BY45" s="906">
        <f>+BW45*(1+BY134)</f>
        <v>15.847358468290004</v>
      </c>
      <c r="BZ45" s="906">
        <f>+BY45*(1+BZ134)</f>
        <v>16.005832052972902</v>
      </c>
      <c r="CA45" s="906">
        <f>+BZ45*(1+CA134)</f>
        <v>16.165890373502631</v>
      </c>
      <c r="CB45" s="906">
        <f>+CA45*(1+CB134)</f>
        <v>16.29521749649065</v>
      </c>
      <c r="CC45" s="950">
        <f>+CC40-SUM(CC41:CC44)</f>
        <v>64.314298391256187</v>
      </c>
      <c r="CD45" s="906">
        <f>+CB45*(1+CD134)</f>
        <v>16.539645758938008</v>
      </c>
      <c r="CE45" s="906">
        <f>+CD45*(1+CE134)</f>
        <v>16.787740445322076</v>
      </c>
      <c r="CF45" s="906">
        <f>+CE45*(1+CF134)</f>
        <v>17.039556552001905</v>
      </c>
      <c r="CG45" s="906">
        <f>+CF45*(1+CG134)</f>
        <v>17.295149900281931</v>
      </c>
      <c r="CH45" s="950">
        <f>+CH40-SUM(CH41:CH44)</f>
        <v>67.662092656543933</v>
      </c>
      <c r="CI45" s="906">
        <f>+CG45*(1+CI134)</f>
        <v>17.511339274035453</v>
      </c>
      <c r="CJ45" s="906">
        <f>+CI45*(1+CJ134)</f>
        <v>17.730231014960896</v>
      </c>
      <c r="CK45" s="906">
        <f>+CJ45*(1+CK134)</f>
        <v>17.951858902647906</v>
      </c>
      <c r="CL45" s="906">
        <f>+CK45*(1+CL134)</f>
        <v>18.176257138931003</v>
      </c>
      <c r="CM45" s="950">
        <f>+CM40-SUM(CM41:CM44)</f>
        <v>71.369686330575263</v>
      </c>
      <c r="CN45" s="906">
        <f>+CL45*(1+CN134)</f>
        <v>18.403460353167642</v>
      </c>
      <c r="CO45" s="906">
        <f>+CN45*(1+CO134)</f>
        <v>18.633503607582238</v>
      </c>
      <c r="CP45" s="906">
        <f>+CO45*(1+CP134)</f>
        <v>18.866422402677014</v>
      </c>
      <c r="CQ45" s="906">
        <f>+CP45*(1+CQ134)</f>
        <v>19.102252682710475</v>
      </c>
      <c r="CR45" s="950">
        <f>+CR40-SUM(CR41:CR44)</f>
        <v>75.005639046137375</v>
      </c>
      <c r="CT45" s="767">
        <f>+(CC45/BN45)^(0.333333333333333)-1</f>
        <v>5.191215990681064E-3</v>
      </c>
      <c r="CU45" s="767">
        <f>+(CM45/BN45)^(0.2)-1</f>
        <v>2.4213418230416783E-2</v>
      </c>
      <c r="CW45" s="943">
        <f t="shared" ref="CW45:CW54" si="27">+ROUND(AJ45,3)-ROUND(SUM(AF45:AI45),3)</f>
        <v>0</v>
      </c>
      <c r="CX45" s="943">
        <f t="shared" ref="CX45:CX54" si="28">+ROUND(AO45,3)-ROUND(SUM(AK45:AN45),3)</f>
        <v>13.590999999999999</v>
      </c>
      <c r="CY45" s="943">
        <f t="shared" ref="CY45:CY54" si="29">+ROUND(AT45,3)-ROUND(SUM(AP45:AS45),3)</f>
        <v>0</v>
      </c>
      <c r="CZ45" s="943">
        <f t="shared" ref="CZ45:CZ54" si="30">+ROUND(AY45,3)-ROUND(SUM(AU45:AX45),3)</f>
        <v>0</v>
      </c>
      <c r="DA45" s="943">
        <f t="shared" ref="DA45:DA54" si="31">+ROUND(BD45,3)-ROUND(SUM(AZ45:BC45),3)</f>
        <v>0</v>
      </c>
      <c r="DB45" s="943">
        <f t="shared" ref="DB45:DB54" si="32">+ROUND(BI45,3)-ROUND(SUM(BE45:BH45),3)</f>
        <v>0</v>
      </c>
      <c r="DC45" s="943">
        <f t="shared" ref="DC45:DC54" si="33">+ROUND(BN45,3)-ROUND(SUM(BJ45:BM45),3)</f>
        <v>0</v>
      </c>
      <c r="DD45" s="943">
        <f t="shared" ref="DD45:DD54" si="34">+ROUND(BS45,3)-ROUND(SUM(BO45:BR45),3)</f>
        <v>0</v>
      </c>
      <c r="DE45" s="943">
        <f t="shared" ref="DE45:DE54" si="35">+ROUND(BX45,3)-ROUND(SUM(BT45:BW45),3)</f>
        <v>0</v>
      </c>
      <c r="DF45" s="943">
        <f t="shared" ref="DF45:DF58" si="36">+ROUND(CC45,3)-ROUND(SUM(BY45:CB45),3)</f>
        <v>0</v>
      </c>
      <c r="DG45" s="943">
        <f t="shared" ref="DG45:DG58" si="37">+ROUND(CH45,3)-ROUND(SUM(CD45:CG45),3)</f>
        <v>0</v>
      </c>
      <c r="DH45" s="943">
        <f t="shared" ref="DH45:DH58" si="38">+ROUND(CM45,3)-ROUND(SUM(CI45:CL45),3)</f>
        <v>0</v>
      </c>
      <c r="DI45" s="943">
        <f t="shared" ref="DI45:DI58" si="39">+ROUND(CR45,3)-ROUND(SUM(CN45:CQ45),3)</f>
        <v>0</v>
      </c>
    </row>
    <row r="46" spans="1:113" ht="12" customHeight="1">
      <c r="A46" s="972" t="s">
        <v>977</v>
      </c>
      <c r="B46" s="794"/>
      <c r="C46" s="794"/>
      <c r="D46" s="794"/>
      <c r="E46" s="794"/>
      <c r="F46" s="795"/>
      <c r="G46" s="959"/>
      <c r="H46" s="959"/>
      <c r="I46" s="959"/>
      <c r="J46" s="959"/>
      <c r="K46" s="950"/>
      <c r="L46" s="959"/>
      <c r="M46" s="959"/>
      <c r="N46" s="959"/>
      <c r="O46" s="959"/>
      <c r="P46" s="950"/>
      <c r="Q46" s="959"/>
      <c r="R46" s="959"/>
      <c r="S46" s="959"/>
      <c r="T46" s="959"/>
      <c r="U46" s="950"/>
      <c r="V46" s="959"/>
      <c r="W46" s="959"/>
      <c r="X46" s="959"/>
      <c r="Y46" s="959"/>
      <c r="Z46" s="958"/>
      <c r="AA46" s="959"/>
      <c r="AB46" s="959"/>
      <c r="AC46" s="959"/>
      <c r="AD46" s="959"/>
      <c r="AE46" s="950"/>
      <c r="AF46" s="959"/>
      <c r="AG46" s="959"/>
      <c r="AH46" s="959"/>
      <c r="AI46" s="959"/>
      <c r="AJ46" s="950"/>
      <c r="AK46" s="959"/>
      <c r="AL46" s="959"/>
      <c r="AM46" s="959"/>
      <c r="AN46" s="959"/>
      <c r="AO46" s="958">
        <v>15.577</v>
      </c>
      <c r="AP46" s="959">
        <v>2</v>
      </c>
      <c r="AQ46" s="959">
        <v>17</v>
      </c>
      <c r="AR46" s="959">
        <v>5</v>
      </c>
      <c r="AS46" s="959">
        <v>2.708999999999997</v>
      </c>
      <c r="AT46" s="950">
        <f>+SUM(AP46:AS46)</f>
        <v>26.708999999999996</v>
      </c>
      <c r="AU46" s="959">
        <v>3.3679999999999999</v>
      </c>
      <c r="AV46" s="959">
        <v>2.0179999999999998</v>
      </c>
      <c r="AW46" s="959">
        <v>5.968</v>
      </c>
      <c r="AX46" s="959">
        <f>2.994+4.317</f>
        <v>7.3109999999999999</v>
      </c>
      <c r="AY46" s="950">
        <f>+SUM(AU46:AX46)</f>
        <v>18.664999999999999</v>
      </c>
      <c r="AZ46" s="959">
        <v>9.7780000000000005</v>
      </c>
      <c r="BA46" s="959">
        <v>7.1740000000000004</v>
      </c>
      <c r="BB46" s="959">
        <v>33.216000000000001</v>
      </c>
      <c r="BC46" s="959">
        <v>14.192</v>
      </c>
      <c r="BD46" s="950">
        <f>+SUM(AZ46:BC46)</f>
        <v>64.360000000000014</v>
      </c>
      <c r="BE46" s="959">
        <v>6.7640000000000002</v>
      </c>
      <c r="BF46" s="959">
        <f>5.58+514.816</f>
        <v>520.39600000000007</v>
      </c>
      <c r="BG46" s="959">
        <v>1.9690000000000001</v>
      </c>
      <c r="BH46" s="959">
        <f>1.984+386.75</f>
        <v>388.73399999999998</v>
      </c>
      <c r="BI46" s="950">
        <f>+SUM(BE46:BH46)</f>
        <v>917.86300000000006</v>
      </c>
      <c r="BJ46" s="959">
        <f>0.389+410.041</f>
        <v>410.43</v>
      </c>
      <c r="BK46" s="959">
        <v>1.7999999999999999E-2</v>
      </c>
      <c r="BL46" s="959">
        <f>0.009+687.7+30</f>
        <v>717.70900000000006</v>
      </c>
      <c r="BM46" s="959">
        <v>1.6639999999999999</v>
      </c>
      <c r="BN46" s="950">
        <f>+SUM(BJ46:BM46)</f>
        <v>1129.8210000000001</v>
      </c>
      <c r="BO46" s="959">
        <v>0.28299999999999997</v>
      </c>
      <c r="BP46" s="959">
        <v>1.72</v>
      </c>
      <c r="BQ46" s="959">
        <f>0.187+369.1+10</f>
        <v>379.28700000000003</v>
      </c>
      <c r="BR46" s="959">
        <f>2.366+245+8.5</f>
        <v>255.86600000000001</v>
      </c>
      <c r="BS46" s="950">
        <f>+SUM(BO46:BR46)</f>
        <v>637.15600000000006</v>
      </c>
      <c r="BT46" s="959">
        <v>5.4850000000000003</v>
      </c>
      <c r="BU46" s="949">
        <f>+BU94*BU16</f>
        <v>0</v>
      </c>
      <c r="BV46" s="949">
        <f>+BV94*BV16</f>
        <v>0</v>
      </c>
      <c r="BW46" s="949">
        <f>+BW94*BW16</f>
        <v>0</v>
      </c>
      <c r="BX46" s="950">
        <f>+SUM(BT46:BW46)</f>
        <v>5.4850000000000003</v>
      </c>
      <c r="BY46" s="949">
        <f>+BY94*BY16</f>
        <v>0</v>
      </c>
      <c r="BZ46" s="949">
        <f>+BZ94*BZ16</f>
        <v>0</v>
      </c>
      <c r="CA46" s="949">
        <f>+CA94*CA16</f>
        <v>0</v>
      </c>
      <c r="CB46" s="949">
        <f>+CB94*CB16</f>
        <v>0</v>
      </c>
      <c r="CC46" s="950">
        <f>+SUM(BY46:CB46)</f>
        <v>0</v>
      </c>
      <c r="CD46" s="949">
        <f>+CD94*CD16</f>
        <v>0</v>
      </c>
      <c r="CE46" s="949">
        <f>+CE94*CE16</f>
        <v>0</v>
      </c>
      <c r="CF46" s="949">
        <f>+CF94*CF16</f>
        <v>0</v>
      </c>
      <c r="CG46" s="949">
        <f>+CG94*CG16</f>
        <v>0</v>
      </c>
      <c r="CH46" s="950">
        <f>+SUM(CD46:CG46)</f>
        <v>0</v>
      </c>
      <c r="CI46" s="949">
        <f>+CI94*CI16</f>
        <v>0</v>
      </c>
      <c r="CJ46" s="949">
        <f>+CJ94*CJ16</f>
        <v>0</v>
      </c>
      <c r="CK46" s="949">
        <f>+CK94*CK16</f>
        <v>0</v>
      </c>
      <c r="CL46" s="949">
        <f>+CL94*CL16</f>
        <v>0</v>
      </c>
      <c r="CM46" s="950">
        <f>+SUM(CI46:CL46)</f>
        <v>0</v>
      </c>
      <c r="CN46" s="949">
        <f>+CN94*CN16</f>
        <v>0</v>
      </c>
      <c r="CO46" s="949">
        <f>+CO94*CO16</f>
        <v>0</v>
      </c>
      <c r="CP46" s="949">
        <f>+CP94*CP16</f>
        <v>0</v>
      </c>
      <c r="CQ46" s="949">
        <f>+CQ94*CQ16</f>
        <v>0</v>
      </c>
      <c r="CR46" s="950">
        <f>+SUM(CN46:CQ46)</f>
        <v>0</v>
      </c>
      <c r="CT46" s="976"/>
      <c r="CU46" s="976"/>
      <c r="CW46" s="943">
        <f>+ROUND(AJ46,3)-ROUND(SUM(AF46:AI46),3)</f>
        <v>0</v>
      </c>
      <c r="CX46" s="943">
        <f>+ROUND(AO46,3)-ROUND(SUM(AK46:AN46),3)</f>
        <v>15.577</v>
      </c>
      <c r="CY46" s="943">
        <f>+ROUND(AT46,3)-ROUND(SUM(AP46:AS46),3)</f>
        <v>0</v>
      </c>
      <c r="CZ46" s="943">
        <f>+ROUND(AY46,3)-ROUND(SUM(AU46:AX46),3)</f>
        <v>0</v>
      </c>
      <c r="DA46" s="943">
        <f>+ROUND(BD46,3)-ROUND(SUM(AZ46:BC46),3)</f>
        <v>0</v>
      </c>
      <c r="DB46" s="943">
        <f>+ROUND(BI46,3)-ROUND(SUM(BE46:BH46),3)</f>
        <v>0</v>
      </c>
      <c r="DC46" s="943">
        <f>+ROUND(BN46,3)-ROUND(SUM(BJ46:BM46),3)</f>
        <v>0</v>
      </c>
      <c r="DD46" s="943">
        <f>+ROUND(BS46,3)-ROUND(SUM(BO46:BR46),3)</f>
        <v>0</v>
      </c>
      <c r="DE46" s="943">
        <f>+ROUND(BX46,3)-ROUND(SUM(BT46:BW46),3)</f>
        <v>0</v>
      </c>
      <c r="DF46" s="943">
        <f t="shared" si="36"/>
        <v>0</v>
      </c>
      <c r="DG46" s="943">
        <f t="shared" si="37"/>
        <v>0</v>
      </c>
      <c r="DH46" s="943">
        <f t="shared" si="38"/>
        <v>0</v>
      </c>
      <c r="DI46" s="943">
        <f t="shared" si="39"/>
        <v>0</v>
      </c>
    </row>
    <row r="47" spans="1:113" ht="12" customHeight="1">
      <c r="A47" s="972" t="s">
        <v>962</v>
      </c>
      <c r="B47" s="794"/>
      <c r="C47" s="794"/>
      <c r="D47" s="794"/>
      <c r="E47" s="794"/>
      <c r="F47" s="795"/>
      <c r="G47" s="959"/>
      <c r="H47" s="959"/>
      <c r="I47" s="959"/>
      <c r="J47" s="959"/>
      <c r="K47" s="950"/>
      <c r="L47" s="959"/>
      <c r="M47" s="959"/>
      <c r="N47" s="959"/>
      <c r="O47" s="959"/>
      <c r="P47" s="950"/>
      <c r="Q47" s="959"/>
      <c r="R47" s="959"/>
      <c r="S47" s="959"/>
      <c r="T47" s="959"/>
      <c r="U47" s="950"/>
      <c r="V47" s="959"/>
      <c r="W47" s="959"/>
      <c r="X47" s="959"/>
      <c r="Y47" s="959"/>
      <c r="Z47" s="958"/>
      <c r="AA47" s="959"/>
      <c r="AB47" s="959"/>
      <c r="AC47" s="959"/>
      <c r="AD47" s="959"/>
      <c r="AE47" s="950"/>
      <c r="AF47" s="959"/>
      <c r="AG47" s="959"/>
      <c r="AH47" s="959"/>
      <c r="AI47" s="959"/>
      <c r="AJ47" s="950"/>
      <c r="AK47" s="959"/>
      <c r="AL47" s="959"/>
      <c r="AM47" s="959"/>
      <c r="AN47" s="959"/>
      <c r="AO47" s="958">
        <v>20.061</v>
      </c>
      <c r="AP47" s="959">
        <v>6</v>
      </c>
      <c r="AQ47" s="959">
        <v>8</v>
      </c>
      <c r="AR47" s="959">
        <v>9</v>
      </c>
      <c r="AS47" s="959">
        <f>31.129-SUM(AP47:AR47)</f>
        <v>8.1290000000000013</v>
      </c>
      <c r="AT47" s="950">
        <f>+SUM(AP47:AS47)</f>
        <v>31.129000000000001</v>
      </c>
      <c r="AU47" s="959">
        <v>8.4670000000000005</v>
      </c>
      <c r="AV47" s="959">
        <v>8.4469999999999992</v>
      </c>
      <c r="AW47" s="959">
        <v>8.4510000000000005</v>
      </c>
      <c r="AX47" s="959">
        <f>1.249+5.91</f>
        <v>7.1590000000000007</v>
      </c>
      <c r="AY47" s="950">
        <f>+SUM(AU47:AX47)</f>
        <v>32.524000000000001</v>
      </c>
      <c r="AZ47" s="959">
        <v>3.83</v>
      </c>
      <c r="BA47" s="959">
        <v>3.5430000000000001</v>
      </c>
      <c r="BB47" s="959">
        <v>19.47</v>
      </c>
      <c r="BC47" s="959">
        <v>19.515000000000001</v>
      </c>
      <c r="BD47" s="950">
        <f>+SUM(AZ47:BC47)</f>
        <v>46.358000000000004</v>
      </c>
      <c r="BE47" s="959">
        <v>21.535</v>
      </c>
      <c r="BF47" s="959">
        <v>21.023</v>
      </c>
      <c r="BG47" s="959">
        <v>19.965</v>
      </c>
      <c r="BH47" s="959">
        <v>20.289000000000001</v>
      </c>
      <c r="BI47" s="950">
        <f>+SUM(BE47:BH47)</f>
        <v>82.811999999999998</v>
      </c>
      <c r="BJ47" s="959">
        <f>20.128</f>
        <v>20.128</v>
      </c>
      <c r="BK47" s="959">
        <v>19.992999999999999</v>
      </c>
      <c r="BL47" s="959">
        <v>20.013999999999999</v>
      </c>
      <c r="BM47" s="959">
        <v>20.140999999999998</v>
      </c>
      <c r="BN47" s="950">
        <f>+SUM(BJ47:BM47)</f>
        <v>80.275999999999982</v>
      </c>
      <c r="BO47" s="959">
        <v>20.085999999999999</v>
      </c>
      <c r="BP47" s="959">
        <v>20.143000000000001</v>
      </c>
      <c r="BQ47" s="959">
        <v>5.6109999999999998</v>
      </c>
      <c r="BR47" s="959">
        <v>5.6050000000000004</v>
      </c>
      <c r="BS47" s="950">
        <f>+SUM(BO47:BR47)</f>
        <v>51.444999999999993</v>
      </c>
      <c r="BT47" s="959">
        <v>5.6109999999999998</v>
      </c>
      <c r="BU47" s="945">
        <v>5.6110000000000024</v>
      </c>
      <c r="BV47" s="945">
        <v>5.6110000000000024</v>
      </c>
      <c r="BW47" s="945">
        <v>5.6110000000000024</v>
      </c>
      <c r="BX47" s="950">
        <f>+SUM(BT47:BW47)</f>
        <v>22.44400000000001</v>
      </c>
      <c r="BY47" s="945">
        <v>5.6110000000000024</v>
      </c>
      <c r="BZ47" s="945">
        <v>5.6110000000000024</v>
      </c>
      <c r="CA47" s="945">
        <v>5.6110000000000024</v>
      </c>
      <c r="CB47" s="945">
        <v>5.6110000000000024</v>
      </c>
      <c r="CC47" s="950">
        <f>+SUM(BY47:CB47)</f>
        <v>22.44400000000001</v>
      </c>
      <c r="CD47" s="945">
        <v>4.4248222030054096</v>
      </c>
      <c r="CE47" s="945">
        <v>4.4248222030054096</v>
      </c>
      <c r="CF47" s="945">
        <v>4.4248222030054096</v>
      </c>
      <c r="CG47" s="945">
        <v>4.4248222030054096</v>
      </c>
      <c r="CH47" s="950">
        <f>+SUM(CD47:CG47)</f>
        <v>17.699288812021639</v>
      </c>
      <c r="CI47" s="945">
        <v>4.4248222030054096</v>
      </c>
      <c r="CJ47" s="945">
        <v>4.4248222030054096</v>
      </c>
      <c r="CK47" s="945">
        <v>4.4248222030054096</v>
      </c>
      <c r="CL47" s="945">
        <v>4.4248222030054096</v>
      </c>
      <c r="CM47" s="950">
        <f>+SUM(CI47:CL47)</f>
        <v>17.699288812021639</v>
      </c>
      <c r="CN47" s="945">
        <v>4.4248222030054096</v>
      </c>
      <c r="CO47" s="945">
        <v>4.4248222030054096</v>
      </c>
      <c r="CP47" s="945">
        <v>4.4248222030054096</v>
      </c>
      <c r="CQ47" s="945">
        <v>4.4248222030054096</v>
      </c>
      <c r="CR47" s="950">
        <f>+SUM(CN47:CQ47)</f>
        <v>17.699288812021639</v>
      </c>
      <c r="CT47" s="976"/>
      <c r="CU47" s="976"/>
      <c r="CW47" s="943">
        <f t="shared" si="27"/>
        <v>0</v>
      </c>
      <c r="CX47" s="943">
        <f t="shared" si="28"/>
        <v>20.061</v>
      </c>
      <c r="CY47" s="943">
        <f t="shared" si="29"/>
        <v>0</v>
      </c>
      <c r="CZ47" s="943">
        <f t="shared" si="30"/>
        <v>0</v>
      </c>
      <c r="DA47" s="943">
        <f t="shared" si="31"/>
        <v>0</v>
      </c>
      <c r="DB47" s="943">
        <f t="shared" si="32"/>
        <v>0</v>
      </c>
      <c r="DC47" s="943">
        <f t="shared" si="33"/>
        <v>0</v>
      </c>
      <c r="DD47" s="943">
        <f t="shared" si="34"/>
        <v>0</v>
      </c>
      <c r="DE47" s="943">
        <f t="shared" si="35"/>
        <v>0</v>
      </c>
      <c r="DF47" s="943">
        <f t="shared" si="36"/>
        <v>0</v>
      </c>
      <c r="DG47" s="943">
        <f t="shared" si="37"/>
        <v>0</v>
      </c>
      <c r="DH47" s="943">
        <f t="shared" si="38"/>
        <v>0</v>
      </c>
      <c r="DI47" s="943">
        <f t="shared" si="39"/>
        <v>0</v>
      </c>
    </row>
    <row r="48" spans="1:113" ht="12" customHeight="1" outlineLevel="1">
      <c r="A48" s="972" t="s">
        <v>978</v>
      </c>
      <c r="B48" s="794"/>
      <c r="C48" s="794"/>
      <c r="D48" s="794"/>
      <c r="E48" s="794"/>
      <c r="F48" s="795"/>
      <c r="G48" s="949"/>
      <c r="H48" s="949"/>
      <c r="I48" s="949"/>
      <c r="J48" s="949"/>
      <c r="K48" s="950"/>
      <c r="L48" s="949"/>
      <c r="M48" s="949"/>
      <c r="N48" s="949"/>
      <c r="O48" s="949"/>
      <c r="P48" s="950"/>
      <c r="Q48" s="949"/>
      <c r="R48" s="949"/>
      <c r="S48" s="949"/>
      <c r="T48" s="949"/>
      <c r="U48" s="950"/>
      <c r="V48" s="949"/>
      <c r="W48" s="949"/>
      <c r="X48" s="949"/>
      <c r="Y48" s="949"/>
      <c r="Z48" s="950"/>
      <c r="AA48" s="949"/>
      <c r="AB48" s="949"/>
      <c r="AC48" s="949"/>
      <c r="AD48" s="949"/>
      <c r="AE48" s="950"/>
      <c r="AF48" s="949"/>
      <c r="AG48" s="949"/>
      <c r="AH48" s="949"/>
      <c r="AI48" s="949"/>
      <c r="AJ48" s="950"/>
      <c r="AK48" s="949"/>
      <c r="AL48" s="949"/>
      <c r="AM48" s="949"/>
      <c r="AN48" s="949"/>
      <c r="AO48" s="950">
        <f t="shared" ref="AO48:CR48" si="40">+AO28+AO34+AO40+AO46+AO47</f>
        <v>140.56</v>
      </c>
      <c r="AP48" s="949">
        <f t="shared" si="40"/>
        <v>41</v>
      </c>
      <c r="AQ48" s="949">
        <f t="shared" si="40"/>
        <v>73</v>
      </c>
      <c r="AR48" s="949">
        <f t="shared" si="40"/>
        <v>56.139999999999993</v>
      </c>
      <c r="AS48" s="949">
        <f t="shared" si="40"/>
        <v>54.983999999999995</v>
      </c>
      <c r="AT48" s="950">
        <f t="shared" si="40"/>
        <v>225.124</v>
      </c>
      <c r="AU48" s="949">
        <f t="shared" si="40"/>
        <v>48.54</v>
      </c>
      <c r="AV48" s="949">
        <f t="shared" si="40"/>
        <v>46.674000000000007</v>
      </c>
      <c r="AW48" s="949">
        <f t="shared" si="40"/>
        <v>52.029000000000003</v>
      </c>
      <c r="AX48" s="949">
        <f t="shared" si="40"/>
        <v>83.492000000000004</v>
      </c>
      <c r="AY48" s="950">
        <f t="shared" si="40"/>
        <v>230.73500000000001</v>
      </c>
      <c r="AZ48" s="949">
        <f t="shared" si="40"/>
        <v>55.54</v>
      </c>
      <c r="BA48" s="949">
        <f t="shared" si="40"/>
        <v>51.5</v>
      </c>
      <c r="BB48" s="949">
        <f t="shared" si="40"/>
        <v>118.65799999999999</v>
      </c>
      <c r="BC48" s="949">
        <f t="shared" si="40"/>
        <v>94.906999999999996</v>
      </c>
      <c r="BD48" s="950">
        <f t="shared" si="40"/>
        <v>320.60500000000002</v>
      </c>
      <c r="BE48" s="949">
        <f t="shared" si="40"/>
        <v>95.361999999999995</v>
      </c>
      <c r="BF48" s="949">
        <f t="shared" si="40"/>
        <v>613.10600000000011</v>
      </c>
      <c r="BG48" s="949">
        <f t="shared" si="40"/>
        <v>90.394000000000005</v>
      </c>
      <c r="BH48" s="949">
        <f t="shared" si="40"/>
        <v>475.82499999999993</v>
      </c>
      <c r="BI48" s="960">
        <f t="shared" si="40"/>
        <v>1274.6869999999999</v>
      </c>
      <c r="BJ48" s="949">
        <f t="shared" si="40"/>
        <v>502.10700000000003</v>
      </c>
      <c r="BK48" s="949">
        <f t="shared" si="40"/>
        <v>105.05699999999999</v>
      </c>
      <c r="BL48" s="949">
        <f t="shared" si="40"/>
        <v>809.98200000000008</v>
      </c>
      <c r="BM48" s="813">
        <f t="shared" si="40"/>
        <v>94.152999999999992</v>
      </c>
      <c r="BN48" s="960">
        <f t="shared" si="40"/>
        <v>1511.2990000000002</v>
      </c>
      <c r="BO48" s="949">
        <f t="shared" si="40"/>
        <v>89.504999999999995</v>
      </c>
      <c r="BP48" s="949">
        <f t="shared" si="40"/>
        <v>89.746000000000009</v>
      </c>
      <c r="BQ48" s="949">
        <f t="shared" si="40"/>
        <v>450.51700000000005</v>
      </c>
      <c r="BR48" s="813">
        <f t="shared" si="40"/>
        <v>322.29100000000005</v>
      </c>
      <c r="BS48" s="960">
        <f t="shared" si="40"/>
        <v>952.05899999999997</v>
      </c>
      <c r="BT48" s="949">
        <f t="shared" si="40"/>
        <v>76.038000000000011</v>
      </c>
      <c r="BU48" s="813">
        <f t="shared" si="40"/>
        <v>74.480294837135048</v>
      </c>
      <c r="BV48" s="813">
        <f t="shared" si="40"/>
        <v>75.311611438390159</v>
      </c>
      <c r="BW48" s="813">
        <f t="shared" si="40"/>
        <v>70.552599191741066</v>
      </c>
      <c r="BX48" s="960">
        <f t="shared" si="40"/>
        <v>296.3825054672663</v>
      </c>
      <c r="BY48" s="813">
        <f t="shared" si="40"/>
        <v>74.223286116170783</v>
      </c>
      <c r="BZ48" s="813">
        <f t="shared" si="40"/>
        <v>78.10996088959746</v>
      </c>
      <c r="CA48" s="813">
        <f t="shared" si="40"/>
        <v>78.5816225409976</v>
      </c>
      <c r="CB48" s="813">
        <f t="shared" si="40"/>
        <v>72.74246367687293</v>
      </c>
      <c r="CC48" s="960">
        <f t="shared" si="40"/>
        <v>303.65733322363877</v>
      </c>
      <c r="CD48" s="813">
        <f t="shared" si="40"/>
        <v>75.29174209905095</v>
      </c>
      <c r="CE48" s="813">
        <f t="shared" si="40"/>
        <v>79.33378892329641</v>
      </c>
      <c r="CF48" s="813">
        <f t="shared" si="40"/>
        <v>80.067549359647231</v>
      </c>
      <c r="CG48" s="813">
        <f t="shared" si="40"/>
        <v>74.166594874217665</v>
      </c>
      <c r="CH48" s="960">
        <f t="shared" si="40"/>
        <v>308.85967525621226</v>
      </c>
      <c r="CI48" s="813">
        <f t="shared" si="40"/>
        <v>78.720877032164807</v>
      </c>
      <c r="CJ48" s="813">
        <f t="shared" si="40"/>
        <v>82.589485636891283</v>
      </c>
      <c r="CK48" s="813">
        <f t="shared" si="40"/>
        <v>83.284655757114265</v>
      </c>
      <c r="CL48" s="813">
        <f t="shared" si="40"/>
        <v>77.078094131039379</v>
      </c>
      <c r="CM48" s="960">
        <f t="shared" si="40"/>
        <v>321.67311255720972</v>
      </c>
      <c r="CN48" s="813">
        <f t="shared" si="40"/>
        <v>82.037202282799029</v>
      </c>
      <c r="CO48" s="813">
        <f t="shared" si="40"/>
        <v>85.783596861156198</v>
      </c>
      <c r="CP48" s="813">
        <f t="shared" si="40"/>
        <v>86.560892200892269</v>
      </c>
      <c r="CQ48" s="813">
        <f t="shared" si="40"/>
        <v>80.141077751890862</v>
      </c>
      <c r="CR48" s="960">
        <f t="shared" si="40"/>
        <v>334.52276909673839</v>
      </c>
      <c r="CT48" s="976"/>
      <c r="CU48" s="976"/>
      <c r="CW48" s="943">
        <f t="shared" si="27"/>
        <v>0</v>
      </c>
      <c r="CX48" s="943">
        <f t="shared" si="28"/>
        <v>140.56</v>
      </c>
      <c r="CY48" s="943">
        <f t="shared" si="29"/>
        <v>0</v>
      </c>
      <c r="CZ48" s="943">
        <f t="shared" si="30"/>
        <v>0</v>
      </c>
      <c r="DA48" s="943">
        <f t="shared" si="31"/>
        <v>0</v>
      </c>
      <c r="DB48" s="943">
        <f t="shared" si="32"/>
        <v>0</v>
      </c>
      <c r="DC48" s="943">
        <f t="shared" si="33"/>
        <v>0</v>
      </c>
      <c r="DD48" s="943">
        <f t="shared" si="34"/>
        <v>0</v>
      </c>
      <c r="DE48" s="943">
        <f t="shared" si="35"/>
        <v>0</v>
      </c>
      <c r="DF48" s="943">
        <f t="shared" si="36"/>
        <v>0</v>
      </c>
      <c r="DG48" s="943">
        <f t="shared" si="37"/>
        <v>0</v>
      </c>
      <c r="DH48" s="943">
        <f t="shared" si="38"/>
        <v>0</v>
      </c>
      <c r="DI48" s="943">
        <f t="shared" si="39"/>
        <v>0</v>
      </c>
    </row>
    <row r="49" spans="1:113" ht="12" customHeight="1" outlineLevel="1">
      <c r="A49" s="947" t="s">
        <v>971</v>
      </c>
      <c r="B49" s="794"/>
      <c r="C49" s="794"/>
      <c r="D49" s="794"/>
      <c r="E49" s="794"/>
      <c r="F49" s="795"/>
      <c r="G49" s="949"/>
      <c r="H49" s="949"/>
      <c r="I49" s="949"/>
      <c r="J49" s="949"/>
      <c r="K49" s="950"/>
      <c r="L49" s="949"/>
      <c r="M49" s="949"/>
      <c r="N49" s="949"/>
      <c r="O49" s="949"/>
      <c r="P49" s="950"/>
      <c r="Q49" s="949"/>
      <c r="R49" s="949"/>
      <c r="S49" s="949"/>
      <c r="T49" s="949"/>
      <c r="U49" s="950"/>
      <c r="V49" s="949"/>
      <c r="W49" s="949"/>
      <c r="X49" s="949"/>
      <c r="Y49" s="949"/>
      <c r="Z49" s="958"/>
      <c r="AA49" s="949"/>
      <c r="AB49" s="949"/>
      <c r="AC49" s="949"/>
      <c r="AD49" s="949"/>
      <c r="AE49" s="950"/>
      <c r="AF49" s="949"/>
      <c r="AG49" s="949"/>
      <c r="AH49" s="949"/>
      <c r="AI49" s="949"/>
      <c r="AJ49" s="950"/>
      <c r="AK49" s="949"/>
      <c r="AL49" s="949"/>
      <c r="AM49" s="949"/>
      <c r="AN49" s="949"/>
      <c r="AO49" s="950">
        <f t="shared" ref="AO49:BG50" si="41">+AO29+AO35+AO41+AO46+AO21</f>
        <v>15.257999999999999</v>
      </c>
      <c r="AP49" s="949">
        <f t="shared" si="41"/>
        <v>1.587</v>
      </c>
      <c r="AQ49" s="949">
        <f t="shared" si="41"/>
        <v>16.587</v>
      </c>
      <c r="AR49" s="949">
        <f t="shared" si="41"/>
        <v>4.5869999999999997</v>
      </c>
      <c r="AS49" s="949">
        <f t="shared" si="41"/>
        <v>2.2959999999999972</v>
      </c>
      <c r="AT49" s="950">
        <f t="shared" si="41"/>
        <v>25.056999999999995</v>
      </c>
      <c r="AU49" s="949">
        <f t="shared" si="41"/>
        <v>3.3679999999999999</v>
      </c>
      <c r="AV49" s="949">
        <f t="shared" si="41"/>
        <v>2.0179999999999998</v>
      </c>
      <c r="AW49" s="949">
        <f t="shared" si="41"/>
        <v>5.968</v>
      </c>
      <c r="AX49" s="949">
        <f t="shared" si="41"/>
        <v>15.108000000000001</v>
      </c>
      <c r="AY49" s="950">
        <f t="shared" si="41"/>
        <v>26.462</v>
      </c>
      <c r="AZ49" s="949">
        <f t="shared" si="41"/>
        <v>32.28</v>
      </c>
      <c r="BA49" s="949">
        <f t="shared" si="41"/>
        <v>21.376999999999999</v>
      </c>
      <c r="BB49" s="949">
        <f t="shared" si="41"/>
        <v>43.61</v>
      </c>
      <c r="BC49" s="949">
        <f t="shared" si="41"/>
        <v>21.257000000000005</v>
      </c>
      <c r="BD49" s="950">
        <f t="shared" si="41"/>
        <v>118.524</v>
      </c>
      <c r="BE49" s="949">
        <f t="shared" si="41"/>
        <v>6.7640000000000002</v>
      </c>
      <c r="BF49" s="949">
        <f t="shared" si="41"/>
        <v>522.69600000000003</v>
      </c>
      <c r="BG49" s="949">
        <f t="shared" si="41"/>
        <v>4.6689999999999996</v>
      </c>
      <c r="BH49" s="949">
        <f>+BH29+BH35+BH41+BH46+BH21</f>
        <v>390.334</v>
      </c>
      <c r="BI49" s="977">
        <f t="shared" ref="BI49:CR49" si="42">+BI29+BI35+BI41+BI46+BI21</f>
        <v>924.46300000000008</v>
      </c>
      <c r="BJ49" s="949">
        <f t="shared" si="42"/>
        <v>411.03000000000003</v>
      </c>
      <c r="BK49" s="949">
        <f t="shared" si="42"/>
        <v>2.3419999999999996</v>
      </c>
      <c r="BL49" s="949">
        <f t="shared" si="42"/>
        <v>724.93400000000008</v>
      </c>
      <c r="BM49" s="813">
        <f t="shared" si="42"/>
        <v>5.6499999999999995</v>
      </c>
      <c r="BN49" s="977">
        <f t="shared" si="42"/>
        <v>1143.9560000000001</v>
      </c>
      <c r="BO49" s="949">
        <f t="shared" si="42"/>
        <v>1.1830000000000001</v>
      </c>
      <c r="BP49" s="949">
        <f t="shared" si="42"/>
        <v>2.62</v>
      </c>
      <c r="BQ49" s="949">
        <f t="shared" si="42"/>
        <v>379.98700000000002</v>
      </c>
      <c r="BR49" s="813">
        <f t="shared" si="42"/>
        <v>255.51600000000002</v>
      </c>
      <c r="BS49" s="977">
        <f t="shared" si="42"/>
        <v>639.30600000000004</v>
      </c>
      <c r="BT49" s="949">
        <f t="shared" si="42"/>
        <v>5.8850000000000007</v>
      </c>
      <c r="BU49" s="978">
        <f t="shared" si="42"/>
        <v>0</v>
      </c>
      <c r="BV49" s="978">
        <f t="shared" si="42"/>
        <v>0</v>
      </c>
      <c r="BW49" s="978">
        <f t="shared" si="42"/>
        <v>0</v>
      </c>
      <c r="BX49" s="977">
        <f t="shared" si="42"/>
        <v>5.8850000000000007</v>
      </c>
      <c r="BY49" s="978">
        <f t="shared" si="42"/>
        <v>0</v>
      </c>
      <c r="BZ49" s="978">
        <f t="shared" si="42"/>
        <v>0</v>
      </c>
      <c r="CA49" s="978">
        <f t="shared" si="42"/>
        <v>0</v>
      </c>
      <c r="CB49" s="978">
        <f t="shared" si="42"/>
        <v>0</v>
      </c>
      <c r="CC49" s="977">
        <f t="shared" si="42"/>
        <v>0</v>
      </c>
      <c r="CD49" s="978">
        <f t="shared" si="42"/>
        <v>0</v>
      </c>
      <c r="CE49" s="978">
        <f t="shared" si="42"/>
        <v>0</v>
      </c>
      <c r="CF49" s="978">
        <f t="shared" si="42"/>
        <v>0</v>
      </c>
      <c r="CG49" s="978">
        <f t="shared" si="42"/>
        <v>0</v>
      </c>
      <c r="CH49" s="977">
        <f t="shared" si="42"/>
        <v>0</v>
      </c>
      <c r="CI49" s="978">
        <f t="shared" si="42"/>
        <v>0</v>
      </c>
      <c r="CJ49" s="978">
        <f t="shared" si="42"/>
        <v>0</v>
      </c>
      <c r="CK49" s="978">
        <f t="shared" si="42"/>
        <v>0</v>
      </c>
      <c r="CL49" s="978">
        <f t="shared" si="42"/>
        <v>0</v>
      </c>
      <c r="CM49" s="977">
        <f t="shared" si="42"/>
        <v>0</v>
      </c>
      <c r="CN49" s="978">
        <f t="shared" si="42"/>
        <v>0</v>
      </c>
      <c r="CO49" s="978">
        <f t="shared" si="42"/>
        <v>0</v>
      </c>
      <c r="CP49" s="978">
        <f t="shared" si="42"/>
        <v>0</v>
      </c>
      <c r="CQ49" s="978">
        <f t="shared" si="42"/>
        <v>0</v>
      </c>
      <c r="CR49" s="977">
        <f t="shared" si="42"/>
        <v>0</v>
      </c>
      <c r="CT49" s="976"/>
      <c r="CU49" s="976"/>
      <c r="CW49" s="943">
        <f t="shared" si="27"/>
        <v>0</v>
      </c>
      <c r="CX49" s="943">
        <f t="shared" si="28"/>
        <v>15.257999999999999</v>
      </c>
      <c r="CY49" s="943">
        <f t="shared" si="29"/>
        <v>0</v>
      </c>
      <c r="CZ49" s="943">
        <f t="shared" si="30"/>
        <v>0</v>
      </c>
      <c r="DA49" s="943">
        <f t="shared" si="31"/>
        <v>0</v>
      </c>
      <c r="DB49" s="943">
        <f t="shared" si="32"/>
        <v>0</v>
      </c>
      <c r="DC49" s="943">
        <f t="shared" si="33"/>
        <v>0</v>
      </c>
      <c r="DD49" s="943">
        <f t="shared" si="34"/>
        <v>0</v>
      </c>
      <c r="DE49" s="943">
        <f t="shared" si="35"/>
        <v>0</v>
      </c>
      <c r="DF49" s="943">
        <f t="shared" si="36"/>
        <v>0</v>
      </c>
      <c r="DG49" s="943">
        <f t="shared" si="37"/>
        <v>0</v>
      </c>
      <c r="DH49" s="943">
        <f t="shared" si="38"/>
        <v>0</v>
      </c>
      <c r="DI49" s="943">
        <f t="shared" si="39"/>
        <v>0</v>
      </c>
    </row>
    <row r="50" spans="1:113" ht="12" customHeight="1" outlineLevel="1">
      <c r="A50" s="947" t="s">
        <v>713</v>
      </c>
      <c r="B50" s="794"/>
      <c r="C50" s="794"/>
      <c r="D50" s="794"/>
      <c r="E50" s="794"/>
      <c r="F50" s="795"/>
      <c r="G50" s="949"/>
      <c r="H50" s="949"/>
      <c r="I50" s="949"/>
      <c r="J50" s="949"/>
      <c r="K50" s="950"/>
      <c r="L50" s="949"/>
      <c r="M50" s="949"/>
      <c r="N50" s="949"/>
      <c r="O50" s="949"/>
      <c r="P50" s="950"/>
      <c r="Q50" s="949"/>
      <c r="R50" s="949"/>
      <c r="S50" s="949"/>
      <c r="T50" s="949"/>
      <c r="U50" s="950"/>
      <c r="V50" s="949"/>
      <c r="W50" s="949"/>
      <c r="X50" s="949"/>
      <c r="Y50" s="949"/>
      <c r="Z50" s="950"/>
      <c r="AA50" s="949"/>
      <c r="AB50" s="949"/>
      <c r="AC50" s="949"/>
      <c r="AD50" s="949"/>
      <c r="AE50" s="950"/>
      <c r="AF50" s="949"/>
      <c r="AG50" s="949"/>
      <c r="AH50" s="949"/>
      <c r="AI50" s="949"/>
      <c r="AJ50" s="950"/>
      <c r="AK50" s="949"/>
      <c r="AL50" s="949"/>
      <c r="AM50" s="949"/>
      <c r="AN50" s="949"/>
      <c r="AO50" s="950">
        <f t="shared" si="41"/>
        <v>34.347999999999999</v>
      </c>
      <c r="AP50" s="949">
        <f t="shared" si="41"/>
        <v>11</v>
      </c>
      <c r="AQ50" s="949">
        <f t="shared" si="41"/>
        <v>15</v>
      </c>
      <c r="AR50" s="949">
        <f t="shared" si="41"/>
        <v>18</v>
      </c>
      <c r="AS50" s="949">
        <f t="shared" si="41"/>
        <v>16.416</v>
      </c>
      <c r="AT50" s="950">
        <f t="shared" si="41"/>
        <v>60.415999999999997</v>
      </c>
      <c r="AU50" s="949">
        <f t="shared" si="41"/>
        <v>16.978000000000002</v>
      </c>
      <c r="AV50" s="949">
        <f t="shared" si="41"/>
        <v>16.888000000000002</v>
      </c>
      <c r="AW50" s="949">
        <f t="shared" si="41"/>
        <v>17.309999999999999</v>
      </c>
      <c r="AX50" s="949">
        <f t="shared" si="41"/>
        <v>18.480999999999995</v>
      </c>
      <c r="AY50" s="950">
        <f t="shared" si="41"/>
        <v>69.656999999999996</v>
      </c>
      <c r="AZ50" s="949">
        <f t="shared" si="41"/>
        <v>20.204999999999998</v>
      </c>
      <c r="BA50" s="949">
        <f t="shared" si="41"/>
        <v>20.795000000000002</v>
      </c>
      <c r="BB50" s="949">
        <f t="shared" si="41"/>
        <v>50.496000000000002</v>
      </c>
      <c r="BC50" s="949">
        <f t="shared" si="41"/>
        <v>51.112999999999985</v>
      </c>
      <c r="BD50" s="950">
        <f t="shared" si="41"/>
        <v>142.60899999999998</v>
      </c>
      <c r="BE50" s="949">
        <f t="shared" si="41"/>
        <v>53.296999999999997</v>
      </c>
      <c r="BF50" s="979">
        <f t="shared" si="41"/>
        <v>54.082999999999998</v>
      </c>
      <c r="BG50" s="949">
        <f t="shared" si="41"/>
        <v>52.451000000000001</v>
      </c>
      <c r="BH50" s="949">
        <f t="shared" ref="BH50" si="43">+BH30+BH36+BH42+BH47+BH22</f>
        <v>53.42900000000003</v>
      </c>
      <c r="BI50" s="960">
        <f>+SUM(BE50:BH50)</f>
        <v>213.26000000000002</v>
      </c>
      <c r="BJ50" s="949">
        <f>+BJ30+BJ36+BJ42+BJ47+BJ22</f>
        <v>53.319000000000003</v>
      </c>
      <c r="BK50" s="949">
        <f>+BK30+BK36+BK42+BK47+BK22</f>
        <v>53.84899999999999</v>
      </c>
      <c r="BL50" s="949">
        <f>+BL30+BL36+BL42+BL47+BL22</f>
        <v>53.59</v>
      </c>
      <c r="BM50" s="813">
        <f>+BM30+BM36+BM42+BM47+BM22</f>
        <v>53.969000000000023</v>
      </c>
      <c r="BN50" s="960">
        <f>+SUM(BJ50:BM50)</f>
        <v>214.727</v>
      </c>
      <c r="BO50" s="949">
        <f>+BO30+BO36+BO42+BO47+BO22</f>
        <v>53.604999999999997</v>
      </c>
      <c r="BP50" s="949">
        <f>+BP30+BP36+BP42+BP47+BP22</f>
        <v>53.453000000000003</v>
      </c>
      <c r="BQ50" s="949">
        <f>+BQ30+BQ36+BQ42+BQ47+BQ22</f>
        <v>37.838000000000008</v>
      </c>
      <c r="BR50" s="813">
        <f>+BR30+BR36+BR42+BR47+BR22</f>
        <v>37.079000000000022</v>
      </c>
      <c r="BS50" s="960">
        <f>+SUM(BO50:BR50)</f>
        <v>181.97500000000002</v>
      </c>
      <c r="BT50" s="949">
        <f>+BT30+BT36+BT42+BT47+BT22</f>
        <v>36.698</v>
      </c>
      <c r="BU50" s="978">
        <v>37.735946079156221</v>
      </c>
      <c r="BV50" s="978">
        <v>37.98919441223444</v>
      </c>
      <c r="BW50" s="978">
        <v>38.260726142937315</v>
      </c>
      <c r="BX50" s="960">
        <f>+SUM(BT50:BW50)</f>
        <v>150.68386663432796</v>
      </c>
      <c r="BY50" s="978">
        <v>37.248823843272753</v>
      </c>
      <c r="BZ50" s="978">
        <v>37.4729181227952</v>
      </c>
      <c r="CA50" s="978">
        <v>37.698831874213887</v>
      </c>
      <c r="CB50" s="978">
        <v>37.94820901263941</v>
      </c>
      <c r="CC50" s="960">
        <f>+SUM(BY50:CB50)</f>
        <v>150.36878285292124</v>
      </c>
      <c r="CD50" s="978">
        <v>30.827907234775626</v>
      </c>
      <c r="CE50" s="978">
        <v>31.029500999527968</v>
      </c>
      <c r="CF50" s="978">
        <v>31.233491664247179</v>
      </c>
      <c r="CG50" s="978">
        <v>31.458156585346146</v>
      </c>
      <c r="CH50" s="960">
        <f>+SUM(CD50:CG50)</f>
        <v>124.54905648389692</v>
      </c>
      <c r="CI50" s="978">
        <v>30.396608237815755</v>
      </c>
      <c r="CJ50" s="978">
        <v>30.573901404076842</v>
      </c>
      <c r="CK50" s="978">
        <v>30.753910430707787</v>
      </c>
      <c r="CL50" s="978">
        <v>30.952206873991084</v>
      </c>
      <c r="CM50" s="960">
        <f>+SUM(CI50:CL50)</f>
        <v>122.67662694659147</v>
      </c>
      <c r="CN50" s="978">
        <v>30.087514785919581</v>
      </c>
      <c r="CO50" s="978">
        <v>30.246507028518099</v>
      </c>
      <c r="CP50" s="978">
        <v>30.408811780961365</v>
      </c>
      <c r="CQ50" s="978">
        <v>30.58719866565712</v>
      </c>
      <c r="CR50" s="960">
        <f>+SUM(CN50:CQ50)</f>
        <v>121.33003226105618</v>
      </c>
      <c r="CT50" s="976"/>
      <c r="CU50" s="976"/>
      <c r="CW50" s="943">
        <f t="shared" si="27"/>
        <v>0</v>
      </c>
      <c r="CX50" s="943">
        <f t="shared" si="28"/>
        <v>34.347999999999999</v>
      </c>
      <c r="CY50" s="943">
        <f t="shared" si="29"/>
        <v>0</v>
      </c>
      <c r="CZ50" s="943">
        <f t="shared" si="30"/>
        <v>0</v>
      </c>
      <c r="DA50" s="943">
        <f t="shared" si="31"/>
        <v>0</v>
      </c>
      <c r="DB50" s="943">
        <f t="shared" si="32"/>
        <v>0</v>
      </c>
      <c r="DC50" s="943">
        <f t="shared" si="33"/>
        <v>0</v>
      </c>
      <c r="DD50" s="943">
        <f t="shared" si="34"/>
        <v>0</v>
      </c>
      <c r="DE50" s="943">
        <f t="shared" si="35"/>
        <v>0</v>
      </c>
      <c r="DF50" s="943">
        <f t="shared" si="36"/>
        <v>0</v>
      </c>
      <c r="DG50" s="943">
        <f t="shared" si="37"/>
        <v>0</v>
      </c>
      <c r="DH50" s="943">
        <f t="shared" si="38"/>
        <v>0</v>
      </c>
      <c r="DI50" s="943">
        <f t="shared" si="39"/>
        <v>0</v>
      </c>
    </row>
    <row r="51" spans="1:113" ht="12" customHeight="1" outlineLevel="1">
      <c r="A51" s="947" t="s">
        <v>972</v>
      </c>
      <c r="B51" s="794"/>
      <c r="C51" s="794"/>
      <c r="D51" s="794"/>
      <c r="E51" s="794"/>
      <c r="F51" s="795"/>
      <c r="G51" s="949"/>
      <c r="H51" s="949"/>
      <c r="I51" s="949"/>
      <c r="J51" s="949"/>
      <c r="K51" s="950"/>
      <c r="L51" s="949"/>
      <c r="M51" s="949"/>
      <c r="N51" s="949"/>
      <c r="O51" s="949"/>
      <c r="P51" s="950"/>
      <c r="Q51" s="949"/>
      <c r="R51" s="949"/>
      <c r="S51" s="949"/>
      <c r="T51" s="949"/>
      <c r="U51" s="950"/>
      <c r="V51" s="949"/>
      <c r="W51" s="949"/>
      <c r="X51" s="949"/>
      <c r="Y51" s="949"/>
      <c r="Z51" s="958"/>
      <c r="AA51" s="949"/>
      <c r="AB51" s="949"/>
      <c r="AC51" s="949"/>
      <c r="AD51" s="949"/>
      <c r="AE51" s="950"/>
      <c r="AF51" s="949"/>
      <c r="AG51" s="949"/>
      <c r="AH51" s="949"/>
      <c r="AI51" s="949"/>
      <c r="AJ51" s="950"/>
      <c r="AK51" s="949"/>
      <c r="AL51" s="949"/>
      <c r="AM51" s="949"/>
      <c r="AN51" s="949"/>
      <c r="AO51" s="950">
        <f t="shared" ref="AO51:BH51" si="44">+AO31+AO37+AO43+AO24</f>
        <v>8.1660000000000004</v>
      </c>
      <c r="AP51" s="949">
        <f t="shared" si="44"/>
        <v>2</v>
      </c>
      <c r="AQ51" s="949">
        <f t="shared" si="44"/>
        <v>10</v>
      </c>
      <c r="AR51" s="949">
        <f t="shared" si="44"/>
        <v>3</v>
      </c>
      <c r="AS51" s="949">
        <f t="shared" si="44"/>
        <v>4.1669999999999998</v>
      </c>
      <c r="AT51" s="950">
        <f t="shared" si="44"/>
        <v>19.167000000000002</v>
      </c>
      <c r="AU51" s="949">
        <f t="shared" si="44"/>
        <v>2.2850000000000001</v>
      </c>
      <c r="AV51" s="949">
        <f t="shared" si="44"/>
        <v>2.036</v>
      </c>
      <c r="AW51" s="949">
        <f t="shared" si="44"/>
        <v>2.403</v>
      </c>
      <c r="AX51" s="949">
        <f t="shared" si="44"/>
        <v>34.393999999999998</v>
      </c>
      <c r="AY51" s="950">
        <f t="shared" si="44"/>
        <v>41.118000000000002</v>
      </c>
      <c r="AZ51" s="949">
        <f t="shared" si="44"/>
        <v>2.3969999999999998</v>
      </c>
      <c r="BA51" s="949">
        <f t="shared" si="44"/>
        <v>2.5369999999999999</v>
      </c>
      <c r="BB51" s="949">
        <f t="shared" si="44"/>
        <v>4.0269999999999992</v>
      </c>
      <c r="BC51" s="949">
        <f t="shared" si="44"/>
        <v>2.3319999999999999</v>
      </c>
      <c r="BD51" s="950">
        <f t="shared" si="44"/>
        <v>11.292999999999999</v>
      </c>
      <c r="BE51" s="949">
        <f t="shared" si="44"/>
        <v>3.206</v>
      </c>
      <c r="BF51" s="949">
        <f t="shared" si="44"/>
        <v>5.1539999999999999</v>
      </c>
      <c r="BG51" s="949">
        <f t="shared" si="44"/>
        <v>4.7969999999999997</v>
      </c>
      <c r="BH51" s="949">
        <f t="shared" si="44"/>
        <v>4.6429999999999989</v>
      </c>
      <c r="BI51" s="950">
        <f>+SUM(BE51:BH51)</f>
        <v>17.799999999999997</v>
      </c>
      <c r="BJ51" s="949">
        <f>+BJ31+BJ37+BJ43+BJ24</f>
        <v>4.46</v>
      </c>
      <c r="BK51" s="949">
        <f>+BK31+BK37+BK43+BK24</f>
        <v>7.4429999999999996</v>
      </c>
      <c r="BL51" s="949">
        <f>+BL31+BL37+BL43+BL24</f>
        <v>6.8410000000000002</v>
      </c>
      <c r="BM51" s="949">
        <f>+BM31+BM37+BM43+BM24</f>
        <v>8.4430000000000014</v>
      </c>
      <c r="BN51" s="980">
        <f>+SUM(BJ51:BM51)</f>
        <v>27.187000000000001</v>
      </c>
      <c r="BO51" s="949">
        <f>+BO31+BO37+BO43+BO24</f>
        <v>11.787000000000001</v>
      </c>
      <c r="BP51" s="949">
        <f>+BP31+BP37+BP43+BP24</f>
        <v>12.923000000000002</v>
      </c>
      <c r="BQ51" s="949">
        <f>+BQ31+BQ37+BQ43+BQ24</f>
        <v>10.414999999999997</v>
      </c>
      <c r="BR51" s="949">
        <f>+BR31+BR37+BR43+BR24</f>
        <v>9.3439999999999994</v>
      </c>
      <c r="BS51" s="950">
        <f>+SUM(BO51:BR51)</f>
        <v>44.469000000000001</v>
      </c>
      <c r="BT51" s="949">
        <f>+BT31+BT37+BT43+BT24</f>
        <v>11.250999999999999</v>
      </c>
      <c r="BU51" s="949">
        <f>+BU93*BU16</f>
        <v>12.780920632705268</v>
      </c>
      <c r="BV51" s="949">
        <f>+BV93*BV16</f>
        <v>10.404039784313078</v>
      </c>
      <c r="BW51" s="949">
        <f>+BW93*BW16</f>
        <v>9.4300738841221374</v>
      </c>
      <c r="BX51" s="950">
        <f>+SUM(BT51:BW51)</f>
        <v>43.866034301140481</v>
      </c>
      <c r="BY51" s="949">
        <f>+BY93*BY16</f>
        <v>11.505022547796736</v>
      </c>
      <c r="BZ51" s="949">
        <f>+BZ93*BZ16</f>
        <v>13.003182242830921</v>
      </c>
      <c r="CA51" s="949">
        <f>+CA93*CA16</f>
        <v>10.666655988200848</v>
      </c>
      <c r="CB51" s="949">
        <f>+CB93*CB16</f>
        <v>9.7107390560526046</v>
      </c>
      <c r="CC51" s="950">
        <f>+SUM(BY51:CB51)</f>
        <v>44.885599834881106</v>
      </c>
      <c r="CD51" s="949">
        <f>+CD93*CD16</f>
        <v>12.170081444012592</v>
      </c>
      <c r="CE51" s="949">
        <f>+CE93*CE16</f>
        <v>13.488045736044272</v>
      </c>
      <c r="CF51" s="949">
        <f>+CF93*CF16</f>
        <v>11.099284199627558</v>
      </c>
      <c r="CG51" s="949">
        <f>+CG93*CG16</f>
        <v>10.105691853694701</v>
      </c>
      <c r="CH51" s="950">
        <f>+SUM(CD51:CG51)</f>
        <v>46.863103233379128</v>
      </c>
      <c r="CI51" s="949">
        <f>+CI93*CI16</f>
        <v>12.907153205897039</v>
      </c>
      <c r="CJ51" s="949">
        <f>+CJ93*CJ16</f>
        <v>14.006233428252926</v>
      </c>
      <c r="CK51" s="949">
        <f>+CK93*CK16</f>
        <v>11.565451646007933</v>
      </c>
      <c r="CL51" s="949">
        <f>+CL93*CL16</f>
        <v>10.531342616362906</v>
      </c>
      <c r="CM51" s="950">
        <f>+SUM(CI51:CL51)</f>
        <v>49.010180896520808</v>
      </c>
      <c r="CN51" s="949">
        <f>+CN93*CN16</f>
        <v>13.697691652218088</v>
      </c>
      <c r="CO51" s="949">
        <f>+CO93*CO16</f>
        <v>14.530747915839802</v>
      </c>
      <c r="CP51" s="949">
        <f>+CP93*CP16</f>
        <v>12.069285223770645</v>
      </c>
      <c r="CQ51" s="949">
        <f>+CQ93*CQ16</f>
        <v>10.991472738044557</v>
      </c>
      <c r="CR51" s="950">
        <f>+SUM(CN51:CQ51)</f>
        <v>51.289197529873093</v>
      </c>
      <c r="CT51" s="976"/>
      <c r="CU51" s="976"/>
      <c r="CW51" s="943">
        <f t="shared" si="27"/>
        <v>0</v>
      </c>
      <c r="CX51" s="943">
        <f t="shared" si="28"/>
        <v>8.1660000000000004</v>
      </c>
      <c r="CY51" s="943">
        <f t="shared" si="29"/>
        <v>0</v>
      </c>
      <c r="CZ51" s="943">
        <f t="shared" si="30"/>
        <v>0</v>
      </c>
      <c r="DA51" s="943">
        <f t="shared" si="31"/>
        <v>0</v>
      </c>
      <c r="DB51" s="943">
        <f t="shared" si="32"/>
        <v>0</v>
      </c>
      <c r="DC51" s="943">
        <f t="shared" si="33"/>
        <v>0</v>
      </c>
      <c r="DD51" s="943">
        <f t="shared" si="34"/>
        <v>0</v>
      </c>
      <c r="DE51" s="943">
        <f t="shared" si="35"/>
        <v>0</v>
      </c>
      <c r="DF51" s="943">
        <f t="shared" si="36"/>
        <v>0</v>
      </c>
      <c r="DG51" s="943">
        <f t="shared" si="37"/>
        <v>0</v>
      </c>
      <c r="DH51" s="943">
        <f t="shared" si="38"/>
        <v>0</v>
      </c>
      <c r="DI51" s="943">
        <f t="shared" si="39"/>
        <v>0</v>
      </c>
    </row>
    <row r="52" spans="1:113" ht="12" customHeight="1" outlineLevel="1">
      <c r="A52" s="947" t="s">
        <v>31</v>
      </c>
      <c r="B52" s="794"/>
      <c r="C52" s="794"/>
      <c r="D52" s="794"/>
      <c r="E52" s="794"/>
      <c r="F52" s="795"/>
      <c r="G52" s="949"/>
      <c r="H52" s="949"/>
      <c r="I52" s="949"/>
      <c r="J52" s="949"/>
      <c r="K52" s="950"/>
      <c r="L52" s="949"/>
      <c r="M52" s="949"/>
      <c r="N52" s="949"/>
      <c r="O52" s="949"/>
      <c r="P52" s="950"/>
      <c r="Q52" s="949"/>
      <c r="R52" s="949"/>
      <c r="S52" s="949"/>
      <c r="T52" s="949"/>
      <c r="U52" s="950"/>
      <c r="V52" s="949"/>
      <c r="W52" s="949"/>
      <c r="X52" s="949"/>
      <c r="Y52" s="949"/>
      <c r="Z52" s="950"/>
      <c r="AA52" s="949"/>
      <c r="AB52" s="949"/>
      <c r="AC52" s="949"/>
      <c r="AD52" s="949"/>
      <c r="AE52" s="950"/>
      <c r="AF52" s="949"/>
      <c r="AG52" s="949"/>
      <c r="AH52" s="949"/>
      <c r="AI52" s="949"/>
      <c r="AJ52" s="950"/>
      <c r="AK52" s="949"/>
      <c r="AL52" s="949"/>
      <c r="AM52" s="949"/>
      <c r="AN52" s="949"/>
      <c r="AO52" s="950">
        <f>+AO23+AO25+AO32+AO38+AO44</f>
        <v>6.6550000000000002</v>
      </c>
      <c r="AP52" s="949">
        <f t="shared" ref="AP52:BH52" si="45">+AP23+AP25+AP32+AP38+AP44</f>
        <v>1.5529999999999999</v>
      </c>
      <c r="AQ52" s="949">
        <f t="shared" si="45"/>
        <v>1.5529999999999999</v>
      </c>
      <c r="AR52" s="949">
        <f t="shared" si="45"/>
        <v>0.77987499999999998</v>
      </c>
      <c r="AS52" s="949">
        <f t="shared" si="45"/>
        <v>2.3261249999999998</v>
      </c>
      <c r="AT52" s="950">
        <f t="shared" si="45"/>
        <v>6.2119999999999997</v>
      </c>
      <c r="AU52" s="949">
        <f t="shared" si="45"/>
        <v>0.54100000000000137</v>
      </c>
      <c r="AV52" s="949">
        <f t="shared" si="45"/>
        <v>0.22300000000000092</v>
      </c>
      <c r="AW52" s="949">
        <f t="shared" si="45"/>
        <v>2.381000000000002</v>
      </c>
      <c r="AX52" s="949">
        <f t="shared" si="45"/>
        <v>0.97800000000000309</v>
      </c>
      <c r="AY52" s="950">
        <f t="shared" si="45"/>
        <v>4.1230000000000073</v>
      </c>
      <c r="AZ52" s="949">
        <f t="shared" si="45"/>
        <v>1.6809999999999996</v>
      </c>
      <c r="BA52" s="949">
        <f t="shared" si="45"/>
        <v>1.7630000000000001</v>
      </c>
      <c r="BB52" s="949">
        <f t="shared" si="45"/>
        <v>2.198999999999999</v>
      </c>
      <c r="BC52" s="949">
        <f t="shared" si="45"/>
        <v>2.4299999999999997</v>
      </c>
      <c r="BD52" s="950">
        <f t="shared" si="45"/>
        <v>8.0729999999999986</v>
      </c>
      <c r="BE52" s="949">
        <f t="shared" si="45"/>
        <v>1.7949999999999999</v>
      </c>
      <c r="BF52" s="949">
        <f t="shared" si="45"/>
        <v>2.0190000000000001</v>
      </c>
      <c r="BG52" s="949">
        <f t="shared" si="45"/>
        <v>0.51300000000000001</v>
      </c>
      <c r="BH52" s="949">
        <f t="shared" si="45"/>
        <v>1.746</v>
      </c>
      <c r="BI52" s="950">
        <f>+SUM(BE52:BH52)</f>
        <v>6.0730000000000004</v>
      </c>
      <c r="BJ52" s="949">
        <f>+BJ23+BJ25+BJ32+BJ38+BJ44</f>
        <v>7.6410000000000009</v>
      </c>
      <c r="BK52" s="949">
        <f>+BK23+BK25+BK32+BK38+BK44</f>
        <v>18.365000000000002</v>
      </c>
      <c r="BL52" s="949">
        <f>+BL23+BL25+BL32+BL38+BL44</f>
        <v>1.397</v>
      </c>
      <c r="BM52" s="949">
        <f>+BM23+BM25+BM32+BM38+BM44</f>
        <v>0.66799999999999971</v>
      </c>
      <c r="BN52" s="950">
        <f>+SUM(BJ52:BM52)</f>
        <v>28.071000000000002</v>
      </c>
      <c r="BO52" s="949">
        <f>+BO23+BO25+BO32+BO38+BO44</f>
        <v>0.995</v>
      </c>
      <c r="BP52" s="949">
        <f>+BP23+BP25+BP32+BP38+BP44</f>
        <v>0.97199999999999998</v>
      </c>
      <c r="BQ52" s="949">
        <f>+BQ23+BQ25+BQ32+BQ38+BQ44</f>
        <v>0.11</v>
      </c>
      <c r="BR52" s="949">
        <f>+BR23+BR25+BR32+BR38+BR44</f>
        <v>2.9999999999999923E-2</v>
      </c>
      <c r="BS52" s="950">
        <f>+SUM(BO52:BR52)</f>
        <v>2.1069999999999998</v>
      </c>
      <c r="BT52" s="949">
        <f>+BT23+BT25+BT32+BT38+BT44</f>
        <v>0.84500000000000008</v>
      </c>
      <c r="BU52" s="959">
        <v>0</v>
      </c>
      <c r="BV52" s="959">
        <v>0</v>
      </c>
      <c r="BW52" s="959">
        <v>0</v>
      </c>
      <c r="BX52" s="950">
        <f>+SUM(BT52:BW52)</f>
        <v>0.84500000000000008</v>
      </c>
      <c r="BY52" s="959">
        <v>0</v>
      </c>
      <c r="BZ52" s="959">
        <v>0</v>
      </c>
      <c r="CA52" s="959">
        <v>0</v>
      </c>
      <c r="CB52" s="959">
        <v>0</v>
      </c>
      <c r="CC52" s="950">
        <f>+SUM(BY52:CB52)</f>
        <v>0</v>
      </c>
      <c r="CD52" s="959">
        <v>0</v>
      </c>
      <c r="CE52" s="959">
        <v>0</v>
      </c>
      <c r="CF52" s="959">
        <v>0</v>
      </c>
      <c r="CG52" s="959">
        <v>0</v>
      </c>
      <c r="CH52" s="950">
        <f>+SUM(CD52:CG52)</f>
        <v>0</v>
      </c>
      <c r="CI52" s="959">
        <v>0</v>
      </c>
      <c r="CJ52" s="959">
        <v>0</v>
      </c>
      <c r="CK52" s="959">
        <v>0</v>
      </c>
      <c r="CL52" s="959">
        <v>0</v>
      </c>
      <c r="CM52" s="950">
        <f>+SUM(CI52:CL52)</f>
        <v>0</v>
      </c>
      <c r="CN52" s="959">
        <v>0</v>
      </c>
      <c r="CO52" s="959">
        <v>0</v>
      </c>
      <c r="CP52" s="959">
        <v>0</v>
      </c>
      <c r="CQ52" s="959">
        <v>0</v>
      </c>
      <c r="CR52" s="950">
        <f>+SUM(CN52:CQ52)</f>
        <v>0</v>
      </c>
      <c r="CT52" s="976"/>
      <c r="CU52" s="976"/>
      <c r="CW52" s="943">
        <f t="shared" si="27"/>
        <v>0</v>
      </c>
      <c r="CX52" s="943">
        <f t="shared" si="28"/>
        <v>6.6550000000000002</v>
      </c>
      <c r="CY52" s="943">
        <f t="shared" si="29"/>
        <v>0</v>
      </c>
      <c r="CZ52" s="943">
        <f t="shared" si="30"/>
        <v>0</v>
      </c>
      <c r="DA52" s="943">
        <f t="shared" si="31"/>
        <v>0</v>
      </c>
      <c r="DB52" s="943">
        <f t="shared" si="32"/>
        <v>0</v>
      </c>
      <c r="DC52" s="943">
        <f t="shared" si="33"/>
        <v>0</v>
      </c>
      <c r="DD52" s="943">
        <f t="shared" si="34"/>
        <v>0</v>
      </c>
      <c r="DE52" s="943">
        <f t="shared" si="35"/>
        <v>0</v>
      </c>
      <c r="DF52" s="943">
        <f t="shared" si="36"/>
        <v>0</v>
      </c>
      <c r="DG52" s="943">
        <f t="shared" si="37"/>
        <v>0</v>
      </c>
      <c r="DH52" s="943">
        <f t="shared" si="38"/>
        <v>0</v>
      </c>
      <c r="DI52" s="943">
        <f t="shared" si="39"/>
        <v>0</v>
      </c>
    </row>
    <row r="53" spans="1:113" ht="11.25" customHeight="1">
      <c r="A53" s="981" t="s">
        <v>979</v>
      </c>
      <c r="B53" s="982"/>
      <c r="C53" s="982"/>
      <c r="D53" s="982"/>
      <c r="E53" s="982"/>
      <c r="F53" s="983"/>
      <c r="G53" s="984"/>
      <c r="H53" s="985"/>
      <c r="I53" s="985"/>
      <c r="J53" s="985"/>
      <c r="K53" s="986"/>
      <c r="L53" s="985"/>
      <c r="M53" s="985"/>
      <c r="N53" s="985"/>
      <c r="O53" s="985"/>
      <c r="P53" s="986"/>
      <c r="Q53" s="985"/>
      <c r="R53" s="985"/>
      <c r="S53" s="985"/>
      <c r="T53" s="985"/>
      <c r="U53" s="986"/>
      <c r="V53" s="985"/>
      <c r="W53" s="985"/>
      <c r="X53" s="985"/>
      <c r="Y53" s="985"/>
      <c r="Z53" s="986"/>
      <c r="AA53" s="985"/>
      <c r="AB53" s="985"/>
      <c r="AC53" s="985"/>
      <c r="AD53" s="985"/>
      <c r="AE53" s="986"/>
      <c r="AF53" s="985"/>
      <c r="AG53" s="985"/>
      <c r="AH53" s="985"/>
      <c r="AI53" s="985"/>
      <c r="AJ53" s="986"/>
      <c r="AK53" s="985"/>
      <c r="AL53" s="985"/>
      <c r="AM53" s="985"/>
      <c r="AN53" s="985"/>
      <c r="AO53" s="986">
        <f t="shared" ref="AO53:CH53" si="46">+AO48-SUM(AO49:AO52)+SUM(AO21:AO25)</f>
        <v>89.039000000000016</v>
      </c>
      <c r="AP53" s="985">
        <f t="shared" si="46"/>
        <v>29.167749999999998</v>
      </c>
      <c r="AQ53" s="985">
        <f t="shared" si="46"/>
        <v>36.167749999999998</v>
      </c>
      <c r="AR53" s="985">
        <f t="shared" si="46"/>
        <v>37.080874999999992</v>
      </c>
      <c r="AS53" s="985">
        <f t="shared" si="46"/>
        <v>38.127624999999995</v>
      </c>
      <c r="AT53" s="986">
        <f t="shared" si="46"/>
        <v>140.54400000000001</v>
      </c>
      <c r="AU53" s="985">
        <f t="shared" si="46"/>
        <v>32.418999999999997</v>
      </c>
      <c r="AV53" s="985">
        <f t="shared" si="46"/>
        <v>32.326999999999998</v>
      </c>
      <c r="AW53" s="985">
        <f t="shared" si="46"/>
        <v>31.463000000000005</v>
      </c>
      <c r="AX53" s="985">
        <f t="shared" si="46"/>
        <v>35.079999999999991</v>
      </c>
      <c r="AY53" s="986">
        <f t="shared" si="46"/>
        <v>131.28899999999999</v>
      </c>
      <c r="AZ53" s="985">
        <f t="shared" si="46"/>
        <v>36.25</v>
      </c>
      <c r="BA53" s="985">
        <f t="shared" si="46"/>
        <v>34.626000000000005</v>
      </c>
      <c r="BB53" s="985">
        <f t="shared" si="46"/>
        <v>57.478999999999992</v>
      </c>
      <c r="BC53" s="985">
        <f t="shared" si="46"/>
        <v>53.143000000000029</v>
      </c>
      <c r="BD53" s="986">
        <f t="shared" si="46"/>
        <v>181.49800000000008</v>
      </c>
      <c r="BE53" s="985">
        <f t="shared" si="46"/>
        <v>59.850999999999999</v>
      </c>
      <c r="BF53" s="985">
        <f t="shared" si="46"/>
        <v>58.584000000000117</v>
      </c>
      <c r="BG53" s="985">
        <f t="shared" si="46"/>
        <v>57.407000000000018</v>
      </c>
      <c r="BH53" s="985">
        <f t="shared" si="46"/>
        <v>55.29999999999994</v>
      </c>
      <c r="BI53" s="987">
        <f t="shared" si="46"/>
        <v>231.14199999999965</v>
      </c>
      <c r="BJ53" s="985">
        <f t="shared" si="46"/>
        <v>56.636999999999986</v>
      </c>
      <c r="BK53" s="985">
        <f t="shared" si="46"/>
        <v>53.423999999999992</v>
      </c>
      <c r="BL53" s="985">
        <f t="shared" si="46"/>
        <v>54.304999999999914</v>
      </c>
      <c r="BM53" s="988">
        <f t="shared" si="46"/>
        <v>55.81099999999995</v>
      </c>
      <c r="BN53" s="987">
        <f t="shared" si="46"/>
        <v>220.17700000000019</v>
      </c>
      <c r="BO53" s="985">
        <f t="shared" si="46"/>
        <v>51.827999999999989</v>
      </c>
      <c r="BP53" s="985">
        <f t="shared" ref="BP53" si="47">+BP48-SUM(BP49:BP52)+SUM(BP21:BP25)</f>
        <v>50.134</v>
      </c>
      <c r="BQ53" s="989">
        <f t="shared" ref="BQ53:BR53" si="48">+BQ48-SUM(BQ49:BQ52)+SUM(BQ21:BQ25)</f>
        <v>50.748999999999974</v>
      </c>
      <c r="BR53" s="988">
        <f t="shared" si="48"/>
        <v>47.850000000000072</v>
      </c>
      <c r="BS53" s="987">
        <f t="shared" si="46"/>
        <v>200.56099999999989</v>
      </c>
      <c r="BT53" s="985">
        <f t="shared" ref="BT53" si="49">+BT48-SUM(BT49:BT52)+SUM(BT21:BT25)</f>
        <v>50.156000000000013</v>
      </c>
      <c r="BU53" s="988">
        <f t="shared" si="46"/>
        <v>53.090199999999996</v>
      </c>
      <c r="BV53" s="988">
        <f t="shared" si="46"/>
        <v>55.91711930000001</v>
      </c>
      <c r="BW53" s="988">
        <f t="shared" si="46"/>
        <v>51.954176585000013</v>
      </c>
      <c r="BX53" s="987">
        <f t="shared" si="46"/>
        <v>211.1174958850001</v>
      </c>
      <c r="BY53" s="988">
        <f t="shared" si="46"/>
        <v>53.984872497730009</v>
      </c>
      <c r="BZ53" s="988">
        <f t="shared" si="46"/>
        <v>56.564162622707293</v>
      </c>
      <c r="CA53" s="988">
        <f t="shared" si="46"/>
        <v>59.000520023934371</v>
      </c>
      <c r="CB53" s="988">
        <f t="shared" si="46"/>
        <v>53.944889316426718</v>
      </c>
      <c r="CC53" s="987">
        <f t="shared" si="46"/>
        <v>223.49444446079843</v>
      </c>
      <c r="CD53" s="988">
        <f t="shared" si="46"/>
        <v>56.501062582173113</v>
      </c>
      <c r="CE53" s="988">
        <f t="shared" si="46"/>
        <v>59.392399163405699</v>
      </c>
      <c r="CF53" s="988">
        <f t="shared" si="46"/>
        <v>62.138260891481785</v>
      </c>
      <c r="CG53" s="988">
        <f t="shared" si="46"/>
        <v>57.056175632329001</v>
      </c>
      <c r="CH53" s="987">
        <f t="shared" si="46"/>
        <v>235.0878982693896</v>
      </c>
      <c r="CI53" s="988">
        <f t="shared" ref="CI53:CR53" si="50">+CI48-SUM(CI49:CI52)+SUM(CI21:CI25)</f>
        <v>59.356910212983109</v>
      </c>
      <c r="CJ53" s="988">
        <f t="shared" si="50"/>
        <v>62.26473024386415</v>
      </c>
      <c r="CK53" s="988">
        <f t="shared" si="50"/>
        <v>65.019489501926529</v>
      </c>
      <c r="CL53" s="988">
        <f t="shared" si="50"/>
        <v>59.669776618910269</v>
      </c>
      <c r="CM53" s="987">
        <f t="shared" si="50"/>
        <v>246.31090657768405</v>
      </c>
      <c r="CN53" s="988">
        <f t="shared" si="50"/>
        <v>62.038543130087902</v>
      </c>
      <c r="CO53" s="988">
        <f t="shared" si="50"/>
        <v>65.053522766642203</v>
      </c>
      <c r="CP53" s="988">
        <f t="shared" si="50"/>
        <v>67.910341235659757</v>
      </c>
      <c r="CQ53" s="988">
        <f t="shared" si="50"/>
        <v>62.387240478254313</v>
      </c>
      <c r="CR53" s="987">
        <f t="shared" si="50"/>
        <v>257.3896476106442</v>
      </c>
      <c r="CT53" s="767">
        <f>+(CC53/BN53)^(0.333333333333333)-1</f>
        <v>4.997374902960372E-3</v>
      </c>
      <c r="CU53" s="767">
        <f>+(CM53/BN53)^(0.2)-1</f>
        <v>2.2686065468473959E-2</v>
      </c>
      <c r="CW53" s="943">
        <f t="shared" si="27"/>
        <v>0</v>
      </c>
      <c r="CX53" s="943">
        <f t="shared" si="28"/>
        <v>89.039000000000001</v>
      </c>
      <c r="CY53" s="943">
        <f t="shared" si="29"/>
        <v>0</v>
      </c>
      <c r="CZ53" s="943">
        <f t="shared" si="30"/>
        <v>0</v>
      </c>
      <c r="DA53" s="943">
        <f t="shared" si="31"/>
        <v>0</v>
      </c>
      <c r="DB53" s="943">
        <f t="shared" si="32"/>
        <v>0</v>
      </c>
      <c r="DC53" s="943">
        <f t="shared" si="33"/>
        <v>0</v>
      </c>
      <c r="DD53" s="943">
        <f t="shared" si="34"/>
        <v>0</v>
      </c>
      <c r="DE53" s="943">
        <f t="shared" si="35"/>
        <v>0</v>
      </c>
      <c r="DF53" s="943">
        <f t="shared" si="36"/>
        <v>0</v>
      </c>
      <c r="DG53" s="943">
        <f t="shared" si="37"/>
        <v>0</v>
      </c>
      <c r="DH53" s="943">
        <f t="shared" si="38"/>
        <v>0</v>
      </c>
      <c r="DI53" s="943">
        <f t="shared" si="39"/>
        <v>0</v>
      </c>
    </row>
    <row r="54" spans="1:113" ht="12" customHeight="1">
      <c r="A54" s="990" t="s">
        <v>980</v>
      </c>
      <c r="B54" s="794"/>
      <c r="C54" s="794"/>
      <c r="D54" s="794"/>
      <c r="E54" s="794"/>
      <c r="F54" s="795"/>
      <c r="G54" s="991"/>
      <c r="H54" s="992"/>
      <c r="I54" s="992"/>
      <c r="J54" s="992"/>
      <c r="K54" s="993"/>
      <c r="L54" s="992"/>
      <c r="M54" s="992"/>
      <c r="N54" s="992"/>
      <c r="O54" s="992"/>
      <c r="P54" s="993"/>
      <c r="Q54" s="992"/>
      <c r="R54" s="992"/>
      <c r="S54" s="992"/>
      <c r="T54" s="992"/>
      <c r="U54" s="993"/>
      <c r="V54" s="992"/>
      <c r="W54" s="992"/>
      <c r="X54" s="992"/>
      <c r="Y54" s="992"/>
      <c r="Z54" s="993"/>
      <c r="AA54" s="992"/>
      <c r="AB54" s="992"/>
      <c r="AC54" s="992"/>
      <c r="AD54" s="992"/>
      <c r="AE54" s="993"/>
      <c r="AF54" s="992"/>
      <c r="AG54" s="992"/>
      <c r="AH54" s="992"/>
      <c r="AI54" s="992"/>
      <c r="AJ54" s="993"/>
      <c r="AK54" s="994"/>
      <c r="AL54" s="994"/>
      <c r="AM54" s="994"/>
      <c r="AN54" s="994"/>
      <c r="AO54" s="993">
        <f t="shared" ref="AO54:BD54" si="51">+AO14-AO20-AO48</f>
        <v>-12.912999999999997</v>
      </c>
      <c r="AP54" s="992">
        <f t="shared" si="51"/>
        <v>-2</v>
      </c>
      <c r="AQ54" s="992">
        <f t="shared" si="51"/>
        <v>-26.999999999999993</v>
      </c>
      <c r="AR54" s="992">
        <f t="shared" si="51"/>
        <v>-7.2969999999999615</v>
      </c>
      <c r="AS54" s="992">
        <f t="shared" si="51"/>
        <v>-4.789999999999992</v>
      </c>
      <c r="AT54" s="993">
        <f t="shared" si="51"/>
        <v>-41.087000000000018</v>
      </c>
      <c r="AU54" s="992">
        <f t="shared" si="51"/>
        <v>3.7900000000000134</v>
      </c>
      <c r="AV54" s="992">
        <f t="shared" si="51"/>
        <v>4.98599999999999</v>
      </c>
      <c r="AW54" s="992">
        <f t="shared" si="51"/>
        <v>0.19299999999998363</v>
      </c>
      <c r="AX54" s="992">
        <f t="shared" si="51"/>
        <v>-40.864999999999995</v>
      </c>
      <c r="AY54" s="993">
        <f t="shared" si="51"/>
        <v>-31.896000000000015</v>
      </c>
      <c r="AZ54" s="992">
        <f>+AZ14-AZ20-AZ48</f>
        <v>-27.372</v>
      </c>
      <c r="BA54" s="992">
        <f t="shared" si="51"/>
        <v>-12.972000000000008</v>
      </c>
      <c r="BB54" s="992">
        <f t="shared" si="51"/>
        <v>-54.441999999999979</v>
      </c>
      <c r="BC54" s="992">
        <f t="shared" si="51"/>
        <v>-23.234000000000037</v>
      </c>
      <c r="BD54" s="993">
        <f t="shared" si="51"/>
        <v>-118.02000000000004</v>
      </c>
      <c r="BE54" s="992">
        <f>+BE14-BE20-BE48</f>
        <v>-13.661999999999992</v>
      </c>
      <c r="BF54" s="992">
        <f>+BF14-BF20-BF48</f>
        <v>-535.68100000000004</v>
      </c>
      <c r="BG54" s="992">
        <f>+BG14-BG20-BG48</f>
        <v>-6.2510000000000332</v>
      </c>
      <c r="BH54" s="992">
        <f>+BH14-BH20-BH48</f>
        <v>-388.80999999999995</v>
      </c>
      <c r="BI54" s="995">
        <f t="shared" ref="BI54:CR54" si="52">+BI14-BI20-BI48</f>
        <v>-944.40399999999988</v>
      </c>
      <c r="BJ54" s="992">
        <f>+BJ14-BJ20-BJ48</f>
        <v>-422.68900000000002</v>
      </c>
      <c r="BK54" s="992">
        <f>+BK14-BK20-BK48</f>
        <v>-25.890999999999991</v>
      </c>
      <c r="BL54" s="992">
        <f>+BL14-BL20-BL48</f>
        <v>-731.40600000000006</v>
      </c>
      <c r="BM54" s="996">
        <f t="shared" si="52"/>
        <v>-13.622000000000014</v>
      </c>
      <c r="BN54" s="995">
        <f t="shared" si="52"/>
        <v>-1193.6080000000002</v>
      </c>
      <c r="BO54" s="992">
        <f>+BO14-BO20-BO48</f>
        <v>-16.844999999999985</v>
      </c>
      <c r="BP54" s="992">
        <f>+BP14-BP20-BP48</f>
        <v>-15.100999999999999</v>
      </c>
      <c r="BQ54" s="992">
        <f>+BQ14-BQ20-BQ48</f>
        <v>-374.77500000000003</v>
      </c>
      <c r="BR54" s="996">
        <f t="shared" ref="BR54" si="53">+BR14-BR20-BR48</f>
        <v>-245.65400000000005</v>
      </c>
      <c r="BS54" s="995">
        <f t="shared" si="52"/>
        <v>-652.375</v>
      </c>
      <c r="BT54" s="992">
        <f>+BT14-BT20-BT48</f>
        <v>-2.4470000000000027</v>
      </c>
      <c r="BU54" s="996">
        <f t="shared" si="52"/>
        <v>7.1623340964961812E-2</v>
      </c>
      <c r="BV54" s="996">
        <f t="shared" si="52"/>
        <v>1.486702160984521E-2</v>
      </c>
      <c r="BW54" s="996">
        <f t="shared" si="52"/>
        <v>6.5250539082589256</v>
      </c>
      <c r="BX54" s="995">
        <f t="shared" si="52"/>
        <v>4.1645442708336873</v>
      </c>
      <c r="BY54" s="996">
        <f t="shared" si="52"/>
        <v>4.007619722329224</v>
      </c>
      <c r="BZ54" s="996">
        <f t="shared" si="52"/>
        <v>-1.2360500069874263</v>
      </c>
      <c r="CA54" s="996">
        <f t="shared" si="52"/>
        <v>-5.6335201997612216E-2</v>
      </c>
      <c r="CB54" s="996">
        <f t="shared" si="52"/>
        <v>8.1898766231270343</v>
      </c>
      <c r="CC54" s="995">
        <f t="shared" si="52"/>
        <v>10.905111136471305</v>
      </c>
      <c r="CD54" s="996">
        <f t="shared" si="52"/>
        <v>14.496213912509461</v>
      </c>
      <c r="CE54" s="996">
        <f t="shared" si="52"/>
        <v>6.701680599877335</v>
      </c>
      <c r="CF54" s="996">
        <f t="shared" si="52"/>
        <v>8.0466809180281587</v>
      </c>
      <c r="CG54" s="996">
        <f t="shared" si="52"/>
        <v>16.467090362787729</v>
      </c>
      <c r="CH54" s="995">
        <f t="shared" si="52"/>
        <v>45.711665793202712</v>
      </c>
      <c r="CI54" s="996">
        <f t="shared" si="52"/>
        <v>18.769584081181534</v>
      </c>
      <c r="CJ54" s="996">
        <f t="shared" si="52"/>
        <v>8.3006730417266112</v>
      </c>
      <c r="CK54" s="996">
        <f t="shared" si="52"/>
        <v>10.191945371845861</v>
      </c>
      <c r="CL54" s="996">
        <f t="shared" si="52"/>
        <v>19.050312775662007</v>
      </c>
      <c r="CM54" s="995">
        <f t="shared" si="52"/>
        <v>56.3125152704161</v>
      </c>
      <c r="CN54" s="996">
        <f t="shared" si="52"/>
        <v>23.580125574359442</v>
      </c>
      <c r="CO54" s="996">
        <f t="shared" si="52"/>
        <v>9.9007269988270394</v>
      </c>
      <c r="CP54" s="996">
        <f t="shared" si="52"/>
        <v>12.563382459084906</v>
      </c>
      <c r="CQ54" s="996">
        <f t="shared" si="52"/>
        <v>21.775640093491461</v>
      </c>
      <c r="CR54" s="995">
        <f t="shared" si="52"/>
        <v>67.819875125762792</v>
      </c>
      <c r="CT54" s="767"/>
      <c r="CU54" s="767"/>
      <c r="CW54" s="943">
        <f t="shared" si="27"/>
        <v>0</v>
      </c>
      <c r="CX54" s="943">
        <f t="shared" si="28"/>
        <v>-12.913</v>
      </c>
      <c r="CY54" s="943">
        <f t="shared" si="29"/>
        <v>0</v>
      </c>
      <c r="CZ54" s="943">
        <f t="shared" si="30"/>
        <v>0</v>
      </c>
      <c r="DA54" s="943">
        <f t="shared" si="31"/>
        <v>0</v>
      </c>
      <c r="DB54" s="943">
        <f t="shared" si="32"/>
        <v>0</v>
      </c>
      <c r="DC54" s="943">
        <f t="shared" si="33"/>
        <v>0</v>
      </c>
      <c r="DD54" s="943">
        <f t="shared" si="34"/>
        <v>0</v>
      </c>
      <c r="DE54" s="943">
        <f t="shared" si="35"/>
        <v>0</v>
      </c>
      <c r="DF54" s="943">
        <f t="shared" si="36"/>
        <v>0</v>
      </c>
      <c r="DG54" s="943">
        <f t="shared" si="37"/>
        <v>0</v>
      </c>
      <c r="DH54" s="943">
        <f t="shared" si="38"/>
        <v>0</v>
      </c>
      <c r="DI54" s="943">
        <f t="shared" si="39"/>
        <v>0</v>
      </c>
    </row>
    <row r="55" spans="1:113" ht="12" customHeight="1">
      <c r="A55" s="997" t="s">
        <v>981</v>
      </c>
      <c r="B55" s="807"/>
      <c r="C55" s="807"/>
      <c r="D55" s="807"/>
      <c r="E55" s="807"/>
      <c r="F55" s="808"/>
      <c r="G55" s="949"/>
      <c r="H55" s="949"/>
      <c r="I55" s="949"/>
      <c r="J55" s="949"/>
      <c r="K55" s="950"/>
      <c r="L55" s="949"/>
      <c r="M55" s="949"/>
      <c r="N55" s="949"/>
      <c r="O55" s="949"/>
      <c r="P55" s="950"/>
      <c r="Q55" s="949"/>
      <c r="R55" s="949"/>
      <c r="S55" s="949"/>
      <c r="T55" s="949"/>
      <c r="U55" s="950"/>
      <c r="V55" s="949"/>
      <c r="W55" s="949"/>
      <c r="X55" s="949"/>
      <c r="Y55" s="949"/>
      <c r="Z55" s="950"/>
      <c r="AA55" s="949"/>
      <c r="AB55" s="949"/>
      <c r="AC55" s="949"/>
      <c r="AD55" s="949"/>
      <c r="AE55" s="950"/>
      <c r="AF55" s="949"/>
      <c r="AG55" s="949"/>
      <c r="AH55" s="949"/>
      <c r="AI55" s="949"/>
      <c r="AJ55" s="950"/>
      <c r="AK55" s="949"/>
      <c r="AL55" s="949"/>
      <c r="AM55" s="949"/>
      <c r="AN55" s="949"/>
      <c r="AO55" s="958">
        <v>-20.846</v>
      </c>
      <c r="AP55" s="959">
        <v>-11</v>
      </c>
      <c r="AQ55" s="959">
        <v>-17</v>
      </c>
      <c r="AR55" s="959">
        <v>-19.643000000000008</v>
      </c>
      <c r="AS55" s="959">
        <v>-19.911000000000001</v>
      </c>
      <c r="AT55" s="950">
        <f>+SUM(AP55:AS55)</f>
        <v>-67.554000000000002</v>
      </c>
      <c r="AU55" s="959">
        <v>-19.372</v>
      </c>
      <c r="AV55" s="959">
        <v>-16.308</v>
      </c>
      <c r="AW55" s="959">
        <v>-17.574999999999999</v>
      </c>
      <c r="AX55" s="959">
        <f>-65.469-1.928-SUM(AU55:AW55)</f>
        <v>-14.141999999999996</v>
      </c>
      <c r="AY55" s="950">
        <f>+SUM(AU55:AX55)</f>
        <v>-67.396999999999991</v>
      </c>
      <c r="AZ55" s="959">
        <v>-4.9029999999999996</v>
      </c>
      <c r="BA55" s="959">
        <v>-6.3319999999999999</v>
      </c>
      <c r="BB55" s="959">
        <v>-10.769</v>
      </c>
      <c r="BC55" s="959">
        <f>-33.663-SUM(AZ55:BB55)</f>
        <v>-11.658999999999999</v>
      </c>
      <c r="BD55" s="950">
        <f>+SUM(AZ55:BC55)</f>
        <v>-33.662999999999997</v>
      </c>
      <c r="BE55" s="959">
        <v>-15.413</v>
      </c>
      <c r="BF55" s="959">
        <v>-18.048999999999999</v>
      </c>
      <c r="BG55" s="959">
        <v>-21.27</v>
      </c>
      <c r="BH55" s="959">
        <v>-22.099</v>
      </c>
      <c r="BI55" s="960">
        <f>+SUM(BE55:BH55)</f>
        <v>-76.831000000000003</v>
      </c>
      <c r="BJ55" s="959">
        <v>-25.725999999999999</v>
      </c>
      <c r="BK55" s="959">
        <v>-25.516999999999999</v>
      </c>
      <c r="BL55" s="959">
        <v>-24.643000000000001</v>
      </c>
      <c r="BM55" s="817">
        <v>-26.574000000000002</v>
      </c>
      <c r="BN55" s="960">
        <f>+SUM(BJ55:BM55)</f>
        <v>-102.46</v>
      </c>
      <c r="BO55" s="959">
        <v>-25.373000000000001</v>
      </c>
      <c r="BP55" s="959">
        <v>-25.15</v>
      </c>
      <c r="BQ55" s="959">
        <v>-25.422999999999998</v>
      </c>
      <c r="BR55" s="817">
        <v>-23.396999999999998</v>
      </c>
      <c r="BS55" s="960">
        <f>+SUM(BO55:BR55)</f>
        <v>-99.342999999999989</v>
      </c>
      <c r="BT55" s="959">
        <v>-20.053999999999998</v>
      </c>
      <c r="BU55" s="978">
        <v>-21.544101699999999</v>
      </c>
      <c r="BV55" s="978">
        <v>-21.33969142888159</v>
      </c>
      <c r="BW55" s="978">
        <v>-20.969343172876421</v>
      </c>
      <c r="BX55" s="960">
        <f>+SUM(BT55:BW55)</f>
        <v>-83.907136301758015</v>
      </c>
      <c r="BY55" s="978">
        <v>-20.391719509480982</v>
      </c>
      <c r="BZ55" s="978">
        <v>-19.946475157019027</v>
      </c>
      <c r="CA55" s="978">
        <v>-19.548193020373837</v>
      </c>
      <c r="CB55" s="978">
        <v>-19.169567397133189</v>
      </c>
      <c r="CC55" s="960">
        <f>+SUM(BY55:CB55)</f>
        <v>-79.055955084007039</v>
      </c>
      <c r="CD55" s="978">
        <v>-18.595623157819084</v>
      </c>
      <c r="CE55" s="978">
        <v>-18.21085827759628</v>
      </c>
      <c r="CF55" s="978">
        <v>-17.80406023088884</v>
      </c>
      <c r="CG55" s="978">
        <v>-17.367044183005582</v>
      </c>
      <c r="CH55" s="960">
        <f>+SUM(CD55:CG55)</f>
        <v>-71.977585849309776</v>
      </c>
      <c r="CI55" s="978">
        <v>-16.773947838203703</v>
      </c>
      <c r="CJ55" s="978">
        <v>-16.31644047849684</v>
      </c>
      <c r="CK55" s="978">
        <v>-15.870404378640949</v>
      </c>
      <c r="CL55" s="978">
        <v>-15.416805299838961</v>
      </c>
      <c r="CM55" s="960">
        <f>+SUM(CI55:CL55)</f>
        <v>-64.377597995180452</v>
      </c>
      <c r="CN55" s="978">
        <v>-14.819804798945126</v>
      </c>
      <c r="CO55" s="978">
        <v>-14.332283379613935</v>
      </c>
      <c r="CP55" s="978">
        <v>-13.841162536531698</v>
      </c>
      <c r="CQ55" s="978">
        <v>-13.373717627715951</v>
      </c>
      <c r="CR55" s="960">
        <f>+SUM(CN55:CQ55)</f>
        <v>-56.366968342806715</v>
      </c>
      <c r="CT55" s="998"/>
      <c r="CU55" s="998"/>
      <c r="CW55" s="943">
        <f>+ROUND(AJ55,3)-ROUND(SUM(AF55:AI55),3)</f>
        <v>0</v>
      </c>
      <c r="CX55" s="943">
        <f>+ROUND(AO55,3)-ROUND(SUM(AK55:AN55),3)</f>
        <v>-20.846</v>
      </c>
      <c r="CY55" s="943">
        <f>+ROUND(AT55,3)-ROUND(SUM(AP55:AS55),3)</f>
        <v>0</v>
      </c>
      <c r="CZ55" s="943">
        <f>+ROUND(AY55,3)-ROUND(SUM(AU55:AX55),3)</f>
        <v>0</v>
      </c>
      <c r="DA55" s="943">
        <f>+ROUND(BD55,3)-ROUND(SUM(AZ55:BC55),3)</f>
        <v>0</v>
      </c>
      <c r="DB55" s="943">
        <f>+ROUND(BI55,3)-ROUND(SUM(BE55:BH55),3)</f>
        <v>0</v>
      </c>
      <c r="DC55" s="943">
        <f>+ROUND(BN55,3)-ROUND(SUM(BJ55:BM55),3)</f>
        <v>0</v>
      </c>
      <c r="DD55" s="943">
        <f>+ROUND(BS55,3)-ROUND(SUM(BO55:BR55),3)</f>
        <v>0</v>
      </c>
      <c r="DE55" s="943">
        <f>+ROUND(BX55,3)-ROUND(SUM(BT55:BW55),3)</f>
        <v>0</v>
      </c>
      <c r="DF55" s="943">
        <f t="shared" si="36"/>
        <v>0</v>
      </c>
      <c r="DG55" s="943">
        <f t="shared" si="37"/>
        <v>0</v>
      </c>
      <c r="DH55" s="943">
        <f t="shared" si="38"/>
        <v>0</v>
      </c>
      <c r="DI55" s="943">
        <f t="shared" si="39"/>
        <v>0</v>
      </c>
    </row>
    <row r="56" spans="1:113" ht="12" customHeight="1" outlineLevel="1">
      <c r="A56" s="990" t="s">
        <v>982</v>
      </c>
      <c r="B56" s="791"/>
      <c r="C56" s="791"/>
      <c r="D56" s="791"/>
      <c r="E56" s="791"/>
      <c r="F56" s="792"/>
      <c r="G56" s="959"/>
      <c r="H56" s="959"/>
      <c r="I56" s="959"/>
      <c r="J56" s="959"/>
      <c r="K56" s="950"/>
      <c r="L56" s="959"/>
      <c r="M56" s="959"/>
      <c r="N56" s="959"/>
      <c r="O56" s="959"/>
      <c r="P56" s="950"/>
      <c r="Q56" s="959"/>
      <c r="R56" s="959"/>
      <c r="S56" s="959"/>
      <c r="T56" s="959"/>
      <c r="U56" s="950"/>
      <c r="V56" s="959"/>
      <c r="W56" s="959"/>
      <c r="X56" s="959"/>
      <c r="Y56" s="959"/>
      <c r="Z56" s="958"/>
      <c r="AA56" s="959"/>
      <c r="AB56" s="959"/>
      <c r="AC56" s="959"/>
      <c r="AD56" s="959"/>
      <c r="AE56" s="950"/>
      <c r="AF56" s="959"/>
      <c r="AG56" s="959"/>
      <c r="AH56" s="959"/>
      <c r="AI56" s="959"/>
      <c r="AJ56" s="950"/>
      <c r="AK56" s="959"/>
      <c r="AL56" s="959"/>
      <c r="AM56" s="959"/>
      <c r="AN56" s="959"/>
      <c r="AO56" s="958">
        <v>-4.6040000000000001</v>
      </c>
      <c r="AP56" s="959">
        <v>0</v>
      </c>
      <c r="AQ56" s="959">
        <v>0</v>
      </c>
      <c r="AR56" s="959">
        <v>0</v>
      </c>
      <c r="AS56" s="959">
        <v>0</v>
      </c>
      <c r="AT56" s="950">
        <f>+SUM(AP56:AS56)</f>
        <v>0</v>
      </c>
      <c r="AU56" s="959">
        <v>0</v>
      </c>
      <c r="AV56" s="959">
        <v>0</v>
      </c>
      <c r="AW56" s="959">
        <v>0</v>
      </c>
      <c r="AX56" s="959">
        <f>33.74+23.187-SUM(AU56:AW56)</f>
        <v>56.927000000000007</v>
      </c>
      <c r="AY56" s="950">
        <f>+SUM(AU56:AX56)</f>
        <v>56.927000000000007</v>
      </c>
      <c r="AZ56" s="959">
        <f>-2.499-59.943-73.26</f>
        <v>-135.702</v>
      </c>
      <c r="BA56" s="959">
        <f>-0.637+18.727-16.78</f>
        <v>1.3099999999999987</v>
      </c>
      <c r="BB56" s="959">
        <f>-1.47-7.232-1.14</f>
        <v>-9.8420000000000005</v>
      </c>
      <c r="BC56" s="959">
        <f>-69.76+1.633-0.154-SUM(AZ56:BB56)</f>
        <v>75.953000000000003</v>
      </c>
      <c r="BD56" s="950">
        <f>+SUM(AZ56:BC56)</f>
        <v>-68.281000000000006</v>
      </c>
      <c r="BE56" s="959">
        <f>-1.67+5.455+4.2</f>
        <v>7.9850000000000003</v>
      </c>
      <c r="BF56" s="959">
        <f>8.062+15.159+7.26</f>
        <v>30.481000000000002</v>
      </c>
      <c r="BG56" s="959">
        <f>2.697+16.15+6.3</f>
        <v>25.146999999999998</v>
      </c>
      <c r="BH56" s="959">
        <f>-11.975+0.759-1.74</f>
        <v>-12.956</v>
      </c>
      <c r="BI56" s="950">
        <f>+SUM(BE56:BH56)</f>
        <v>50.656999999999996</v>
      </c>
      <c r="BJ56" s="959">
        <f>-2.46+14.68+9</f>
        <v>21.22</v>
      </c>
      <c r="BK56" s="959">
        <f>7.927+1.489+1.26</f>
        <v>10.676</v>
      </c>
      <c r="BL56" s="959">
        <f>2.888+2.617+5.1</f>
        <v>10.605</v>
      </c>
      <c r="BM56" s="959">
        <f>+-6.165-3.883-3.84</f>
        <v>-13.888</v>
      </c>
      <c r="BN56" s="950">
        <f>+SUM(BJ56:BM56)</f>
        <v>28.613000000000007</v>
      </c>
      <c r="BO56" s="959">
        <f>-3.974+3.761-2.28</f>
        <v>-2.4929999999999999</v>
      </c>
      <c r="BP56" s="959">
        <f>2.908+4.399+2.04</f>
        <v>9.3470000000000013</v>
      </c>
      <c r="BQ56" s="959">
        <f>2.53+4.893+8.7</f>
        <v>16.122999999999998</v>
      </c>
      <c r="BR56" s="959">
        <f>4.101+1.078+4.44-5.5</f>
        <v>4.1189999999999998</v>
      </c>
      <c r="BS56" s="950">
        <f>+SUM(BO56:BR56)</f>
        <v>27.095999999999997</v>
      </c>
      <c r="BT56" s="959">
        <f>20.727+0.479-12.06</f>
        <v>9.145999999999999</v>
      </c>
      <c r="BU56" s="959">
        <v>0</v>
      </c>
      <c r="BV56" s="959">
        <v>0</v>
      </c>
      <c r="BW56" s="959">
        <v>0</v>
      </c>
      <c r="BX56" s="950">
        <f>+SUM(BT56:BW56)</f>
        <v>9.145999999999999</v>
      </c>
      <c r="BY56" s="959">
        <v>0</v>
      </c>
      <c r="BZ56" s="959">
        <v>0</v>
      </c>
      <c r="CA56" s="959">
        <v>0</v>
      </c>
      <c r="CB56" s="959">
        <v>0</v>
      </c>
      <c r="CC56" s="950">
        <f>+SUM(BY56:CB56)</f>
        <v>0</v>
      </c>
      <c r="CD56" s="959">
        <v>0</v>
      </c>
      <c r="CE56" s="959">
        <v>0</v>
      </c>
      <c r="CF56" s="959">
        <v>0</v>
      </c>
      <c r="CG56" s="959">
        <v>0</v>
      </c>
      <c r="CH56" s="950">
        <f>+SUM(CD56:CG56)</f>
        <v>0</v>
      </c>
      <c r="CI56" s="959">
        <v>0</v>
      </c>
      <c r="CJ56" s="959">
        <v>0</v>
      </c>
      <c r="CK56" s="959">
        <v>0</v>
      </c>
      <c r="CL56" s="959">
        <v>0</v>
      </c>
      <c r="CM56" s="950">
        <f>+SUM(CI56:CL56)</f>
        <v>0</v>
      </c>
      <c r="CN56" s="959">
        <v>0</v>
      </c>
      <c r="CO56" s="959">
        <v>0</v>
      </c>
      <c r="CP56" s="959">
        <v>0</v>
      </c>
      <c r="CQ56" s="959">
        <v>0</v>
      </c>
      <c r="CR56" s="950">
        <f>+SUM(CN56:CQ56)</f>
        <v>0</v>
      </c>
      <c r="CT56" s="999"/>
      <c r="CU56" s="999"/>
      <c r="CW56" s="943">
        <f>+ROUND(AJ56,3)-ROUND(SUM(AF56:AI56),3)</f>
        <v>0</v>
      </c>
      <c r="CX56" s="943">
        <f>+ROUND(AO56,3)-ROUND(SUM(AK56:AN56),3)</f>
        <v>-4.6040000000000001</v>
      </c>
      <c r="CY56" s="943">
        <f>+ROUND(AT56,3)-ROUND(SUM(AP56:AS56),3)</f>
        <v>0</v>
      </c>
      <c r="CZ56" s="943">
        <f>+ROUND(AY56,3)-ROUND(SUM(AU56:AX56),3)</f>
        <v>0</v>
      </c>
      <c r="DA56" s="943">
        <f>+ROUND(BD56,3)-ROUND(SUM(AZ56:BC56),3)</f>
        <v>0</v>
      </c>
      <c r="DB56" s="943">
        <f>+ROUND(BI56,3)-ROUND(SUM(BE56:BH56),3)</f>
        <v>0</v>
      </c>
      <c r="DC56" s="943">
        <f>+ROUND(BN56,3)-ROUND(SUM(BJ56:BM56),3)</f>
        <v>0</v>
      </c>
      <c r="DD56" s="943">
        <f>+ROUND(BS56,3)-ROUND(SUM(BO56:BR56),3)</f>
        <v>0</v>
      </c>
      <c r="DE56" s="943">
        <f>+ROUND(BX56,3)-ROUND(SUM(BT56:BW56),3)</f>
        <v>0</v>
      </c>
      <c r="DF56" s="943">
        <f t="shared" si="36"/>
        <v>0</v>
      </c>
      <c r="DG56" s="943">
        <f t="shared" si="37"/>
        <v>0</v>
      </c>
      <c r="DH56" s="943">
        <f t="shared" si="38"/>
        <v>0</v>
      </c>
      <c r="DI56" s="943">
        <f t="shared" si="39"/>
        <v>0</v>
      </c>
    </row>
    <row r="57" spans="1:113" ht="12" customHeight="1">
      <c r="A57" s="990" t="s">
        <v>983</v>
      </c>
      <c r="B57" s="791"/>
      <c r="C57" s="791"/>
      <c r="D57" s="791"/>
      <c r="E57" s="791"/>
      <c r="F57" s="792"/>
      <c r="G57" s="949"/>
      <c r="H57" s="949"/>
      <c r="I57" s="949"/>
      <c r="J57" s="949"/>
      <c r="K57" s="950"/>
      <c r="L57" s="949"/>
      <c r="M57" s="949"/>
      <c r="N57" s="949"/>
      <c r="O57" s="949"/>
      <c r="P57" s="950"/>
      <c r="Q57" s="949"/>
      <c r="R57" s="949"/>
      <c r="S57" s="949"/>
      <c r="T57" s="949"/>
      <c r="U57" s="950"/>
      <c r="V57" s="949"/>
      <c r="W57" s="949"/>
      <c r="X57" s="949"/>
      <c r="Y57" s="949"/>
      <c r="Z57" s="950"/>
      <c r="AA57" s="949"/>
      <c r="AB57" s="949"/>
      <c r="AC57" s="949"/>
      <c r="AD57" s="949"/>
      <c r="AE57" s="950"/>
      <c r="AF57" s="949"/>
      <c r="AG57" s="949"/>
      <c r="AH57" s="949"/>
      <c r="AI57" s="949"/>
      <c r="AJ57" s="950"/>
      <c r="AK57" s="949"/>
      <c r="AL57" s="949"/>
      <c r="AM57" s="949"/>
      <c r="AN57" s="949"/>
      <c r="AO57" s="950">
        <f t="shared" ref="AO57:CR57" si="54">+SUM(AO54,AO55,AO56)</f>
        <v>-38.363</v>
      </c>
      <c r="AP57" s="949">
        <f t="shared" si="54"/>
        <v>-13</v>
      </c>
      <c r="AQ57" s="949">
        <f t="shared" si="54"/>
        <v>-43.999999999999993</v>
      </c>
      <c r="AR57" s="949">
        <f t="shared" si="54"/>
        <v>-26.939999999999969</v>
      </c>
      <c r="AS57" s="949">
        <f t="shared" si="54"/>
        <v>-24.700999999999993</v>
      </c>
      <c r="AT57" s="950">
        <f t="shared" si="54"/>
        <v>-108.64100000000002</v>
      </c>
      <c r="AU57" s="949">
        <f t="shared" si="54"/>
        <v>-15.581999999999987</v>
      </c>
      <c r="AV57" s="949">
        <f t="shared" si="54"/>
        <v>-11.32200000000001</v>
      </c>
      <c r="AW57" s="949">
        <f t="shared" si="54"/>
        <v>-17.382000000000016</v>
      </c>
      <c r="AX57" s="949">
        <f t="shared" si="54"/>
        <v>1.9200000000000159</v>
      </c>
      <c r="AY57" s="950">
        <f t="shared" si="54"/>
        <v>-42.366</v>
      </c>
      <c r="AZ57" s="949">
        <f t="shared" si="54"/>
        <v>-167.977</v>
      </c>
      <c r="BA57" s="949">
        <f t="shared" si="54"/>
        <v>-17.99400000000001</v>
      </c>
      <c r="BB57" s="949">
        <f t="shared" si="54"/>
        <v>-75.052999999999983</v>
      </c>
      <c r="BC57" s="949">
        <f t="shared" si="54"/>
        <v>41.059999999999967</v>
      </c>
      <c r="BD57" s="950">
        <f t="shared" si="54"/>
        <v>-219.96400000000006</v>
      </c>
      <c r="BE57" s="949">
        <f t="shared" si="54"/>
        <v>-21.089999999999993</v>
      </c>
      <c r="BF57" s="949">
        <f t="shared" si="54"/>
        <v>-523.24900000000002</v>
      </c>
      <c r="BG57" s="949">
        <f t="shared" si="54"/>
        <v>-2.3740000000000343</v>
      </c>
      <c r="BH57" s="949">
        <f t="shared" si="54"/>
        <v>-423.86499999999995</v>
      </c>
      <c r="BI57" s="960">
        <f t="shared" si="54"/>
        <v>-970.57799999999986</v>
      </c>
      <c r="BJ57" s="949">
        <f t="shared" si="54"/>
        <v>-427.19500000000005</v>
      </c>
      <c r="BK57" s="949">
        <f t="shared" si="54"/>
        <v>-40.731999999999985</v>
      </c>
      <c r="BL57" s="949">
        <f t="shared" si="54"/>
        <v>-745.44400000000007</v>
      </c>
      <c r="BM57" s="813">
        <f t="shared" si="54"/>
        <v>-54.08400000000001</v>
      </c>
      <c r="BN57" s="960">
        <f t="shared" si="54"/>
        <v>-1267.4550000000002</v>
      </c>
      <c r="BO57" s="949">
        <f>+SUM(BO54,BO55,BO56)</f>
        <v>-44.710999999999991</v>
      </c>
      <c r="BP57" s="949">
        <f t="shared" ref="BP57:BR57" si="55">+SUM(BP54,BP55,BP56)</f>
        <v>-30.903999999999996</v>
      </c>
      <c r="BQ57" s="949">
        <f t="shared" si="55"/>
        <v>-384.07500000000005</v>
      </c>
      <c r="BR57" s="813">
        <f t="shared" si="55"/>
        <v>-264.93200000000002</v>
      </c>
      <c r="BS57" s="960">
        <f t="shared" si="54"/>
        <v>-724.62199999999996</v>
      </c>
      <c r="BT57" s="949">
        <f>+SUM(BT54,BT55,BT56)</f>
        <v>-13.355000000000002</v>
      </c>
      <c r="BU57" s="813">
        <f t="shared" si="54"/>
        <v>-21.472478359035037</v>
      </c>
      <c r="BV57" s="813">
        <f t="shared" si="54"/>
        <v>-21.324824407271745</v>
      </c>
      <c r="BW57" s="813">
        <f t="shared" si="54"/>
        <v>-14.444289264617495</v>
      </c>
      <c r="BX57" s="960">
        <f t="shared" si="54"/>
        <v>-70.596592030924327</v>
      </c>
      <c r="BY57" s="813">
        <f t="shared" si="54"/>
        <v>-16.384099787151758</v>
      </c>
      <c r="BZ57" s="813">
        <f t="shared" si="54"/>
        <v>-21.182525164006453</v>
      </c>
      <c r="CA57" s="813">
        <f t="shared" si="54"/>
        <v>-19.604528222371449</v>
      </c>
      <c r="CB57" s="813">
        <f t="shared" si="54"/>
        <v>-10.979690774006155</v>
      </c>
      <c r="CC57" s="960">
        <f t="shared" si="54"/>
        <v>-68.150843947535733</v>
      </c>
      <c r="CD57" s="813">
        <f t="shared" si="54"/>
        <v>-4.0994092453096229</v>
      </c>
      <c r="CE57" s="813">
        <f t="shared" si="54"/>
        <v>-11.509177677718945</v>
      </c>
      <c r="CF57" s="813">
        <f t="shared" si="54"/>
        <v>-9.7573793128606816</v>
      </c>
      <c r="CG57" s="813">
        <f t="shared" si="54"/>
        <v>-0.89995382021785275</v>
      </c>
      <c r="CH57" s="960">
        <f t="shared" si="54"/>
        <v>-26.265920056107063</v>
      </c>
      <c r="CI57" s="813">
        <f t="shared" si="54"/>
        <v>1.9956362429778309</v>
      </c>
      <c r="CJ57" s="813">
        <f t="shared" si="54"/>
        <v>-8.0157674367702292</v>
      </c>
      <c r="CK57" s="813">
        <f t="shared" si="54"/>
        <v>-5.6784590067950873</v>
      </c>
      <c r="CL57" s="813">
        <f t="shared" si="54"/>
        <v>3.6335074758230466</v>
      </c>
      <c r="CM57" s="960">
        <f t="shared" si="54"/>
        <v>-8.065082724764352</v>
      </c>
      <c r="CN57" s="813">
        <f t="shared" si="54"/>
        <v>8.760320775414316</v>
      </c>
      <c r="CO57" s="813">
        <f t="shared" si="54"/>
        <v>-4.4315563807868958</v>
      </c>
      <c r="CP57" s="813">
        <f t="shared" si="54"/>
        <v>-1.277780077446792</v>
      </c>
      <c r="CQ57" s="813">
        <f t="shared" si="54"/>
        <v>8.4019224657755096</v>
      </c>
      <c r="CR57" s="960">
        <f t="shared" si="54"/>
        <v>11.452906782956077</v>
      </c>
      <c r="CT57" s="999"/>
      <c r="CU57" s="999"/>
      <c r="CW57" s="943">
        <f>+ROUND(AJ57,3)-ROUND(SUM(AF57:AI57),3)</f>
        <v>0</v>
      </c>
      <c r="CX57" s="943">
        <f>+ROUND(AO57,3)-ROUND(SUM(AK57:AN57),3)</f>
        <v>-38.363</v>
      </c>
      <c r="CY57" s="943">
        <f>+ROUND(AT57,3)-ROUND(SUM(AP57:AS57),3)</f>
        <v>0</v>
      </c>
      <c r="CZ57" s="943">
        <f>+ROUND(AY57,3)-ROUND(SUM(AU57:AX57),3)</f>
        <v>0</v>
      </c>
      <c r="DA57" s="943">
        <f>+ROUND(BD57,3)-ROUND(SUM(AZ57:BC57),3)</f>
        <v>0</v>
      </c>
      <c r="DB57" s="943">
        <f>+ROUND(BI57,3)-ROUND(SUM(BE57:BH57),3)</f>
        <v>0</v>
      </c>
      <c r="DC57" s="943">
        <f>+ROUND(BN57,3)-ROUND(SUM(BJ57:BM57),3)</f>
        <v>0</v>
      </c>
      <c r="DD57" s="943">
        <f>+ROUND(BS57,3)-ROUND(SUM(BO57:BR57),3)</f>
        <v>0</v>
      </c>
      <c r="DE57" s="943">
        <f>+ROUND(BX57,3)-ROUND(SUM(BT57:BW57),3)</f>
        <v>0</v>
      </c>
      <c r="DF57" s="943">
        <f t="shared" si="36"/>
        <v>0</v>
      </c>
      <c r="DG57" s="943">
        <f t="shared" si="37"/>
        <v>0</v>
      </c>
      <c r="DH57" s="943">
        <f t="shared" si="38"/>
        <v>0</v>
      </c>
      <c r="DI57" s="943">
        <f t="shared" si="39"/>
        <v>0</v>
      </c>
    </row>
    <row r="58" spans="1:113" ht="12" customHeight="1">
      <c r="A58" s="972" t="s">
        <v>984</v>
      </c>
      <c r="B58" s="791"/>
      <c r="C58" s="791"/>
      <c r="D58" s="791"/>
      <c r="E58" s="791"/>
      <c r="F58" s="792"/>
      <c r="G58" s="959"/>
      <c r="H58" s="959"/>
      <c r="I58" s="959"/>
      <c r="J58" s="959"/>
      <c r="K58" s="950"/>
      <c r="L58" s="959"/>
      <c r="M58" s="959"/>
      <c r="N58" s="959"/>
      <c r="O58" s="959"/>
      <c r="P58" s="950"/>
      <c r="Q58" s="959"/>
      <c r="R58" s="959"/>
      <c r="S58" s="959"/>
      <c r="T58" s="959"/>
      <c r="U58" s="950"/>
      <c r="V58" s="959"/>
      <c r="W58" s="959"/>
      <c r="X58" s="959"/>
      <c r="Y58" s="959"/>
      <c r="Z58" s="958"/>
      <c r="AA58" s="959"/>
      <c r="AB58" s="959"/>
      <c r="AC58" s="959"/>
      <c r="AD58" s="959"/>
      <c r="AE58" s="950"/>
      <c r="AF58" s="959"/>
      <c r="AG58" s="959"/>
      <c r="AH58" s="959"/>
      <c r="AI58" s="959"/>
      <c r="AJ58" s="950"/>
      <c r="AK58" s="959"/>
      <c r="AL58" s="959"/>
      <c r="AM58" s="959"/>
      <c r="AN58" s="959"/>
      <c r="AO58" s="958">
        <v>-8.2449999999999992</v>
      </c>
      <c r="AP58" s="959">
        <v>0</v>
      </c>
      <c r="AQ58" s="959">
        <v>-2</v>
      </c>
      <c r="AR58" s="959">
        <v>-1</v>
      </c>
      <c r="AS58" s="959">
        <f>-7.271-SUM(AP58:AR58)</f>
        <v>-4.2709999999999999</v>
      </c>
      <c r="AT58" s="950">
        <f>+SUM(AP58:AS58)</f>
        <v>-7.2709999999999999</v>
      </c>
      <c r="AU58" s="959">
        <v>8.17</v>
      </c>
      <c r="AV58" s="959">
        <v>6.218</v>
      </c>
      <c r="AW58" s="959">
        <v>9.6850000000000005</v>
      </c>
      <c r="AX58" s="959">
        <f>-6.681-0.612-SUM(AU58:AW58)</f>
        <v>-31.366</v>
      </c>
      <c r="AY58" s="950">
        <f>+SUM(AU58:AX58)</f>
        <v>-7.2929999999999993</v>
      </c>
      <c r="AZ58" s="959">
        <v>1.3779999999999999</v>
      </c>
      <c r="BA58" s="959">
        <v>5.9939999999999998</v>
      </c>
      <c r="BB58" s="959">
        <v>-10.763999999999999</v>
      </c>
      <c r="BC58" s="959">
        <f>-30.05-SUM(AZ58:BB58)</f>
        <v>-26.658000000000001</v>
      </c>
      <c r="BD58" s="950">
        <f>+SUM(AZ58:BC58)</f>
        <v>-30.05</v>
      </c>
      <c r="BE58" s="959">
        <v>-8.4689999999999994</v>
      </c>
      <c r="BF58" s="959">
        <v>-113.664</v>
      </c>
      <c r="BG58" s="959">
        <v>-7.8769999999999998</v>
      </c>
      <c r="BH58" s="959">
        <v>-120.366</v>
      </c>
      <c r="BI58" s="960">
        <f>+SUM(BE58:BH58)</f>
        <v>-250.37599999999998</v>
      </c>
      <c r="BJ58" s="959">
        <v>-66.311000000000007</v>
      </c>
      <c r="BK58" s="959">
        <v>-2.1030000000000002</v>
      </c>
      <c r="BL58" s="959">
        <v>-5.4130000000000003</v>
      </c>
      <c r="BM58" s="817">
        <v>-8.5489999999999995</v>
      </c>
      <c r="BN58" s="960">
        <f>+SUM(BJ58:BM58)</f>
        <v>-82.376000000000005</v>
      </c>
      <c r="BO58" s="959">
        <v>-1.923</v>
      </c>
      <c r="BP58" s="959">
        <v>1.9490000000000001</v>
      </c>
      <c r="BQ58" s="959">
        <v>-2.431</v>
      </c>
      <c r="BR58" s="817">
        <v>3.5680000000000001</v>
      </c>
      <c r="BS58" s="960">
        <f>+SUM(BO58:BR58)</f>
        <v>1.1629999999999998</v>
      </c>
      <c r="BT58" s="959">
        <v>2.1680000000000001</v>
      </c>
      <c r="BU58" s="813">
        <f>+BU59*BU57</f>
        <v>0</v>
      </c>
      <c r="BV58" s="813">
        <f>+BV59*BV57</f>
        <v>0</v>
      </c>
      <c r="BW58" s="813">
        <f>+BW59*BW57</f>
        <v>0</v>
      </c>
      <c r="BX58" s="960">
        <f>+SUM(BT58:BW58)</f>
        <v>2.1680000000000001</v>
      </c>
      <c r="BY58" s="813">
        <f>+BY59*BY57</f>
        <v>0</v>
      </c>
      <c r="BZ58" s="813">
        <f>+BZ59*BZ57</f>
        <v>0</v>
      </c>
      <c r="CA58" s="813">
        <f>+CA59*CA57</f>
        <v>0</v>
      </c>
      <c r="CB58" s="813">
        <f>+CB59*CB57</f>
        <v>0</v>
      </c>
      <c r="CC58" s="960">
        <f>+SUM(BY58:CB58)</f>
        <v>0</v>
      </c>
      <c r="CD58" s="813">
        <f>+CD59*CD57</f>
        <v>0</v>
      </c>
      <c r="CE58" s="813">
        <f>+CE59*CE57</f>
        <v>0</v>
      </c>
      <c r="CF58" s="813">
        <f>+CF59*CF57</f>
        <v>0</v>
      </c>
      <c r="CG58" s="813">
        <f>+CG59*CG57</f>
        <v>0</v>
      </c>
      <c r="CH58" s="960">
        <f>+SUM(CD58:CG58)</f>
        <v>0</v>
      </c>
      <c r="CI58" s="813">
        <f>+CI59*CI57</f>
        <v>0</v>
      </c>
      <c r="CJ58" s="813">
        <f>+CJ59*CJ57</f>
        <v>0</v>
      </c>
      <c r="CK58" s="813">
        <f>+CK59*CK57</f>
        <v>0</v>
      </c>
      <c r="CL58" s="813">
        <f>+CL59*CL57</f>
        <v>0</v>
      </c>
      <c r="CM58" s="960">
        <f>+SUM(CI58:CL58)</f>
        <v>0</v>
      </c>
      <c r="CN58" s="813">
        <f>+CN59*CN57</f>
        <v>0</v>
      </c>
      <c r="CO58" s="813">
        <f>+CO59*CO57</f>
        <v>0</v>
      </c>
      <c r="CP58" s="813">
        <f>+CP59*CP57</f>
        <v>0</v>
      </c>
      <c r="CQ58" s="813">
        <f>+CQ59*CQ57</f>
        <v>0</v>
      </c>
      <c r="CR58" s="960">
        <f>+SUM(CN58:CQ58)</f>
        <v>0</v>
      </c>
      <c r="CT58" s="999"/>
      <c r="CU58" s="999"/>
      <c r="CW58" s="943">
        <f>+ROUND(AJ58,3)-ROUND(SUM(AF58:AI58),3)</f>
        <v>0</v>
      </c>
      <c r="CX58" s="943">
        <f>+ROUND(AO58,3)-ROUND(SUM(AK58:AN58),3)</f>
        <v>-8.2449999999999992</v>
      </c>
      <c r="CY58" s="943">
        <f>+ROUND(AT58,3)-ROUND(SUM(AP58:AS58),3)</f>
        <v>0</v>
      </c>
      <c r="CZ58" s="943">
        <f>+ROUND(AY58,3)-ROUND(SUM(AU58:AX58),3)</f>
        <v>0</v>
      </c>
      <c r="DA58" s="943">
        <f>+ROUND(BD58,3)-ROUND(SUM(AZ58:BC58),3)</f>
        <v>0</v>
      </c>
      <c r="DB58" s="943">
        <f>+ROUND(BI58,3)-ROUND(SUM(BE58:BH58),3)</f>
        <v>0</v>
      </c>
      <c r="DC58" s="943">
        <f>+ROUND(BN58,3)-ROUND(SUM(BJ58:BM58),3)</f>
        <v>0</v>
      </c>
      <c r="DD58" s="943">
        <f>+ROUND(BS58,3)-ROUND(SUM(BO58:BR58),3)</f>
        <v>0</v>
      </c>
      <c r="DE58" s="943">
        <f>+ROUND(BX58,3)-ROUND(SUM(BT58:BW58),3)</f>
        <v>0</v>
      </c>
      <c r="DF58" s="943">
        <f t="shared" si="36"/>
        <v>0</v>
      </c>
      <c r="DG58" s="943">
        <f t="shared" si="37"/>
        <v>0</v>
      </c>
      <c r="DH58" s="943">
        <f t="shared" si="38"/>
        <v>0</v>
      </c>
      <c r="DI58" s="943">
        <f t="shared" si="39"/>
        <v>0</v>
      </c>
    </row>
    <row r="59" spans="1:113" ht="12" customHeight="1">
      <c r="A59" s="1000" t="s">
        <v>985</v>
      </c>
      <c r="B59" s="791"/>
      <c r="C59" s="791"/>
      <c r="D59" s="791"/>
      <c r="E59" s="791"/>
      <c r="F59" s="792"/>
      <c r="G59" s="1001"/>
      <c r="H59" s="1001"/>
      <c r="I59" s="1001"/>
      <c r="J59" s="1001"/>
      <c r="K59" s="1002"/>
      <c r="L59" s="1001"/>
      <c r="M59" s="1001"/>
      <c r="N59" s="1001"/>
      <c r="O59" s="1001"/>
      <c r="P59" s="1003"/>
      <c r="Q59" s="1001"/>
      <c r="R59" s="1001"/>
      <c r="S59" s="1001"/>
      <c r="T59" s="1001"/>
      <c r="U59" s="1002"/>
      <c r="V59" s="1001"/>
      <c r="W59" s="1001"/>
      <c r="X59" s="1001"/>
      <c r="Y59" s="1001"/>
      <c r="Z59" s="1002"/>
      <c r="AA59" s="1001"/>
      <c r="AB59" s="1001"/>
      <c r="AC59" s="1001"/>
      <c r="AD59" s="1001"/>
      <c r="AE59" s="1002"/>
      <c r="AF59" s="1001"/>
      <c r="AG59" s="1001"/>
      <c r="AH59" s="1001"/>
      <c r="AI59" s="1001"/>
      <c r="AJ59" s="1002"/>
      <c r="AK59" s="1001"/>
      <c r="AL59" s="1001"/>
      <c r="AM59" s="1001"/>
      <c r="AN59" s="1001"/>
      <c r="AO59" s="1002">
        <f t="shared" ref="AO59:BR59" si="56">+AO58/AO57</f>
        <v>0.21492062664546566</v>
      </c>
      <c r="AP59" s="1004">
        <f t="shared" si="56"/>
        <v>0</v>
      </c>
      <c r="AQ59" s="1004">
        <f t="shared" si="56"/>
        <v>4.5454545454545463E-2</v>
      </c>
      <c r="AR59" s="1004">
        <f t="shared" si="56"/>
        <v>3.7119524870081702E-2</v>
      </c>
      <c r="AS59" s="1001">
        <f t="shared" si="56"/>
        <v>0.17290797943403105</v>
      </c>
      <c r="AT59" s="1002">
        <f t="shared" si="56"/>
        <v>6.6926850820592576E-2</v>
      </c>
      <c r="AU59" s="1004">
        <f t="shared" si="56"/>
        <v>-0.52432293672185903</v>
      </c>
      <c r="AV59" s="1004">
        <f t="shared" si="56"/>
        <v>-0.54919625507860759</v>
      </c>
      <c r="AW59" s="1004">
        <f t="shared" si="56"/>
        <v>-0.55718559429294623</v>
      </c>
      <c r="AX59" s="1001">
        <f t="shared" si="56"/>
        <v>-16.336458333333198</v>
      </c>
      <c r="AY59" s="1002">
        <f t="shared" si="56"/>
        <v>0.1721427559835717</v>
      </c>
      <c r="AZ59" s="1004">
        <f t="shared" si="56"/>
        <v>-8.203504051149859E-3</v>
      </c>
      <c r="BA59" s="1004">
        <f t="shared" si="56"/>
        <v>-0.33311103701233724</v>
      </c>
      <c r="BB59" s="1004">
        <f t="shared" si="56"/>
        <v>0.14341865082008717</v>
      </c>
      <c r="BC59" s="1001">
        <f t="shared" si="56"/>
        <v>-0.64924500730638146</v>
      </c>
      <c r="BD59" s="1002">
        <f t="shared" si="56"/>
        <v>0.13661326398865264</v>
      </c>
      <c r="BE59" s="1004">
        <f t="shared" si="56"/>
        <v>0.40156472261735432</v>
      </c>
      <c r="BF59" s="1004">
        <f t="shared" si="56"/>
        <v>0.21722736211631555</v>
      </c>
      <c r="BG59" s="1004">
        <f t="shared" si="56"/>
        <v>3.3180286436393791</v>
      </c>
      <c r="BH59" s="1001">
        <f t="shared" si="56"/>
        <v>0.28397249124131507</v>
      </c>
      <c r="BI59" s="1002">
        <f t="shared" si="56"/>
        <v>0.25796587188252773</v>
      </c>
      <c r="BJ59" s="1004">
        <f t="shared" si="56"/>
        <v>0.15522419503973595</v>
      </c>
      <c r="BK59" s="1004">
        <f t="shared" si="56"/>
        <v>5.1630167926937073E-2</v>
      </c>
      <c r="BL59" s="1005">
        <f t="shared" si="56"/>
        <v>7.2614441862836106E-3</v>
      </c>
      <c r="BM59" s="1001">
        <f t="shared" si="56"/>
        <v>0.15806892981288362</v>
      </c>
      <c r="BN59" s="1002">
        <f t="shared" si="56"/>
        <v>6.499323447380774E-2</v>
      </c>
      <c r="BO59" s="1004">
        <f t="shared" si="56"/>
        <v>4.3009550222540327E-2</v>
      </c>
      <c r="BP59" s="1004">
        <f t="shared" si="56"/>
        <v>-6.3066269738545178E-2</v>
      </c>
      <c r="BQ59" s="1005">
        <f t="shared" si="56"/>
        <v>6.3294929375772952E-3</v>
      </c>
      <c r="BR59" s="1001">
        <f t="shared" si="56"/>
        <v>-1.3467606782117674E-2</v>
      </c>
      <c r="BS59" s="1002">
        <f>+BS58/BS57</f>
        <v>-1.6049747316531928E-3</v>
      </c>
      <c r="BT59" s="1004">
        <f t="shared" ref="BT59" si="57">+BT58/BT57</f>
        <v>-0.16233620366903781</v>
      </c>
      <c r="BU59" s="1006">
        <v>0</v>
      </c>
      <c r="BV59" s="1006">
        <v>0</v>
      </c>
      <c r="BW59" s="1006">
        <v>0</v>
      </c>
      <c r="BX59" s="1002">
        <f>+BX58/BX57</f>
        <v>-3.0709697701134402E-2</v>
      </c>
      <c r="BY59" s="1006">
        <v>0</v>
      </c>
      <c r="BZ59" s="1006">
        <v>0</v>
      </c>
      <c r="CA59" s="1006">
        <v>0</v>
      </c>
      <c r="CB59" s="1006">
        <v>0</v>
      </c>
      <c r="CC59" s="1002">
        <f>+CC58/CC57</f>
        <v>0</v>
      </c>
      <c r="CD59" s="1006">
        <v>0</v>
      </c>
      <c r="CE59" s="1006">
        <v>0</v>
      </c>
      <c r="CF59" s="1006">
        <v>0</v>
      </c>
      <c r="CG59" s="1006">
        <v>0</v>
      </c>
      <c r="CH59" s="1002">
        <f>+CH58/CH57</f>
        <v>0</v>
      </c>
      <c r="CI59" s="1006">
        <v>0</v>
      </c>
      <c r="CJ59" s="1006">
        <v>0</v>
      </c>
      <c r="CK59" s="1006">
        <v>0</v>
      </c>
      <c r="CL59" s="1006">
        <v>0</v>
      </c>
      <c r="CM59" s="1002">
        <f>+CM58/CM57</f>
        <v>0</v>
      </c>
      <c r="CN59" s="1006">
        <v>0</v>
      </c>
      <c r="CO59" s="1006">
        <v>0</v>
      </c>
      <c r="CP59" s="1006">
        <v>0</v>
      </c>
      <c r="CQ59" s="1006">
        <v>0</v>
      </c>
      <c r="CR59" s="1002">
        <f>+CR58/CR57</f>
        <v>0</v>
      </c>
      <c r="CT59" s="999"/>
      <c r="CU59" s="999"/>
      <c r="CW59" s="943"/>
      <c r="CX59" s="943"/>
      <c r="CY59" s="943"/>
      <c r="CZ59" s="943"/>
      <c r="DA59" s="943"/>
      <c r="DB59" s="943"/>
      <c r="DC59" s="943"/>
      <c r="DD59" s="943"/>
      <c r="DE59" s="943"/>
      <c r="DF59" s="943"/>
      <c r="DG59" s="943"/>
      <c r="DH59" s="943"/>
      <c r="DI59" s="943"/>
    </row>
    <row r="60" spans="1:113" ht="12" customHeight="1">
      <c r="A60" s="972" t="s">
        <v>986</v>
      </c>
      <c r="B60" s="1007"/>
      <c r="C60" s="1008"/>
      <c r="D60" s="1008"/>
      <c r="E60" s="1007"/>
      <c r="F60" s="942"/>
      <c r="G60" s="949"/>
      <c r="H60" s="949"/>
      <c r="I60" s="949"/>
      <c r="J60" s="949"/>
      <c r="K60" s="950"/>
      <c r="L60" s="949"/>
      <c r="M60" s="949"/>
      <c r="N60" s="949"/>
      <c r="O60" s="949"/>
      <c r="P60" s="950"/>
      <c r="Q60" s="949"/>
      <c r="R60" s="949"/>
      <c r="S60" s="949"/>
      <c r="T60" s="949"/>
      <c r="U60" s="950"/>
      <c r="V60" s="949"/>
      <c r="W60" s="949"/>
      <c r="X60" s="949"/>
      <c r="Y60" s="949"/>
      <c r="Z60" s="950"/>
      <c r="AA60" s="949"/>
      <c r="AB60" s="949"/>
      <c r="AC60" s="949"/>
      <c r="AD60" s="949"/>
      <c r="AE60" s="950"/>
      <c r="AF60" s="949"/>
      <c r="AG60" s="949"/>
      <c r="AH60" s="949"/>
      <c r="AI60" s="949"/>
      <c r="AJ60" s="950"/>
      <c r="AK60" s="949"/>
      <c r="AL60" s="949"/>
      <c r="AM60" s="949"/>
      <c r="AN60" s="949"/>
      <c r="AO60" s="950">
        <f t="shared" ref="AO60:CR60" si="58">+AO57-AO58</f>
        <v>-30.118000000000002</v>
      </c>
      <c r="AP60" s="949">
        <f t="shared" si="58"/>
        <v>-13</v>
      </c>
      <c r="AQ60" s="949">
        <f t="shared" si="58"/>
        <v>-41.999999999999993</v>
      </c>
      <c r="AR60" s="949">
        <f t="shared" si="58"/>
        <v>-25.939999999999969</v>
      </c>
      <c r="AS60" s="949">
        <f t="shared" si="58"/>
        <v>-20.429999999999993</v>
      </c>
      <c r="AT60" s="950">
        <f t="shared" si="58"/>
        <v>-101.37000000000002</v>
      </c>
      <c r="AU60" s="949">
        <f t="shared" si="58"/>
        <v>-23.751999999999988</v>
      </c>
      <c r="AV60" s="949">
        <f t="shared" si="58"/>
        <v>-17.54000000000001</v>
      </c>
      <c r="AW60" s="949">
        <f t="shared" si="58"/>
        <v>-27.067000000000014</v>
      </c>
      <c r="AX60" s="949">
        <f t="shared" si="58"/>
        <v>33.286000000000016</v>
      </c>
      <c r="AY60" s="950">
        <f t="shared" si="58"/>
        <v>-35.073</v>
      </c>
      <c r="AZ60" s="949">
        <f t="shared" si="58"/>
        <v>-169.35499999999999</v>
      </c>
      <c r="BA60" s="949">
        <f t="shared" si="58"/>
        <v>-23.98800000000001</v>
      </c>
      <c r="BB60" s="949">
        <f t="shared" si="58"/>
        <v>-64.288999999999987</v>
      </c>
      <c r="BC60" s="949">
        <f t="shared" si="58"/>
        <v>67.717999999999961</v>
      </c>
      <c r="BD60" s="950">
        <f t="shared" si="58"/>
        <v>-189.91400000000004</v>
      </c>
      <c r="BE60" s="949">
        <f t="shared" si="58"/>
        <v>-12.620999999999993</v>
      </c>
      <c r="BF60" s="949">
        <f t="shared" si="58"/>
        <v>-409.58500000000004</v>
      </c>
      <c r="BG60" s="949">
        <f t="shared" si="58"/>
        <v>5.5029999999999655</v>
      </c>
      <c r="BH60" s="949">
        <f t="shared" si="58"/>
        <v>-303.49899999999997</v>
      </c>
      <c r="BI60" s="950">
        <f t="shared" si="58"/>
        <v>-720.20199999999988</v>
      </c>
      <c r="BJ60" s="949">
        <f t="shared" si="58"/>
        <v>-360.88400000000001</v>
      </c>
      <c r="BK60" s="949">
        <f t="shared" si="58"/>
        <v>-38.628999999999984</v>
      </c>
      <c r="BL60" s="949">
        <f t="shared" si="58"/>
        <v>-740.03100000000006</v>
      </c>
      <c r="BM60" s="949">
        <f t="shared" si="58"/>
        <v>-45.535000000000011</v>
      </c>
      <c r="BN60" s="950">
        <f t="shared" si="58"/>
        <v>-1185.0790000000002</v>
      </c>
      <c r="BO60" s="949">
        <f t="shared" si="58"/>
        <v>-42.78799999999999</v>
      </c>
      <c r="BP60" s="949">
        <f t="shared" si="58"/>
        <v>-32.852999999999994</v>
      </c>
      <c r="BQ60" s="949">
        <f t="shared" si="58"/>
        <v>-381.64400000000006</v>
      </c>
      <c r="BR60" s="949">
        <f t="shared" si="58"/>
        <v>-268.5</v>
      </c>
      <c r="BS60" s="950">
        <f t="shared" si="58"/>
        <v>-725.78499999999997</v>
      </c>
      <c r="BT60" s="949">
        <f t="shared" si="58"/>
        <v>-15.523000000000003</v>
      </c>
      <c r="BU60" s="949">
        <f t="shared" si="58"/>
        <v>-21.472478359035037</v>
      </c>
      <c r="BV60" s="949">
        <f t="shared" si="58"/>
        <v>-21.324824407271745</v>
      </c>
      <c r="BW60" s="949">
        <f t="shared" si="58"/>
        <v>-14.444289264617495</v>
      </c>
      <c r="BX60" s="950">
        <f t="shared" si="58"/>
        <v>-72.764592030924334</v>
      </c>
      <c r="BY60" s="949">
        <f t="shared" si="58"/>
        <v>-16.384099787151758</v>
      </c>
      <c r="BZ60" s="949">
        <f t="shared" si="58"/>
        <v>-21.182525164006453</v>
      </c>
      <c r="CA60" s="949">
        <f t="shared" si="58"/>
        <v>-19.604528222371449</v>
      </c>
      <c r="CB60" s="949">
        <f t="shared" si="58"/>
        <v>-10.979690774006155</v>
      </c>
      <c r="CC60" s="950">
        <f t="shared" si="58"/>
        <v>-68.150843947535733</v>
      </c>
      <c r="CD60" s="949">
        <f t="shared" si="58"/>
        <v>-4.0994092453096229</v>
      </c>
      <c r="CE60" s="949">
        <f t="shared" si="58"/>
        <v>-11.509177677718945</v>
      </c>
      <c r="CF60" s="949">
        <f t="shared" si="58"/>
        <v>-9.7573793128606816</v>
      </c>
      <c r="CG60" s="949">
        <f t="shared" si="58"/>
        <v>-0.89995382021785275</v>
      </c>
      <c r="CH60" s="950">
        <f t="shared" si="58"/>
        <v>-26.265920056107063</v>
      </c>
      <c r="CI60" s="949">
        <f t="shared" si="58"/>
        <v>1.9956362429778309</v>
      </c>
      <c r="CJ60" s="949">
        <f t="shared" si="58"/>
        <v>-8.0157674367702292</v>
      </c>
      <c r="CK60" s="949">
        <f t="shared" si="58"/>
        <v>-5.6784590067950873</v>
      </c>
      <c r="CL60" s="949">
        <f t="shared" si="58"/>
        <v>3.6335074758230466</v>
      </c>
      <c r="CM60" s="950">
        <f t="shared" si="58"/>
        <v>-8.065082724764352</v>
      </c>
      <c r="CN60" s="949">
        <f t="shared" si="58"/>
        <v>8.760320775414316</v>
      </c>
      <c r="CO60" s="949">
        <f t="shared" si="58"/>
        <v>-4.4315563807868958</v>
      </c>
      <c r="CP60" s="949">
        <f t="shared" si="58"/>
        <v>-1.277780077446792</v>
      </c>
      <c r="CQ60" s="949">
        <f t="shared" si="58"/>
        <v>8.4019224657755096</v>
      </c>
      <c r="CR60" s="950">
        <f t="shared" si="58"/>
        <v>11.452906782956077</v>
      </c>
      <c r="CT60" s="767"/>
      <c r="CU60" s="767"/>
      <c r="CW60" s="943">
        <f t="shared" ref="CW60:CW73" si="59">+ROUND(AJ60,3)-ROUND(SUM(AF60:AI60),3)</f>
        <v>0</v>
      </c>
      <c r="CX60" s="943">
        <f t="shared" ref="CX60:CX73" si="60">+ROUND(AO60,3)-ROUND(SUM(AK60:AN60),3)</f>
        <v>-30.117999999999999</v>
      </c>
      <c r="CY60" s="943">
        <f t="shared" ref="CY60:CY73" si="61">+ROUND(AT60,3)-ROUND(SUM(AP60:AS60),3)</f>
        <v>0</v>
      </c>
      <c r="CZ60" s="943">
        <f t="shared" ref="CZ60:CZ73" si="62">+ROUND(AY60,3)-ROUND(SUM(AU60:AX60),3)</f>
        <v>0</v>
      </c>
      <c r="DA60" s="943">
        <f t="shared" ref="DA60:DA73" si="63">+ROUND(BD60,3)-ROUND(SUM(AZ60:BC60),3)</f>
        <v>0</v>
      </c>
      <c r="DB60" s="943">
        <f t="shared" ref="DB60:DB73" si="64">+ROUND(BI60,3)-ROUND(SUM(BE60:BH60),3)</f>
        <v>0</v>
      </c>
      <c r="DC60" s="943">
        <f t="shared" ref="DC60:DC73" si="65">+ROUND(BN60,3)-ROUND(SUM(BJ60:BM60),3)</f>
        <v>0</v>
      </c>
      <c r="DD60" s="943">
        <f t="shared" ref="DD60:DD73" si="66">+ROUND(BS60,3)-ROUND(SUM(BO60:BR60),3)</f>
        <v>0</v>
      </c>
      <c r="DE60" s="943">
        <f t="shared" ref="DE60:DE73" si="67">+ROUND(BX60,3)-ROUND(SUM(BT60:BW60),3)</f>
        <v>0</v>
      </c>
      <c r="DF60" s="943">
        <f t="shared" ref="DF60:DF73" si="68">+ROUND(CC60,3)-ROUND(SUM(BY60:CB60),3)</f>
        <v>0</v>
      </c>
      <c r="DG60" s="943">
        <f t="shared" ref="DG60:DG73" si="69">+ROUND(CH60,3)-ROUND(SUM(CD60:CG60),3)</f>
        <v>0</v>
      </c>
      <c r="DH60" s="943">
        <f t="shared" ref="DH60:DH73" si="70">+ROUND(CM60,3)-ROUND(SUM(CI60:CL60),3)</f>
        <v>0</v>
      </c>
      <c r="DI60" s="943">
        <f t="shared" ref="DI60:DI73" si="71">+ROUND(CR60,3)-ROUND(SUM(CN60:CQ60),3)</f>
        <v>0</v>
      </c>
    </row>
    <row r="61" spans="1:113" ht="12" customHeight="1">
      <c r="A61" s="947" t="s">
        <v>987</v>
      </c>
      <c r="B61" s="1007"/>
      <c r="C61" s="1008"/>
      <c r="D61" s="1008"/>
      <c r="E61" s="1007"/>
      <c r="F61" s="942"/>
      <c r="G61" s="959"/>
      <c r="H61" s="959"/>
      <c r="I61" s="959"/>
      <c r="J61" s="959"/>
      <c r="K61" s="950"/>
      <c r="L61" s="959"/>
      <c r="M61" s="959"/>
      <c r="N61" s="959"/>
      <c r="O61" s="959"/>
      <c r="P61" s="950"/>
      <c r="Q61" s="959"/>
      <c r="R61" s="959"/>
      <c r="S61" s="959"/>
      <c r="T61" s="959"/>
      <c r="U61" s="950"/>
      <c r="V61" s="959"/>
      <c r="W61" s="959"/>
      <c r="X61" s="959"/>
      <c r="Y61" s="959"/>
      <c r="Z61" s="958"/>
      <c r="AA61" s="959"/>
      <c r="AB61" s="959"/>
      <c r="AC61" s="959"/>
      <c r="AD61" s="959"/>
      <c r="AE61" s="950"/>
      <c r="AF61" s="959"/>
      <c r="AG61" s="959"/>
      <c r="AH61" s="959"/>
      <c r="AI61" s="959"/>
      <c r="AJ61" s="950"/>
      <c r="AK61" s="959"/>
      <c r="AL61" s="959"/>
      <c r="AM61" s="959"/>
      <c r="AN61" s="959"/>
      <c r="AO61" s="958">
        <f>+SUM(AK61:AN61)</f>
        <v>0</v>
      </c>
      <c r="AP61" s="959">
        <f>+SUM(AL61:AO61)</f>
        <v>0</v>
      </c>
      <c r="AQ61" s="959">
        <v>0</v>
      </c>
      <c r="AR61" s="959">
        <v>0</v>
      </c>
      <c r="AS61" s="959">
        <v>0</v>
      </c>
      <c r="AT61" s="950">
        <f>+SUM(AP61:AS61)</f>
        <v>0</v>
      </c>
      <c r="AU61" s="959">
        <v>0</v>
      </c>
      <c r="AV61" s="959">
        <v>0</v>
      </c>
      <c r="AW61" s="959">
        <v>0</v>
      </c>
      <c r="AX61" s="959">
        <v>2.0569999999999999</v>
      </c>
      <c r="AY61" s="950">
        <f>+SUM(AU61:AX61)</f>
        <v>2.0569999999999999</v>
      </c>
      <c r="AZ61" s="959">
        <v>-27.097000000000001</v>
      </c>
      <c r="BA61" s="959">
        <v>-3.4710000000000001</v>
      </c>
      <c r="BB61" s="959">
        <v>-5.0720000000000001</v>
      </c>
      <c r="BC61" s="959">
        <f>-24.138-SUM(AZ61:BB61)</f>
        <v>11.501999999999999</v>
      </c>
      <c r="BD61" s="950">
        <f>+SUM(AZ61:BC61)</f>
        <v>-24.138000000000002</v>
      </c>
      <c r="BE61" s="959">
        <v>-1.2649999999999999</v>
      </c>
      <c r="BF61" s="959">
        <v>-40.896999999999998</v>
      </c>
      <c r="BG61" s="959">
        <v>0.69799999999999995</v>
      </c>
      <c r="BH61" s="959">
        <v>-30.035</v>
      </c>
      <c r="BI61" s="950">
        <f>+SUM(BE61:BH61)</f>
        <v>-71.498999999999995</v>
      </c>
      <c r="BJ61" s="959">
        <v>-35.488999999999997</v>
      </c>
      <c r="BK61" s="959">
        <v>-3.7570000000000001</v>
      </c>
      <c r="BL61" s="959">
        <v>-72.474999999999994</v>
      </c>
      <c r="BM61" s="959">
        <v>-3.3340000000000001</v>
      </c>
      <c r="BN61" s="950">
        <f>+SUM(BJ61:BM61)</f>
        <v>-115.05499999999999</v>
      </c>
      <c r="BO61" s="959">
        <v>-3.9260000000000002</v>
      </c>
      <c r="BP61" s="959">
        <v>-2.99</v>
      </c>
      <c r="BQ61" s="959">
        <v>-34.734000000000002</v>
      </c>
      <c r="BR61" s="959">
        <v>-24.305</v>
      </c>
      <c r="BS61" s="950">
        <f>+SUM(BO61:BR61)</f>
        <v>-65.955000000000013</v>
      </c>
      <c r="BT61" s="959">
        <v>-1.397</v>
      </c>
      <c r="BU61" s="959">
        <v>0</v>
      </c>
      <c r="BV61" s="959">
        <v>0</v>
      </c>
      <c r="BW61" s="959">
        <v>0</v>
      </c>
      <c r="BX61" s="950">
        <f>+SUM(BT61:BW61)</f>
        <v>-1.397</v>
      </c>
      <c r="BY61" s="959">
        <v>0</v>
      </c>
      <c r="BZ61" s="959">
        <v>0</v>
      </c>
      <c r="CA61" s="959">
        <v>0</v>
      </c>
      <c r="CB61" s="959">
        <v>0</v>
      </c>
      <c r="CC61" s="950">
        <f>+SUM(BY61:CB61)</f>
        <v>0</v>
      </c>
      <c r="CD61" s="959">
        <v>0</v>
      </c>
      <c r="CE61" s="959">
        <v>0</v>
      </c>
      <c r="CF61" s="959">
        <v>0</v>
      </c>
      <c r="CG61" s="959">
        <v>0</v>
      </c>
      <c r="CH61" s="950">
        <f>+SUM(CD61:CG61)</f>
        <v>0</v>
      </c>
      <c r="CI61" s="959">
        <v>0</v>
      </c>
      <c r="CJ61" s="959">
        <v>0</v>
      </c>
      <c r="CK61" s="959">
        <v>0</v>
      </c>
      <c r="CL61" s="959">
        <v>0</v>
      </c>
      <c r="CM61" s="950">
        <f>+SUM(CI61:CL61)</f>
        <v>0</v>
      </c>
      <c r="CN61" s="959">
        <v>0</v>
      </c>
      <c r="CO61" s="959">
        <v>0</v>
      </c>
      <c r="CP61" s="959">
        <v>0</v>
      </c>
      <c r="CQ61" s="959">
        <v>0</v>
      </c>
      <c r="CR61" s="950">
        <f>+SUM(CN61:CQ61)</f>
        <v>0</v>
      </c>
      <c r="CT61" s="935"/>
      <c r="CU61" s="935"/>
      <c r="CW61" s="943">
        <f t="shared" si="59"/>
        <v>0</v>
      </c>
      <c r="CX61" s="943">
        <f t="shared" si="60"/>
        <v>0</v>
      </c>
      <c r="CY61" s="943">
        <f t="shared" si="61"/>
        <v>0</v>
      </c>
      <c r="CZ61" s="943">
        <f t="shared" si="62"/>
        <v>0</v>
      </c>
      <c r="DA61" s="943">
        <f t="shared" si="63"/>
        <v>0</v>
      </c>
      <c r="DB61" s="943">
        <f t="shared" si="64"/>
        <v>0</v>
      </c>
      <c r="DC61" s="943">
        <f t="shared" si="65"/>
        <v>0</v>
      </c>
      <c r="DD61" s="943">
        <f t="shared" si="66"/>
        <v>0</v>
      </c>
      <c r="DE61" s="943">
        <f t="shared" si="67"/>
        <v>0</v>
      </c>
      <c r="DF61" s="943">
        <f t="shared" si="68"/>
        <v>0</v>
      </c>
      <c r="DG61" s="943">
        <f t="shared" si="69"/>
        <v>0</v>
      </c>
      <c r="DH61" s="943">
        <f t="shared" si="70"/>
        <v>0</v>
      </c>
      <c r="DI61" s="943">
        <f t="shared" si="71"/>
        <v>0</v>
      </c>
    </row>
    <row r="62" spans="1:113" ht="12" customHeight="1">
      <c r="A62" s="947" t="s">
        <v>988</v>
      </c>
      <c r="B62" s="959"/>
      <c r="C62" s="959"/>
      <c r="D62" s="959"/>
      <c r="E62" s="959"/>
      <c r="F62" s="950"/>
      <c r="G62" s="959"/>
      <c r="H62" s="959"/>
      <c r="I62" s="959"/>
      <c r="J62" s="959"/>
      <c r="K62" s="950"/>
      <c r="L62" s="959"/>
      <c r="M62" s="959"/>
      <c r="N62" s="959"/>
      <c r="O62" s="959"/>
      <c r="P62" s="950"/>
      <c r="Q62" s="959"/>
      <c r="R62" s="959"/>
      <c r="S62" s="959"/>
      <c r="T62" s="959"/>
      <c r="U62" s="950"/>
      <c r="V62" s="959"/>
      <c r="W62" s="959"/>
      <c r="X62" s="959"/>
      <c r="Y62" s="959"/>
      <c r="Z62" s="958"/>
      <c r="AA62" s="959"/>
      <c r="AB62" s="959"/>
      <c r="AC62" s="959"/>
      <c r="AD62" s="959"/>
      <c r="AE62" s="950"/>
      <c r="AF62" s="959"/>
      <c r="AG62" s="959"/>
      <c r="AH62" s="959"/>
      <c r="AI62" s="959"/>
      <c r="AJ62" s="950"/>
      <c r="AK62" s="959"/>
      <c r="AL62" s="959"/>
      <c r="AM62" s="959"/>
      <c r="AN62" s="959"/>
      <c r="AO62" s="958">
        <f>+SUM(AK62:AN62)</f>
        <v>0</v>
      </c>
      <c r="AP62" s="959">
        <f>+SUM(AL62:AO62)</f>
        <v>0</v>
      </c>
      <c r="AQ62" s="959">
        <v>0</v>
      </c>
      <c r="AR62" s="959">
        <v>0</v>
      </c>
      <c r="AS62" s="959">
        <v>0</v>
      </c>
      <c r="AT62" s="950">
        <f>+SUM(AP62:AS62)</f>
        <v>0</v>
      </c>
      <c r="AU62" s="959">
        <v>0</v>
      </c>
      <c r="AV62" s="959">
        <v>0</v>
      </c>
      <c r="AW62" s="959">
        <v>0</v>
      </c>
      <c r="AX62" s="959">
        <v>0</v>
      </c>
      <c r="AY62" s="950">
        <f>+SUM(AU62:AX62)</f>
        <v>0</v>
      </c>
      <c r="AZ62" s="959">
        <v>0</v>
      </c>
      <c r="BA62" s="959">
        <v>0</v>
      </c>
      <c r="BB62" s="959">
        <v>0</v>
      </c>
      <c r="BC62" s="959">
        <v>0</v>
      </c>
      <c r="BD62" s="950">
        <f>+SUM(AZ62:BC62)</f>
        <v>0</v>
      </c>
      <c r="BE62" s="959">
        <v>0</v>
      </c>
      <c r="BF62" s="959">
        <v>0</v>
      </c>
      <c r="BG62" s="959">
        <v>0</v>
      </c>
      <c r="BH62" s="959">
        <v>0</v>
      </c>
      <c r="BI62" s="950">
        <f>+SUM(BE62:BH62)</f>
        <v>0</v>
      </c>
      <c r="BJ62" s="959">
        <v>0</v>
      </c>
      <c r="BK62" s="959">
        <v>0</v>
      </c>
      <c r="BL62" s="959">
        <v>0</v>
      </c>
      <c r="BM62" s="959">
        <v>0</v>
      </c>
      <c r="BN62" s="950">
        <f>+SUM(BJ62:BM62)</f>
        <v>0</v>
      </c>
      <c r="BO62" s="959">
        <v>0</v>
      </c>
      <c r="BP62" s="959">
        <v>0</v>
      </c>
      <c r="BQ62" s="959">
        <v>0</v>
      </c>
      <c r="BR62" s="959">
        <v>0</v>
      </c>
      <c r="BS62" s="950">
        <f>+SUM(BO62:BR62)</f>
        <v>0</v>
      </c>
      <c r="BT62" s="959">
        <v>0</v>
      </c>
      <c r="BU62" s="959">
        <v>0</v>
      </c>
      <c r="BV62" s="959">
        <v>0</v>
      </c>
      <c r="BW62" s="959">
        <v>0</v>
      </c>
      <c r="BX62" s="950">
        <f>+SUM(BT62:BW62)</f>
        <v>0</v>
      </c>
      <c r="BY62" s="959">
        <v>0</v>
      </c>
      <c r="BZ62" s="959">
        <v>0</v>
      </c>
      <c r="CA62" s="959">
        <v>0</v>
      </c>
      <c r="CB62" s="959">
        <v>0</v>
      </c>
      <c r="CC62" s="950">
        <f>+SUM(BY62:CB62)</f>
        <v>0</v>
      </c>
      <c r="CD62" s="959">
        <v>0</v>
      </c>
      <c r="CE62" s="959">
        <v>0</v>
      </c>
      <c r="CF62" s="959">
        <v>0</v>
      </c>
      <c r="CG62" s="959">
        <v>0</v>
      </c>
      <c r="CH62" s="950">
        <f>+SUM(CD62:CG62)</f>
        <v>0</v>
      </c>
      <c r="CI62" s="959">
        <v>0</v>
      </c>
      <c r="CJ62" s="959">
        <v>0</v>
      </c>
      <c r="CK62" s="959">
        <v>0</v>
      </c>
      <c r="CL62" s="959">
        <v>0</v>
      </c>
      <c r="CM62" s="950">
        <f>+SUM(CI62:CL62)</f>
        <v>0</v>
      </c>
      <c r="CN62" s="959">
        <v>0</v>
      </c>
      <c r="CO62" s="959">
        <v>0</v>
      </c>
      <c r="CP62" s="959">
        <v>0</v>
      </c>
      <c r="CQ62" s="959">
        <v>0</v>
      </c>
      <c r="CR62" s="950">
        <f>+SUM(CN62:CQ62)</f>
        <v>0</v>
      </c>
      <c r="CT62" s="784"/>
      <c r="CU62" s="784"/>
      <c r="CW62" s="943">
        <f t="shared" si="59"/>
        <v>0</v>
      </c>
      <c r="CX62" s="943">
        <f t="shared" si="60"/>
        <v>0</v>
      </c>
      <c r="CY62" s="943">
        <f t="shared" si="61"/>
        <v>0</v>
      </c>
      <c r="CZ62" s="943">
        <f t="shared" si="62"/>
        <v>0</v>
      </c>
      <c r="DA62" s="943">
        <f t="shared" si="63"/>
        <v>0</v>
      </c>
      <c r="DB62" s="943">
        <f t="shared" si="64"/>
        <v>0</v>
      </c>
      <c r="DC62" s="943">
        <f t="shared" si="65"/>
        <v>0</v>
      </c>
      <c r="DD62" s="943">
        <f t="shared" si="66"/>
        <v>0</v>
      </c>
      <c r="DE62" s="943">
        <f t="shared" si="67"/>
        <v>0</v>
      </c>
      <c r="DF62" s="943">
        <f t="shared" si="68"/>
        <v>0</v>
      </c>
      <c r="DG62" s="943">
        <f t="shared" si="69"/>
        <v>0</v>
      </c>
      <c r="DH62" s="943">
        <f t="shared" si="70"/>
        <v>0</v>
      </c>
      <c r="DI62" s="943">
        <f t="shared" si="71"/>
        <v>0</v>
      </c>
    </row>
    <row r="63" spans="1:113" ht="12" customHeight="1" thickBot="1">
      <c r="A63" s="1009" t="s">
        <v>989</v>
      </c>
      <c r="B63" s="1010"/>
      <c r="C63" s="1010"/>
      <c r="D63" s="1010"/>
      <c r="E63" s="1010"/>
      <c r="F63" s="1011"/>
      <c r="G63" s="1012"/>
      <c r="H63" s="1013"/>
      <c r="I63" s="1013"/>
      <c r="J63" s="1013"/>
      <c r="K63" s="1009"/>
      <c r="L63" s="1013"/>
      <c r="M63" s="1013"/>
      <c r="N63" s="1013"/>
      <c r="O63" s="1013"/>
      <c r="P63" s="1009"/>
      <c r="Q63" s="1013"/>
      <c r="R63" s="1013"/>
      <c r="S63" s="1013"/>
      <c r="T63" s="1013"/>
      <c r="U63" s="1009"/>
      <c r="V63" s="1013"/>
      <c r="W63" s="1013"/>
      <c r="X63" s="1013"/>
      <c r="Y63" s="1013"/>
      <c r="Z63" s="1009"/>
      <c r="AA63" s="1013"/>
      <c r="AB63" s="1013"/>
      <c r="AC63" s="1013"/>
      <c r="AD63" s="1013"/>
      <c r="AE63" s="1009"/>
      <c r="AF63" s="1013"/>
      <c r="AG63" s="1013"/>
      <c r="AH63" s="1013"/>
      <c r="AI63" s="1013"/>
      <c r="AJ63" s="1009"/>
      <c r="AK63" s="1013"/>
      <c r="AL63" s="1013"/>
      <c r="AM63" s="1013"/>
      <c r="AN63" s="1013"/>
      <c r="AO63" s="1009">
        <f>+AO60-AO61-AO62</f>
        <v>-30.118000000000002</v>
      </c>
      <c r="AP63" s="1013">
        <f>+AP60-AP61-AP62</f>
        <v>-13</v>
      </c>
      <c r="AQ63" s="1013">
        <f t="shared" ref="AQ63:CR63" si="72">+AQ60-AQ61-AQ62</f>
        <v>-41.999999999999993</v>
      </c>
      <c r="AR63" s="1013">
        <f t="shared" si="72"/>
        <v>-25.939999999999969</v>
      </c>
      <c r="AS63" s="1013">
        <f t="shared" si="72"/>
        <v>-20.429999999999993</v>
      </c>
      <c r="AT63" s="1009">
        <f t="shared" si="72"/>
        <v>-101.37000000000002</v>
      </c>
      <c r="AU63" s="1013">
        <f t="shared" si="72"/>
        <v>-23.751999999999988</v>
      </c>
      <c r="AV63" s="1013">
        <f t="shared" si="72"/>
        <v>-17.54000000000001</v>
      </c>
      <c r="AW63" s="1013">
        <f t="shared" si="72"/>
        <v>-27.067000000000014</v>
      </c>
      <c r="AX63" s="1013">
        <f t="shared" si="72"/>
        <v>31.229000000000017</v>
      </c>
      <c r="AY63" s="1009">
        <f t="shared" si="72"/>
        <v>-37.130000000000003</v>
      </c>
      <c r="AZ63" s="1013">
        <f t="shared" si="72"/>
        <v>-142.25799999999998</v>
      </c>
      <c r="BA63" s="1013">
        <f t="shared" si="72"/>
        <v>-20.51700000000001</v>
      </c>
      <c r="BB63" s="1013">
        <f t="shared" si="72"/>
        <v>-59.216999999999985</v>
      </c>
      <c r="BC63" s="1013">
        <f t="shared" si="72"/>
        <v>56.215999999999966</v>
      </c>
      <c r="BD63" s="1009">
        <f t="shared" si="72"/>
        <v>-165.77600000000004</v>
      </c>
      <c r="BE63" s="1013">
        <f t="shared" si="72"/>
        <v>-11.355999999999993</v>
      </c>
      <c r="BF63" s="1013">
        <f t="shared" si="72"/>
        <v>-368.68800000000005</v>
      </c>
      <c r="BG63" s="1013">
        <f t="shared" si="72"/>
        <v>4.804999999999966</v>
      </c>
      <c r="BH63" s="1013">
        <f t="shared" si="72"/>
        <v>-273.46399999999994</v>
      </c>
      <c r="BI63" s="1009">
        <f t="shared" si="72"/>
        <v>-648.70299999999986</v>
      </c>
      <c r="BJ63" s="1013">
        <f t="shared" si="72"/>
        <v>-325.39500000000004</v>
      </c>
      <c r="BK63" s="1013">
        <f t="shared" si="72"/>
        <v>-34.871999999999986</v>
      </c>
      <c r="BL63" s="1013">
        <f>+BL60-BL61-BL62</f>
        <v>-667.55600000000004</v>
      </c>
      <c r="BM63" s="1013">
        <f>+BM60-BM61-BM62</f>
        <v>-42.201000000000008</v>
      </c>
      <c r="BN63" s="1009">
        <f t="shared" si="72"/>
        <v>-1070.0240000000001</v>
      </c>
      <c r="BO63" s="1013">
        <f>+BO60-BO61-BO62</f>
        <v>-38.861999999999988</v>
      </c>
      <c r="BP63" s="1014">
        <f t="shared" ref="BP63" si="73">+BP60-BP61-BP62</f>
        <v>-29.862999999999992</v>
      </c>
      <c r="BQ63" s="1013">
        <f>+BQ60-BQ61-BQ62</f>
        <v>-346.91000000000008</v>
      </c>
      <c r="BR63" s="1013">
        <f>+BR60-BR61-BR62</f>
        <v>-244.19499999999999</v>
      </c>
      <c r="BS63" s="1009">
        <f t="shared" si="72"/>
        <v>-659.82999999999993</v>
      </c>
      <c r="BT63" s="1013">
        <f>+BT60-BT61-BT62</f>
        <v>-14.126000000000003</v>
      </c>
      <c r="BU63" s="1013">
        <f t="shared" si="72"/>
        <v>-21.472478359035037</v>
      </c>
      <c r="BV63" s="1013">
        <f t="shared" si="72"/>
        <v>-21.324824407271745</v>
      </c>
      <c r="BW63" s="1013">
        <f t="shared" si="72"/>
        <v>-14.444289264617495</v>
      </c>
      <c r="BX63" s="1009">
        <f t="shared" si="72"/>
        <v>-71.367592030924328</v>
      </c>
      <c r="BY63" s="1013">
        <f t="shared" si="72"/>
        <v>-16.384099787151758</v>
      </c>
      <c r="BZ63" s="1013">
        <f t="shared" si="72"/>
        <v>-21.182525164006453</v>
      </c>
      <c r="CA63" s="1013">
        <f t="shared" si="72"/>
        <v>-19.604528222371449</v>
      </c>
      <c r="CB63" s="1013">
        <f t="shared" si="72"/>
        <v>-10.979690774006155</v>
      </c>
      <c r="CC63" s="1009">
        <f t="shared" si="72"/>
        <v>-68.150843947535733</v>
      </c>
      <c r="CD63" s="1013">
        <f t="shared" si="72"/>
        <v>-4.0994092453096229</v>
      </c>
      <c r="CE63" s="1013">
        <f t="shared" si="72"/>
        <v>-11.509177677718945</v>
      </c>
      <c r="CF63" s="1013">
        <f t="shared" si="72"/>
        <v>-9.7573793128606816</v>
      </c>
      <c r="CG63" s="1013">
        <f t="shared" si="72"/>
        <v>-0.89995382021785275</v>
      </c>
      <c r="CH63" s="1009">
        <f t="shared" si="72"/>
        <v>-26.265920056107063</v>
      </c>
      <c r="CI63" s="1013">
        <f t="shared" si="72"/>
        <v>1.9956362429778309</v>
      </c>
      <c r="CJ63" s="1013">
        <f t="shared" si="72"/>
        <v>-8.0157674367702292</v>
      </c>
      <c r="CK63" s="1013">
        <f t="shared" si="72"/>
        <v>-5.6784590067950873</v>
      </c>
      <c r="CL63" s="1013">
        <f t="shared" si="72"/>
        <v>3.6335074758230466</v>
      </c>
      <c r="CM63" s="1009">
        <f t="shared" si="72"/>
        <v>-8.065082724764352</v>
      </c>
      <c r="CN63" s="1013">
        <f t="shared" si="72"/>
        <v>8.760320775414316</v>
      </c>
      <c r="CO63" s="1013">
        <f t="shared" si="72"/>
        <v>-4.4315563807868958</v>
      </c>
      <c r="CP63" s="1013">
        <f t="shared" si="72"/>
        <v>-1.277780077446792</v>
      </c>
      <c r="CQ63" s="1013">
        <f t="shared" si="72"/>
        <v>8.4019224657755096</v>
      </c>
      <c r="CR63" s="1009">
        <f t="shared" si="72"/>
        <v>11.452906782956077</v>
      </c>
      <c r="CT63" s="1015"/>
      <c r="CU63" s="1015"/>
      <c r="CW63" s="943">
        <f t="shared" si="59"/>
        <v>0</v>
      </c>
      <c r="CX63" s="943">
        <f t="shared" si="60"/>
        <v>-30.117999999999999</v>
      </c>
      <c r="CY63" s="943">
        <f t="shared" si="61"/>
        <v>0</v>
      </c>
      <c r="CZ63" s="943">
        <f t="shared" si="62"/>
        <v>0</v>
      </c>
      <c r="DA63" s="943">
        <f t="shared" si="63"/>
        <v>0</v>
      </c>
      <c r="DB63" s="943">
        <f t="shared" si="64"/>
        <v>0</v>
      </c>
      <c r="DC63" s="943">
        <f t="shared" si="65"/>
        <v>0</v>
      </c>
      <c r="DD63" s="943">
        <f t="shared" si="66"/>
        <v>0</v>
      </c>
      <c r="DE63" s="943">
        <f t="shared" si="67"/>
        <v>0</v>
      </c>
      <c r="DF63" s="943">
        <f t="shared" si="68"/>
        <v>0</v>
      </c>
      <c r="DG63" s="943">
        <f t="shared" si="69"/>
        <v>0</v>
      </c>
      <c r="DH63" s="943">
        <f t="shared" si="70"/>
        <v>0</v>
      </c>
      <c r="DI63" s="943">
        <f t="shared" si="71"/>
        <v>0</v>
      </c>
    </row>
    <row r="64" spans="1:113" ht="12" customHeight="1">
      <c r="A64" s="1016" t="s">
        <v>990</v>
      </c>
      <c r="B64" s="794"/>
      <c r="C64" s="794"/>
      <c r="D64" s="794"/>
      <c r="E64" s="794"/>
      <c r="F64" s="795"/>
      <c r="G64" s="933"/>
      <c r="H64" s="933"/>
      <c r="I64" s="933"/>
      <c r="J64" s="933"/>
      <c r="K64" s="935"/>
      <c r="L64" s="933"/>
      <c r="M64" s="933"/>
      <c r="N64" s="933"/>
      <c r="O64" s="933"/>
      <c r="P64" s="935"/>
      <c r="Q64" s="933"/>
      <c r="R64" s="933"/>
      <c r="S64" s="933"/>
      <c r="T64" s="933"/>
      <c r="U64" s="935"/>
      <c r="V64" s="933"/>
      <c r="W64" s="933"/>
      <c r="X64" s="933"/>
      <c r="Y64" s="933"/>
      <c r="Z64" s="935"/>
      <c r="AA64" s="933"/>
      <c r="AB64" s="933"/>
      <c r="AC64" s="933"/>
      <c r="AD64" s="933"/>
      <c r="AE64" s="935"/>
      <c r="AF64" s="933"/>
      <c r="AG64" s="933"/>
      <c r="AH64" s="933"/>
      <c r="AI64" s="933"/>
      <c r="AJ64" s="935"/>
      <c r="AK64" s="1017"/>
      <c r="AL64" s="1017"/>
      <c r="AM64" s="1017"/>
      <c r="AN64" s="1017"/>
      <c r="AO64" s="935">
        <f t="shared" ref="AO64:AT64" si="74">+AO27-AO53</f>
        <v>51.513999999999982</v>
      </c>
      <c r="AP64" s="933">
        <f t="shared" si="74"/>
        <v>14.14</v>
      </c>
      <c r="AQ64" s="933">
        <f t="shared" si="74"/>
        <v>16.140000000000008</v>
      </c>
      <c r="AR64" s="933">
        <f t="shared" si="74"/>
        <v>19.069875000000039</v>
      </c>
      <c r="AS64" s="933">
        <f t="shared" si="74"/>
        <v>20.41512500000001</v>
      </c>
      <c r="AT64" s="935">
        <f t="shared" si="74"/>
        <v>69.764999999999986</v>
      </c>
      <c r="AU64" s="933">
        <f t="shared" ref="AU64:BE64" si="75">+AU16-AU26-AU33-AU39-AU45</f>
        <v>26.962000000000014</v>
      </c>
      <c r="AV64" s="933">
        <f t="shared" si="75"/>
        <v>26.150999999999989</v>
      </c>
      <c r="AW64" s="933">
        <f t="shared" si="75"/>
        <v>28.254999999999992</v>
      </c>
      <c r="AX64" s="933">
        <f t="shared" si="75"/>
        <v>28.095999999999972</v>
      </c>
      <c r="AY64" s="935">
        <f t="shared" si="75"/>
        <v>109.46399999999997</v>
      </c>
      <c r="AZ64" s="933">
        <f t="shared" si="75"/>
        <v>29.190999999999999</v>
      </c>
      <c r="BA64" s="933">
        <f t="shared" si="75"/>
        <v>33.5</v>
      </c>
      <c r="BB64" s="933">
        <f t="shared" si="75"/>
        <v>45.889999999999986</v>
      </c>
      <c r="BC64" s="933">
        <f t="shared" si="75"/>
        <v>53.898000000000039</v>
      </c>
      <c r="BD64" s="935">
        <f t="shared" si="75"/>
        <v>162.47899999999998</v>
      </c>
      <c r="BE64" s="933">
        <f t="shared" si="75"/>
        <v>51.399999999999991</v>
      </c>
      <c r="BF64" s="933">
        <f>+BF16-BF26-BF33-BF39-BF45</f>
        <v>48.270999999999987</v>
      </c>
      <c r="BG64" s="933">
        <f>+BG16-BG26-BG33-BG39-BG45</f>
        <v>56.179000000000009</v>
      </c>
      <c r="BH64" s="933">
        <f>+BH16-BH26-BH33-BH39-BH45</f>
        <v>61.342000000000013</v>
      </c>
      <c r="BI64" s="935">
        <f t="shared" ref="BI64:CR64" si="76">+BI14-BI26-BI33-BI39-BI45</f>
        <v>217.19200000000001</v>
      </c>
      <c r="BJ64" s="933">
        <f>+BJ16-BJ26-BJ33-BJ39-BJ45</f>
        <v>53.76100000000001</v>
      </c>
      <c r="BK64" s="933">
        <f>+BK16-BK26-BK33-BK39-BK45</f>
        <v>56.107999999999983</v>
      </c>
      <c r="BL64" s="933">
        <f>+BL16-BL26-BL33-BL39-BL45</f>
        <v>55.356000000000016</v>
      </c>
      <c r="BM64" s="933">
        <f>+BM14-BM26-BM33-BM39-BM45</f>
        <v>55.10799999999999</v>
      </c>
      <c r="BN64" s="935">
        <f>+BN14-BN26-BN33-BN39-BN45</f>
        <v>220.33300000000014</v>
      </c>
      <c r="BO64" s="933">
        <f>+BO16-BO26-BO33-BO39-BO45</f>
        <v>50.725000000000009</v>
      </c>
      <c r="BP64" s="933">
        <f>+BP16-BP26-BP33-BP39-BP45</f>
        <v>54.867000000000004</v>
      </c>
      <c r="BQ64" s="933">
        <f>+BQ16-BQ26-BQ33-BQ39-BQ45</f>
        <v>53.575000000000017</v>
      </c>
      <c r="BR64" s="933">
        <f>+BR14-BR26-BR33-BR39-BR45</f>
        <v>56.315000000000019</v>
      </c>
      <c r="BS64" s="935">
        <f t="shared" si="76"/>
        <v>215.48200000000003</v>
      </c>
      <c r="BT64" s="933">
        <f>+BT16-BT26-BT33-BT39-BT45</f>
        <v>52.232000000000014</v>
      </c>
      <c r="BU64" s="933">
        <f t="shared" si="76"/>
        <v>50.588490052826444</v>
      </c>
      <c r="BV64" s="933">
        <f t="shared" si="76"/>
        <v>48.408101218157377</v>
      </c>
      <c r="BW64" s="933">
        <f t="shared" si="76"/>
        <v>54.215853935318393</v>
      </c>
      <c r="BX64" s="935">
        <f t="shared" si="76"/>
        <v>205.44444520630219</v>
      </c>
      <c r="BY64" s="933">
        <f t="shared" si="76"/>
        <v>52.761466113398704</v>
      </c>
      <c r="BZ64" s="933">
        <f t="shared" si="76"/>
        <v>49.240050358638683</v>
      </c>
      <c r="CA64" s="933">
        <f t="shared" si="76"/>
        <v>48.309152660417112</v>
      </c>
      <c r="CB64" s="933">
        <f t="shared" si="76"/>
        <v>55.848824691819047</v>
      </c>
      <c r="CC64" s="935">
        <f t="shared" si="76"/>
        <v>206.15949382427365</v>
      </c>
      <c r="CD64" s="933">
        <f t="shared" si="76"/>
        <v>57.494202591297679</v>
      </c>
      <c r="CE64" s="933">
        <f t="shared" si="76"/>
        <v>51.219227335449574</v>
      </c>
      <c r="CF64" s="933">
        <f t="shared" si="76"/>
        <v>50.379456781902896</v>
      </c>
      <c r="CG64" s="933">
        <f t="shared" si="76"/>
        <v>58.030938801828569</v>
      </c>
      <c r="CH64" s="935">
        <f t="shared" si="76"/>
        <v>217.12382551047872</v>
      </c>
      <c r="CI64" s="933">
        <f t="shared" si="76"/>
        <v>62.073345524894336</v>
      </c>
      <c r="CJ64" s="933">
        <f t="shared" si="76"/>
        <v>52.880807874056387</v>
      </c>
      <c r="CK64" s="933">
        <f t="shared" si="76"/>
        <v>52.511307448561588</v>
      </c>
      <c r="CL64" s="933">
        <f t="shared" si="76"/>
        <v>60.533862266015987</v>
      </c>
      <c r="CM64" s="935">
        <f t="shared" si="76"/>
        <v>227.99932311352833</v>
      </c>
      <c r="CN64" s="933">
        <f t="shared" si="76"/>
        <v>67.365332012497092</v>
      </c>
      <c r="CO64" s="933">
        <f t="shared" si="76"/>
        <v>54.677981943184946</v>
      </c>
      <c r="CP64" s="933">
        <f t="shared" si="76"/>
        <v>55.041479463816913</v>
      </c>
      <c r="CQ64" s="933">
        <f t="shared" si="76"/>
        <v>63.354311497193137</v>
      </c>
      <c r="CR64" s="935">
        <f t="shared" si="76"/>
        <v>240.43910491669209</v>
      </c>
      <c r="CT64" s="732">
        <f>+(CC64/BN64)^(0.333333333333333)-1</f>
        <v>-2.1919507417137329E-2</v>
      </c>
      <c r="CU64" s="732">
        <f>+(CM64/BN64)^(0.2)-1</f>
        <v>6.8639741913225638E-3</v>
      </c>
      <c r="CW64" s="943">
        <f>+ROUND(AJ64,3)-ROUND(SUM(AF64:AI64),3)</f>
        <v>0</v>
      </c>
      <c r="CX64" s="943">
        <f>+ROUND(AO64,3)-ROUND(SUM(AK64:AN64),3)</f>
        <v>51.514000000000003</v>
      </c>
      <c r="CY64" s="943">
        <f>+ROUND(AT64,3)-ROUND(SUM(AP64:AS64),3)</f>
        <v>0</v>
      </c>
      <c r="CZ64" s="943">
        <f>+ROUND(AY64,3)-ROUND(SUM(AU64:AX64),3)</f>
        <v>0</v>
      </c>
      <c r="DA64" s="943">
        <f t="shared" si="63"/>
        <v>0</v>
      </c>
      <c r="DB64" s="943">
        <f t="shared" si="64"/>
        <v>0</v>
      </c>
      <c r="DC64" s="943">
        <f t="shared" si="65"/>
        <v>0</v>
      </c>
      <c r="DD64" s="943">
        <f t="shared" si="66"/>
        <v>0</v>
      </c>
      <c r="DE64" s="943">
        <f t="shared" si="67"/>
        <v>0</v>
      </c>
      <c r="DF64" s="943">
        <f t="shared" si="68"/>
        <v>0</v>
      </c>
      <c r="DG64" s="943">
        <f t="shared" si="69"/>
        <v>0</v>
      </c>
      <c r="DH64" s="943">
        <f t="shared" si="70"/>
        <v>0</v>
      </c>
      <c r="DI64" s="943">
        <f t="shared" si="71"/>
        <v>0</v>
      </c>
    </row>
    <row r="65" spans="1:113" ht="12" customHeight="1" outlineLevel="1">
      <c r="A65" s="990" t="s">
        <v>991</v>
      </c>
      <c r="B65" s="794"/>
      <c r="C65" s="794"/>
      <c r="D65" s="794"/>
      <c r="E65" s="794"/>
      <c r="F65" s="795"/>
      <c r="G65" s="933"/>
      <c r="H65" s="933"/>
      <c r="I65" s="933"/>
      <c r="J65" s="933"/>
      <c r="K65" s="935"/>
      <c r="L65" s="933"/>
      <c r="M65" s="933"/>
      <c r="N65" s="933"/>
      <c r="O65" s="933"/>
      <c r="P65" s="935"/>
      <c r="Q65" s="933"/>
      <c r="R65" s="933"/>
      <c r="S65" s="933"/>
      <c r="T65" s="933"/>
      <c r="U65" s="935"/>
      <c r="V65" s="933"/>
      <c r="W65" s="933"/>
      <c r="X65" s="933"/>
      <c r="Y65" s="933"/>
      <c r="Z65" s="935"/>
      <c r="AA65" s="933"/>
      <c r="AB65" s="933"/>
      <c r="AC65" s="933"/>
      <c r="AD65" s="933"/>
      <c r="AE65" s="935"/>
      <c r="AF65" s="933"/>
      <c r="AG65" s="933"/>
      <c r="AH65" s="933"/>
      <c r="AI65" s="933"/>
      <c r="AJ65" s="935"/>
      <c r="AK65" s="1017"/>
      <c r="AL65" s="1017"/>
      <c r="AM65" s="1017"/>
      <c r="AN65" s="1017"/>
      <c r="AO65" s="958">
        <v>-21.914000000000001</v>
      </c>
      <c r="AP65" s="959">
        <f>-($AT$55+66.326)/4+AP55</f>
        <v>-10.692999999999998</v>
      </c>
      <c r="AQ65" s="959">
        <f>-($AT$55+66.326)/4+AQ55</f>
        <v>-16.692999999999998</v>
      </c>
      <c r="AR65" s="959">
        <f>-($AT$55+66.326)/4+AR55</f>
        <v>-19.336000000000006</v>
      </c>
      <c r="AS65" s="959">
        <f>-($AT$55+66.326)/4+AS55</f>
        <v>-19.603999999999999</v>
      </c>
      <c r="AT65" s="950">
        <f>+SUM(AP65:AS65)</f>
        <v>-66.325999999999993</v>
      </c>
      <c r="AU65" s="959">
        <v>-18.803000000000001</v>
      </c>
      <c r="AV65" s="959">
        <v>-17.222000000000001</v>
      </c>
      <c r="AW65" s="959">
        <v>-16.974</v>
      </c>
      <c r="AX65" s="959">
        <f>-65.34-1.804-SUM(AU65:AW65)</f>
        <v>-14.144999999999996</v>
      </c>
      <c r="AY65" s="950">
        <f>+SUM(AU65:AX65)</f>
        <v>-67.144000000000005</v>
      </c>
      <c r="AZ65" s="959">
        <v>-6.1369999999999996</v>
      </c>
      <c r="BA65" s="959">
        <v>-6.0430000000000001</v>
      </c>
      <c r="BB65" s="959">
        <v>-9.9809999999999999</v>
      </c>
      <c r="BC65" s="959">
        <f>-32.61-SUM(AZ65:BB65)</f>
        <v>-10.448999999999998</v>
      </c>
      <c r="BD65" s="950">
        <f>+SUM(AZ65:BC65)</f>
        <v>-32.61</v>
      </c>
      <c r="BE65" s="959">
        <v>-15.582000000000001</v>
      </c>
      <c r="BF65" s="959">
        <v>-17.32</v>
      </c>
      <c r="BG65" s="959">
        <v>-19.509</v>
      </c>
      <c r="BH65" s="959">
        <f>-15.6+8.5</f>
        <v>-7.1</v>
      </c>
      <c r="BI65" s="950">
        <f>+SUM(BE65:BH65)</f>
        <v>-59.511000000000003</v>
      </c>
      <c r="BJ65" s="959">
        <v>-24.279</v>
      </c>
      <c r="BK65" s="959">
        <f>+BK69</f>
        <v>-24.7</v>
      </c>
      <c r="BL65" s="959">
        <v>-24.491</v>
      </c>
      <c r="BM65" s="959">
        <v>-24.7</v>
      </c>
      <c r="BN65" s="950">
        <f>+SUM(BJ65:BM65)</f>
        <v>-98.17</v>
      </c>
      <c r="BO65" s="959">
        <v>-24.7</v>
      </c>
      <c r="BP65" s="959">
        <f>+BP69</f>
        <v>-24.45</v>
      </c>
      <c r="BQ65" s="959">
        <v>-23.401</v>
      </c>
      <c r="BR65" s="959">
        <v>-21.8</v>
      </c>
      <c r="BS65" s="950">
        <f>+SUM(BO65:BR65)</f>
        <v>-94.350999999999999</v>
      </c>
      <c r="BT65" s="959">
        <v>-22.1</v>
      </c>
      <c r="BU65" s="949">
        <v>-21.544101699999999</v>
      </c>
      <c r="BV65" s="949">
        <v>-21.33969142888159</v>
      </c>
      <c r="BW65" s="949">
        <v>-20.969343172876421</v>
      </c>
      <c r="BX65" s="950">
        <f>+SUM(BT65:BW65)</f>
        <v>-85.953136301758008</v>
      </c>
      <c r="BY65" s="949">
        <v>-20.391719509480982</v>
      </c>
      <c r="BZ65" s="949">
        <v>-19.946475157019027</v>
      </c>
      <c r="CA65" s="949">
        <v>-19.548193020373837</v>
      </c>
      <c r="CB65" s="949">
        <v>-19.169567397133189</v>
      </c>
      <c r="CC65" s="950">
        <f>+SUM(BY65:CB65)</f>
        <v>-79.055955084007039</v>
      </c>
      <c r="CD65" s="949">
        <v>-18.595623157819084</v>
      </c>
      <c r="CE65" s="949">
        <v>-18.21085827759628</v>
      </c>
      <c r="CF65" s="949">
        <v>-17.80406023088884</v>
      </c>
      <c r="CG65" s="949">
        <v>-17.367044183005582</v>
      </c>
      <c r="CH65" s="950">
        <f>+SUM(CD65:CG65)</f>
        <v>-71.977585849309776</v>
      </c>
      <c r="CI65" s="949">
        <v>-16.773947838203703</v>
      </c>
      <c r="CJ65" s="949">
        <v>-16.31644047849684</v>
      </c>
      <c r="CK65" s="949">
        <v>-15.870404378640949</v>
      </c>
      <c r="CL65" s="949">
        <v>-15.416805299838961</v>
      </c>
      <c r="CM65" s="950">
        <f>+SUM(CI65:CL65)</f>
        <v>-64.377597995180452</v>
      </c>
      <c r="CN65" s="949">
        <v>-14.819804798945126</v>
      </c>
      <c r="CO65" s="949">
        <v>-14.332283379613935</v>
      </c>
      <c r="CP65" s="949">
        <v>-13.841162536531698</v>
      </c>
      <c r="CQ65" s="949">
        <v>-13.373717627715951</v>
      </c>
      <c r="CR65" s="950">
        <f>+SUM(CN65:CQ65)</f>
        <v>-56.366968342806715</v>
      </c>
      <c r="CT65" s="999"/>
      <c r="CU65" s="999"/>
      <c r="CW65" s="943"/>
      <c r="CX65" s="943"/>
      <c r="CY65" s="943"/>
      <c r="CZ65" s="943"/>
      <c r="DA65" s="943">
        <f t="shared" si="63"/>
        <v>0</v>
      </c>
      <c r="DB65" s="943">
        <f t="shared" si="64"/>
        <v>0</v>
      </c>
      <c r="DC65" s="943">
        <f t="shared" si="65"/>
        <v>0</v>
      </c>
      <c r="DD65" s="943">
        <f t="shared" si="66"/>
        <v>0</v>
      </c>
      <c r="DE65" s="943">
        <f t="shared" si="67"/>
        <v>0</v>
      </c>
      <c r="DF65" s="943">
        <f t="shared" si="68"/>
        <v>0</v>
      </c>
      <c r="DG65" s="943">
        <f t="shared" si="69"/>
        <v>0</v>
      </c>
      <c r="DH65" s="943">
        <f t="shared" si="70"/>
        <v>0</v>
      </c>
      <c r="DI65" s="943">
        <f t="shared" si="71"/>
        <v>0</v>
      </c>
    </row>
    <row r="66" spans="1:113" ht="12" customHeight="1">
      <c r="A66" s="990" t="s">
        <v>992</v>
      </c>
      <c r="B66" s="794"/>
      <c r="C66" s="794"/>
      <c r="D66" s="794"/>
      <c r="E66" s="794"/>
      <c r="F66" s="795"/>
      <c r="G66" s="933"/>
      <c r="H66" s="933"/>
      <c r="I66" s="933"/>
      <c r="J66" s="933"/>
      <c r="K66" s="935"/>
      <c r="L66" s="933"/>
      <c r="M66" s="933"/>
      <c r="N66" s="933"/>
      <c r="O66" s="933"/>
      <c r="P66" s="935"/>
      <c r="Q66" s="933"/>
      <c r="R66" s="933"/>
      <c r="S66" s="933"/>
      <c r="T66" s="933"/>
      <c r="U66" s="935"/>
      <c r="V66" s="933"/>
      <c r="W66" s="933"/>
      <c r="X66" s="933"/>
      <c r="Y66" s="933"/>
      <c r="Z66" s="935"/>
      <c r="AA66" s="933"/>
      <c r="AB66" s="933"/>
      <c r="AC66" s="933"/>
      <c r="AD66" s="933"/>
      <c r="AE66" s="935"/>
      <c r="AF66" s="933"/>
      <c r="AG66" s="933"/>
      <c r="AH66" s="933"/>
      <c r="AI66" s="933"/>
      <c r="AJ66" s="935"/>
      <c r="AK66" s="1017"/>
      <c r="AL66" s="1017"/>
      <c r="AM66" s="1017"/>
      <c r="AN66" s="1017"/>
      <c r="AO66" s="950">
        <f>+AO56-AO23</f>
        <v>-5.3810000000000002</v>
      </c>
      <c r="AP66" s="959">
        <v>0</v>
      </c>
      <c r="AQ66" s="959">
        <v>0</v>
      </c>
      <c r="AR66" s="959">
        <v>0</v>
      </c>
      <c r="AS66" s="959">
        <v>0</v>
      </c>
      <c r="AT66" s="950">
        <f>+SUM(AP66:AS66)</f>
        <v>0</v>
      </c>
      <c r="AU66" s="959">
        <v>0</v>
      </c>
      <c r="AV66" s="959">
        <v>0</v>
      </c>
      <c r="AW66" s="959">
        <v>0</v>
      </c>
      <c r="AX66" s="959">
        <v>0</v>
      </c>
      <c r="AY66" s="950">
        <f>+SUM(AU66:AX66)</f>
        <v>0</v>
      </c>
      <c r="AZ66" s="959">
        <v>0</v>
      </c>
      <c r="BA66" s="959">
        <v>0</v>
      </c>
      <c r="BB66" s="959">
        <v>0</v>
      </c>
      <c r="BC66" s="959">
        <v>0</v>
      </c>
      <c r="BD66" s="950">
        <f>+SUM(AZ66:BC66)</f>
        <v>0</v>
      </c>
      <c r="BE66" s="959">
        <v>0</v>
      </c>
      <c r="BF66" s="959">
        <v>7.5999999999999998E-2</v>
      </c>
      <c r="BG66" s="959">
        <v>-2.4E-2</v>
      </c>
      <c r="BH66" s="959">
        <v>0</v>
      </c>
      <c r="BI66" s="950">
        <f>+SUM(BE66:BH66)</f>
        <v>5.1999999999999998E-2</v>
      </c>
      <c r="BJ66" s="959">
        <v>0</v>
      </c>
      <c r="BK66" s="959">
        <v>0</v>
      </c>
      <c r="BL66" s="959">
        <v>0</v>
      </c>
      <c r="BM66" s="959">
        <v>0</v>
      </c>
      <c r="BN66" s="950">
        <f>+SUM(BJ66:BM66)</f>
        <v>0</v>
      </c>
      <c r="BO66" s="959">
        <v>0</v>
      </c>
      <c r="BP66" s="959">
        <v>0</v>
      </c>
      <c r="BQ66" s="959">
        <v>0</v>
      </c>
      <c r="BR66" s="959">
        <v>0</v>
      </c>
      <c r="BS66" s="935"/>
      <c r="BT66" s="959">
        <v>0</v>
      </c>
      <c r="BU66" s="933"/>
      <c r="BV66" s="933"/>
      <c r="BW66" s="933"/>
      <c r="BX66" s="935"/>
      <c r="BY66" s="933"/>
      <c r="BZ66" s="933"/>
      <c r="CA66" s="933"/>
      <c r="CB66" s="933"/>
      <c r="CC66" s="935"/>
      <c r="CD66" s="933"/>
      <c r="CE66" s="933"/>
      <c r="CF66" s="933"/>
      <c r="CG66" s="933"/>
      <c r="CH66" s="935"/>
      <c r="CI66" s="933"/>
      <c r="CJ66" s="933"/>
      <c r="CK66" s="933"/>
      <c r="CL66" s="933"/>
      <c r="CM66" s="935"/>
      <c r="CN66" s="933"/>
      <c r="CO66" s="933"/>
      <c r="CP66" s="933"/>
      <c r="CQ66" s="933"/>
      <c r="CR66" s="935"/>
      <c r="CT66" s="999"/>
      <c r="CU66" s="999"/>
      <c r="CW66" s="943"/>
      <c r="CX66" s="943"/>
      <c r="CY66" s="943"/>
      <c r="CZ66" s="943"/>
      <c r="DA66" s="943">
        <f t="shared" si="63"/>
        <v>0</v>
      </c>
      <c r="DB66" s="943">
        <f t="shared" si="64"/>
        <v>0</v>
      </c>
      <c r="DC66" s="943">
        <f t="shared" si="65"/>
        <v>0</v>
      </c>
      <c r="DD66" s="943">
        <f t="shared" si="66"/>
        <v>0</v>
      </c>
      <c r="DE66" s="943">
        <f t="shared" si="67"/>
        <v>0</v>
      </c>
      <c r="DF66" s="943">
        <f t="shared" si="68"/>
        <v>0</v>
      </c>
      <c r="DG66" s="943">
        <f t="shared" si="69"/>
        <v>0</v>
      </c>
      <c r="DH66" s="943">
        <f t="shared" si="70"/>
        <v>0</v>
      </c>
      <c r="DI66" s="943">
        <f t="shared" si="71"/>
        <v>0</v>
      </c>
    </row>
    <row r="67" spans="1:113" ht="12" customHeight="1">
      <c r="A67" s="1016" t="s">
        <v>993</v>
      </c>
      <c r="B67" s="794"/>
      <c r="C67" s="794"/>
      <c r="D67" s="794"/>
      <c r="E67" s="794"/>
      <c r="F67" s="795"/>
      <c r="G67" s="933"/>
      <c r="H67" s="933"/>
      <c r="I67" s="933"/>
      <c r="J67" s="933"/>
      <c r="K67" s="935"/>
      <c r="L67" s="933"/>
      <c r="M67" s="933"/>
      <c r="N67" s="933"/>
      <c r="O67" s="933"/>
      <c r="P67" s="935"/>
      <c r="Q67" s="933"/>
      <c r="R67" s="933"/>
      <c r="S67" s="933"/>
      <c r="T67" s="933"/>
      <c r="U67" s="935"/>
      <c r="V67" s="933"/>
      <c r="W67" s="933"/>
      <c r="X67" s="933"/>
      <c r="Y67" s="933"/>
      <c r="Z67" s="935"/>
      <c r="AA67" s="933"/>
      <c r="AB67" s="933"/>
      <c r="AC67" s="933"/>
      <c r="AD67" s="933"/>
      <c r="AE67" s="935"/>
      <c r="AF67" s="933"/>
      <c r="AG67" s="933"/>
      <c r="AH67" s="933"/>
      <c r="AI67" s="933"/>
      <c r="AJ67" s="935"/>
      <c r="AK67" s="933"/>
      <c r="AL67" s="933"/>
      <c r="AM67" s="933"/>
      <c r="AN67" s="933"/>
      <c r="AO67" s="935">
        <f t="shared" ref="AO67:AT67" si="77">+AO64+AO55-AO65+AO66</f>
        <v>47.200999999999979</v>
      </c>
      <c r="AP67" s="933">
        <f t="shared" si="77"/>
        <v>13.832999999999998</v>
      </c>
      <c r="AQ67" s="933">
        <f t="shared" si="77"/>
        <v>15.833000000000006</v>
      </c>
      <c r="AR67" s="933">
        <f t="shared" si="77"/>
        <v>18.762875000000037</v>
      </c>
      <c r="AS67" s="933">
        <f t="shared" si="77"/>
        <v>20.108125000000008</v>
      </c>
      <c r="AT67" s="935">
        <f t="shared" si="77"/>
        <v>68.536999999999978</v>
      </c>
      <c r="AU67" s="933">
        <f t="shared" ref="AU67:BE67" si="78">+AU64+AU66</f>
        <v>26.962000000000014</v>
      </c>
      <c r="AV67" s="933">
        <f t="shared" si="78"/>
        <v>26.150999999999989</v>
      </c>
      <c r="AW67" s="933">
        <f t="shared" si="78"/>
        <v>28.254999999999992</v>
      </c>
      <c r="AX67" s="933">
        <f t="shared" si="78"/>
        <v>28.095999999999972</v>
      </c>
      <c r="AY67" s="935">
        <f t="shared" si="78"/>
        <v>109.46399999999997</v>
      </c>
      <c r="AZ67" s="933">
        <f t="shared" si="78"/>
        <v>29.190999999999999</v>
      </c>
      <c r="BA67" s="933">
        <f t="shared" si="78"/>
        <v>33.5</v>
      </c>
      <c r="BB67" s="933">
        <f t="shared" si="78"/>
        <v>45.889999999999986</v>
      </c>
      <c r="BC67" s="933">
        <f t="shared" si="78"/>
        <v>53.898000000000039</v>
      </c>
      <c r="BD67" s="935">
        <f t="shared" si="78"/>
        <v>162.47899999999998</v>
      </c>
      <c r="BE67" s="933">
        <f t="shared" si="78"/>
        <v>51.399999999999991</v>
      </c>
      <c r="BF67" s="933">
        <f>+BF64+BF66</f>
        <v>48.346999999999987</v>
      </c>
      <c r="BG67" s="933">
        <f>+BG64+BG66</f>
        <v>56.155000000000008</v>
      </c>
      <c r="BH67" s="933">
        <f>+BH64+BH66</f>
        <v>61.342000000000013</v>
      </c>
      <c r="BI67" s="935">
        <f t="shared" ref="BI67:CR67" si="79">+BI64+BI66</f>
        <v>217.244</v>
      </c>
      <c r="BJ67" s="933">
        <f t="shared" si="79"/>
        <v>53.76100000000001</v>
      </c>
      <c r="BK67" s="933">
        <f>+BK64+BK66</f>
        <v>56.107999999999983</v>
      </c>
      <c r="BL67" s="933">
        <f>+BL64+BL66</f>
        <v>55.356000000000016</v>
      </c>
      <c r="BM67" s="933">
        <f>+BM64+BM66</f>
        <v>55.10799999999999</v>
      </c>
      <c r="BN67" s="935">
        <f t="shared" si="79"/>
        <v>220.33300000000014</v>
      </c>
      <c r="BO67" s="933">
        <f>+BO64+BO66</f>
        <v>50.725000000000009</v>
      </c>
      <c r="BP67" s="933">
        <f>+BP64+BP66</f>
        <v>54.867000000000004</v>
      </c>
      <c r="BQ67" s="933">
        <f>+BQ64+BQ66</f>
        <v>53.575000000000017</v>
      </c>
      <c r="BR67" s="933">
        <f>+BR64+BR66</f>
        <v>56.315000000000019</v>
      </c>
      <c r="BS67" s="935">
        <f t="shared" si="79"/>
        <v>215.48200000000003</v>
      </c>
      <c r="BT67" s="933">
        <f>+BT64+BT66</f>
        <v>52.232000000000014</v>
      </c>
      <c r="BU67" s="933">
        <f t="shared" si="79"/>
        <v>50.588490052826444</v>
      </c>
      <c r="BV67" s="933">
        <f t="shared" si="79"/>
        <v>48.408101218157377</v>
      </c>
      <c r="BW67" s="933">
        <f t="shared" si="79"/>
        <v>54.215853935318393</v>
      </c>
      <c r="BX67" s="935">
        <f t="shared" si="79"/>
        <v>205.44444520630219</v>
      </c>
      <c r="BY67" s="933">
        <f t="shared" si="79"/>
        <v>52.761466113398704</v>
      </c>
      <c r="BZ67" s="933">
        <f t="shared" si="79"/>
        <v>49.240050358638683</v>
      </c>
      <c r="CA67" s="933">
        <f t="shared" si="79"/>
        <v>48.309152660417112</v>
      </c>
      <c r="CB67" s="933">
        <f t="shared" si="79"/>
        <v>55.848824691819047</v>
      </c>
      <c r="CC67" s="935">
        <f t="shared" si="79"/>
        <v>206.15949382427365</v>
      </c>
      <c r="CD67" s="933">
        <f t="shared" si="79"/>
        <v>57.494202591297679</v>
      </c>
      <c r="CE67" s="933">
        <f t="shared" si="79"/>
        <v>51.219227335449574</v>
      </c>
      <c r="CF67" s="933">
        <f t="shared" si="79"/>
        <v>50.379456781902896</v>
      </c>
      <c r="CG67" s="933">
        <f t="shared" si="79"/>
        <v>58.030938801828569</v>
      </c>
      <c r="CH67" s="935">
        <f t="shared" si="79"/>
        <v>217.12382551047872</v>
      </c>
      <c r="CI67" s="933">
        <f t="shared" si="79"/>
        <v>62.073345524894336</v>
      </c>
      <c r="CJ67" s="933">
        <f t="shared" si="79"/>
        <v>52.880807874056387</v>
      </c>
      <c r="CK67" s="933">
        <f t="shared" si="79"/>
        <v>52.511307448561588</v>
      </c>
      <c r="CL67" s="933">
        <f t="shared" si="79"/>
        <v>60.533862266015987</v>
      </c>
      <c r="CM67" s="935">
        <f t="shared" si="79"/>
        <v>227.99932311352833</v>
      </c>
      <c r="CN67" s="933">
        <f t="shared" si="79"/>
        <v>67.365332012497092</v>
      </c>
      <c r="CO67" s="933">
        <f t="shared" si="79"/>
        <v>54.677981943184946</v>
      </c>
      <c r="CP67" s="933">
        <f t="shared" si="79"/>
        <v>55.041479463816913</v>
      </c>
      <c r="CQ67" s="933">
        <f t="shared" si="79"/>
        <v>63.354311497193137</v>
      </c>
      <c r="CR67" s="935">
        <f t="shared" si="79"/>
        <v>240.43910491669209</v>
      </c>
      <c r="CT67" s="732">
        <f>+(CC67/BN67)^(0.333333333333333)-1</f>
        <v>-2.1919507417137329E-2</v>
      </c>
      <c r="CU67" s="732">
        <f>+(CM67/BN67)^(0.2)-1</f>
        <v>6.8639741913225638E-3</v>
      </c>
      <c r="CW67" s="943"/>
      <c r="CX67" s="943"/>
      <c r="CY67" s="943"/>
      <c r="CZ67" s="943"/>
      <c r="DA67" s="943">
        <f t="shared" si="63"/>
        <v>0</v>
      </c>
      <c r="DB67" s="943">
        <f t="shared" si="64"/>
        <v>0</v>
      </c>
      <c r="DC67" s="943">
        <f t="shared" si="65"/>
        <v>0</v>
      </c>
      <c r="DD67" s="943">
        <f t="shared" si="66"/>
        <v>0</v>
      </c>
      <c r="DE67" s="943">
        <f t="shared" si="67"/>
        <v>0</v>
      </c>
      <c r="DF67" s="943">
        <f t="shared" si="68"/>
        <v>0</v>
      </c>
      <c r="DG67" s="943">
        <f t="shared" si="69"/>
        <v>0</v>
      </c>
      <c r="DH67" s="943">
        <f t="shared" si="70"/>
        <v>0</v>
      </c>
      <c r="DI67" s="943">
        <f t="shared" si="71"/>
        <v>0</v>
      </c>
    </row>
    <row r="68" spans="1:113" ht="12" customHeight="1" outlineLevel="1">
      <c r="A68" s="1018" t="s">
        <v>225</v>
      </c>
      <c r="B68" s="934"/>
      <c r="C68" s="934"/>
      <c r="D68" s="934"/>
      <c r="E68" s="934"/>
      <c r="F68" s="936"/>
      <c r="G68" s="949"/>
      <c r="H68" s="949"/>
      <c r="I68" s="949"/>
      <c r="J68" s="949"/>
      <c r="K68" s="950"/>
      <c r="L68" s="949"/>
      <c r="M68" s="949"/>
      <c r="N68" s="949"/>
      <c r="O68" s="949"/>
      <c r="P68" s="950"/>
      <c r="Q68" s="949"/>
      <c r="R68" s="949"/>
      <c r="S68" s="949"/>
      <c r="T68" s="949"/>
      <c r="U68" s="950"/>
      <c r="V68" s="949"/>
      <c r="W68" s="949"/>
      <c r="X68" s="949"/>
      <c r="Y68" s="949"/>
      <c r="Z68" s="950"/>
      <c r="AA68" s="949"/>
      <c r="AB68" s="949"/>
      <c r="AC68" s="949"/>
      <c r="AD68" s="949"/>
      <c r="AE68" s="950"/>
      <c r="AF68" s="949"/>
      <c r="AG68" s="949"/>
      <c r="AH68" s="949"/>
      <c r="AI68" s="949"/>
      <c r="AJ68" s="950"/>
      <c r="AK68" s="949"/>
      <c r="AL68" s="949"/>
      <c r="AM68" s="949"/>
      <c r="AN68" s="949"/>
      <c r="AO68" s="950"/>
      <c r="AP68" s="959"/>
      <c r="AQ68" s="949"/>
      <c r="AR68" s="949"/>
      <c r="AS68" s="949"/>
      <c r="AT68" s="958">
        <v>-9.6999999999999993</v>
      </c>
      <c r="AU68" s="959">
        <v>-2.9</v>
      </c>
      <c r="AV68" s="959">
        <v>-3.5</v>
      </c>
      <c r="AW68" s="959">
        <v>-3.9</v>
      </c>
      <c r="AX68" s="949">
        <f>+AY68-SUM(AU68:AW68)</f>
        <v>-3.8999999999999986</v>
      </c>
      <c r="AY68" s="958">
        <v>-14.2</v>
      </c>
      <c r="AZ68" s="959">
        <v>-4.9000000000000004</v>
      </c>
      <c r="BA68" s="959">
        <v>-4.9000000000000004</v>
      </c>
      <c r="BB68" s="959">
        <v>-6</v>
      </c>
      <c r="BC68" s="959">
        <v>-6.7</v>
      </c>
      <c r="BD68" s="958">
        <v>-22.4</v>
      </c>
      <c r="BE68" s="959">
        <v>-6.8</v>
      </c>
      <c r="BF68" s="959">
        <v>-8.5</v>
      </c>
      <c r="BG68" s="959">
        <v>-8.1</v>
      </c>
      <c r="BH68" s="959">
        <v>-8.5</v>
      </c>
      <c r="BI68" s="950">
        <f>+SUM(BE68:BH68)</f>
        <v>-31.9</v>
      </c>
      <c r="BJ68" s="959">
        <v>-8.6</v>
      </c>
      <c r="BK68" s="959">
        <v>-9.1999999999999993</v>
      </c>
      <c r="BL68" s="959">
        <v>-9</v>
      </c>
      <c r="BM68" s="959">
        <v>-9.1</v>
      </c>
      <c r="BN68" s="950">
        <f>+SUM(BJ68:BM68)</f>
        <v>-35.9</v>
      </c>
      <c r="BO68" s="959">
        <v>-8.9</v>
      </c>
      <c r="BP68" s="959">
        <v>-8.6</v>
      </c>
      <c r="BQ68" s="959">
        <v>-8.5</v>
      </c>
      <c r="BR68" s="959">
        <v>-7.9</v>
      </c>
      <c r="BS68" s="950">
        <f>+SUM(BO68:BR68)</f>
        <v>-33.9</v>
      </c>
      <c r="BT68" s="959">
        <v>-7.3</v>
      </c>
      <c r="BU68" s="949">
        <v>-8.3389460791562158</v>
      </c>
      <c r="BV68" s="949">
        <v>-8.592194412234436</v>
      </c>
      <c r="BW68" s="949">
        <v>-8.8637261429373115</v>
      </c>
      <c r="BX68" s="950">
        <f>+SUM(BT68:BW68)</f>
        <v>-33.094866634327964</v>
      </c>
      <c r="BY68" s="949">
        <v>-7.8518238432727454</v>
      </c>
      <c r="BZ68" s="949">
        <v>-8.0759181227951924</v>
      </c>
      <c r="CA68" s="949">
        <v>-8.3018318742138835</v>
      </c>
      <c r="CB68" s="949">
        <v>-8.5512090126394025</v>
      </c>
      <c r="CC68" s="950">
        <f>+SUM(BY68:CB68)</f>
        <v>-32.780782852921227</v>
      </c>
      <c r="CD68" s="949">
        <v>-7.6454979847756261</v>
      </c>
      <c r="CE68" s="949">
        <v>-7.8470917495279675</v>
      </c>
      <c r="CF68" s="949">
        <v>-8.0510824142471797</v>
      </c>
      <c r="CG68" s="949">
        <v>-8.2757473353461464</v>
      </c>
      <c r="CH68" s="950">
        <f>+SUM(CD68:CG68)</f>
        <v>-31.819419483896919</v>
      </c>
      <c r="CI68" s="949">
        <v>-7.2141989878157577</v>
      </c>
      <c r="CJ68" s="949">
        <v>-7.3914921540768415</v>
      </c>
      <c r="CK68" s="949">
        <v>-7.571501180707787</v>
      </c>
      <c r="CL68" s="949">
        <v>-7.7697976239910842</v>
      </c>
      <c r="CM68" s="950">
        <f>+SUM(CI68:CL68)</f>
        <v>-29.946989946591472</v>
      </c>
      <c r="CN68" s="949">
        <v>-6.9051055359195823</v>
      </c>
      <c r="CO68" s="949">
        <v>-7.0640977785181009</v>
      </c>
      <c r="CP68" s="949">
        <v>-7.2264025309613658</v>
      </c>
      <c r="CQ68" s="949">
        <v>-7.4047894156571195</v>
      </c>
      <c r="CR68" s="950">
        <f>+SUM(CN68:CQ68)</f>
        <v>-28.600395261056171</v>
      </c>
      <c r="CT68" s="1015"/>
      <c r="CU68" s="1015"/>
      <c r="CW68" s="943"/>
      <c r="CX68" s="943"/>
      <c r="CY68" s="943"/>
      <c r="CZ68" s="943"/>
      <c r="DA68" s="943">
        <f t="shared" si="63"/>
        <v>0.10000000000000142</v>
      </c>
      <c r="DB68" s="943">
        <f t="shared" si="64"/>
        <v>0</v>
      </c>
      <c r="DC68" s="943">
        <f t="shared" si="65"/>
        <v>0</v>
      </c>
      <c r="DD68" s="943">
        <f t="shared" si="66"/>
        <v>0</v>
      </c>
      <c r="DE68" s="943">
        <f t="shared" si="67"/>
        <v>0</v>
      </c>
      <c r="DF68" s="943">
        <f t="shared" si="68"/>
        <v>0</v>
      </c>
      <c r="DG68" s="943">
        <f t="shared" si="69"/>
        <v>0</v>
      </c>
      <c r="DH68" s="943">
        <f t="shared" si="70"/>
        <v>0</v>
      </c>
      <c r="DI68" s="943">
        <f t="shared" si="71"/>
        <v>0</v>
      </c>
    </row>
    <row r="69" spans="1:113" ht="12" customHeight="1" outlineLevel="1">
      <c r="A69" s="1018" t="s">
        <v>981</v>
      </c>
      <c r="B69" s="934"/>
      <c r="C69" s="934"/>
      <c r="D69" s="934"/>
      <c r="E69" s="934"/>
      <c r="F69" s="936"/>
      <c r="G69" s="949"/>
      <c r="H69" s="949"/>
      <c r="I69" s="949"/>
      <c r="J69" s="949"/>
      <c r="K69" s="950"/>
      <c r="L69" s="949"/>
      <c r="M69" s="949"/>
      <c r="N69" s="949"/>
      <c r="O69" s="949"/>
      <c r="P69" s="950"/>
      <c r="Q69" s="949"/>
      <c r="R69" s="949"/>
      <c r="S69" s="949"/>
      <c r="T69" s="949"/>
      <c r="U69" s="950"/>
      <c r="V69" s="949"/>
      <c r="W69" s="949"/>
      <c r="X69" s="949"/>
      <c r="Y69" s="949"/>
      <c r="Z69" s="950"/>
      <c r="AA69" s="949"/>
      <c r="AB69" s="949"/>
      <c r="AC69" s="949"/>
      <c r="AD69" s="949"/>
      <c r="AE69" s="950"/>
      <c r="AF69" s="949"/>
      <c r="AG69" s="949"/>
      <c r="AH69" s="949"/>
      <c r="AI69" s="949"/>
      <c r="AJ69" s="950"/>
      <c r="AK69" s="949"/>
      <c r="AL69" s="949"/>
      <c r="AM69" s="949"/>
      <c r="AN69" s="949"/>
      <c r="AO69" s="950"/>
      <c r="AP69" s="959"/>
      <c r="AQ69" s="949"/>
      <c r="AR69" s="949"/>
      <c r="AS69" s="949"/>
      <c r="AT69" s="950">
        <f t="shared" ref="AT69:BD69" si="80">+AT55</f>
        <v>-67.554000000000002</v>
      </c>
      <c r="AU69" s="949">
        <f t="shared" si="80"/>
        <v>-19.372</v>
      </c>
      <c r="AV69" s="949">
        <f t="shared" si="80"/>
        <v>-16.308</v>
      </c>
      <c r="AW69" s="949">
        <f t="shared" si="80"/>
        <v>-17.574999999999999</v>
      </c>
      <c r="AX69" s="949">
        <f t="shared" si="80"/>
        <v>-14.141999999999996</v>
      </c>
      <c r="AY69" s="950">
        <f t="shared" si="80"/>
        <v>-67.396999999999991</v>
      </c>
      <c r="AZ69" s="949">
        <f t="shared" si="80"/>
        <v>-4.9029999999999996</v>
      </c>
      <c r="BA69" s="949">
        <f t="shared" si="80"/>
        <v>-6.3319999999999999</v>
      </c>
      <c r="BB69" s="949">
        <f t="shared" si="80"/>
        <v>-10.769</v>
      </c>
      <c r="BC69" s="949">
        <f>+BC55</f>
        <v>-11.658999999999999</v>
      </c>
      <c r="BD69" s="950">
        <f t="shared" si="80"/>
        <v>-33.662999999999997</v>
      </c>
      <c r="BE69" s="949">
        <f>+BE55</f>
        <v>-15.413</v>
      </c>
      <c r="BF69" s="959">
        <v>-17.3</v>
      </c>
      <c r="BG69" s="959">
        <v>-19.5</v>
      </c>
      <c r="BH69" s="959">
        <v>-21.4</v>
      </c>
      <c r="BI69" s="950">
        <f>+SUM(BE69:BH69)</f>
        <v>-73.613</v>
      </c>
      <c r="BJ69" s="949">
        <f>+BJ65</f>
        <v>-24.279</v>
      </c>
      <c r="BK69" s="959">
        <v>-24.7</v>
      </c>
      <c r="BL69" s="959">
        <v>-24.9</v>
      </c>
      <c r="BM69" s="949">
        <f t="shared" ref="BM69:CR69" si="81">+BM65</f>
        <v>-24.7</v>
      </c>
      <c r="BN69" s="950">
        <f>+SUM(BJ69:BM69)</f>
        <v>-98.578999999999994</v>
      </c>
      <c r="BO69" s="949">
        <f>+BO65</f>
        <v>-24.7</v>
      </c>
      <c r="BP69" s="959">
        <v>-24.45</v>
      </c>
      <c r="BQ69" s="959">
        <v>-23.4</v>
      </c>
      <c r="BR69" s="949">
        <f t="shared" ref="BR69" si="82">+BR65</f>
        <v>-21.8</v>
      </c>
      <c r="BS69" s="950">
        <f t="shared" si="81"/>
        <v>-94.350999999999999</v>
      </c>
      <c r="BT69" s="949">
        <f>+BT65</f>
        <v>-22.1</v>
      </c>
      <c r="BU69" s="949">
        <f t="shared" si="81"/>
        <v>-21.544101699999999</v>
      </c>
      <c r="BV69" s="949">
        <f t="shared" si="81"/>
        <v>-21.33969142888159</v>
      </c>
      <c r="BW69" s="949">
        <f t="shared" si="81"/>
        <v>-20.969343172876421</v>
      </c>
      <c r="BX69" s="950">
        <f t="shared" si="81"/>
        <v>-85.953136301758008</v>
      </c>
      <c r="BY69" s="949">
        <f t="shared" si="81"/>
        <v>-20.391719509480982</v>
      </c>
      <c r="BZ69" s="949">
        <f t="shared" si="81"/>
        <v>-19.946475157019027</v>
      </c>
      <c r="CA69" s="949">
        <f t="shared" si="81"/>
        <v>-19.548193020373837</v>
      </c>
      <c r="CB69" s="949">
        <f t="shared" si="81"/>
        <v>-19.169567397133189</v>
      </c>
      <c r="CC69" s="950">
        <f t="shared" si="81"/>
        <v>-79.055955084007039</v>
      </c>
      <c r="CD69" s="949">
        <f t="shared" si="81"/>
        <v>-18.595623157819084</v>
      </c>
      <c r="CE69" s="949">
        <f t="shared" si="81"/>
        <v>-18.21085827759628</v>
      </c>
      <c r="CF69" s="949">
        <f t="shared" si="81"/>
        <v>-17.80406023088884</v>
      </c>
      <c r="CG69" s="949">
        <f t="shared" si="81"/>
        <v>-17.367044183005582</v>
      </c>
      <c r="CH69" s="950">
        <f t="shared" si="81"/>
        <v>-71.977585849309776</v>
      </c>
      <c r="CI69" s="949">
        <f t="shared" si="81"/>
        <v>-16.773947838203703</v>
      </c>
      <c r="CJ69" s="949">
        <f t="shared" si="81"/>
        <v>-16.31644047849684</v>
      </c>
      <c r="CK69" s="949">
        <f t="shared" si="81"/>
        <v>-15.870404378640949</v>
      </c>
      <c r="CL69" s="949">
        <f t="shared" si="81"/>
        <v>-15.416805299838961</v>
      </c>
      <c r="CM69" s="950">
        <f t="shared" si="81"/>
        <v>-64.377597995180452</v>
      </c>
      <c r="CN69" s="949">
        <f t="shared" si="81"/>
        <v>-14.819804798945126</v>
      </c>
      <c r="CO69" s="949">
        <f t="shared" si="81"/>
        <v>-14.332283379613935</v>
      </c>
      <c r="CP69" s="949">
        <f t="shared" si="81"/>
        <v>-13.841162536531698</v>
      </c>
      <c r="CQ69" s="949">
        <f t="shared" si="81"/>
        <v>-13.373717627715951</v>
      </c>
      <c r="CR69" s="950">
        <f t="shared" si="81"/>
        <v>-56.366968342806715</v>
      </c>
      <c r="CT69" s="1015"/>
      <c r="CU69" s="1015"/>
      <c r="CW69" s="943"/>
      <c r="CX69" s="943"/>
      <c r="CY69" s="943"/>
      <c r="CZ69" s="943"/>
      <c r="DA69" s="943">
        <f t="shared" si="63"/>
        <v>0</v>
      </c>
      <c r="DB69" s="943">
        <f t="shared" si="64"/>
        <v>0</v>
      </c>
      <c r="DC69" s="943">
        <f t="shared" si="65"/>
        <v>0</v>
      </c>
      <c r="DD69" s="943">
        <f t="shared" si="66"/>
        <v>-1.0000000000047748E-3</v>
      </c>
      <c r="DE69" s="943">
        <f t="shared" si="67"/>
        <v>0</v>
      </c>
      <c r="DF69" s="943">
        <f t="shared" si="68"/>
        <v>0</v>
      </c>
      <c r="DG69" s="943">
        <f t="shared" si="69"/>
        <v>0</v>
      </c>
      <c r="DH69" s="943">
        <f t="shared" si="70"/>
        <v>0</v>
      </c>
      <c r="DI69" s="943">
        <f t="shared" si="71"/>
        <v>0</v>
      </c>
    </row>
    <row r="70" spans="1:113" ht="12" customHeight="1" outlineLevel="1">
      <c r="A70" s="1016" t="s">
        <v>994</v>
      </c>
      <c r="B70" s="934"/>
      <c r="C70" s="934"/>
      <c r="D70" s="934"/>
      <c r="E70" s="934"/>
      <c r="F70" s="936"/>
      <c r="G70" s="949"/>
      <c r="H70" s="949"/>
      <c r="I70" s="949"/>
      <c r="J70" s="949"/>
      <c r="K70" s="950"/>
      <c r="L70" s="949"/>
      <c r="M70" s="949"/>
      <c r="N70" s="949"/>
      <c r="O70" s="949"/>
      <c r="P70" s="950"/>
      <c r="Q70" s="949"/>
      <c r="R70" s="949"/>
      <c r="S70" s="949"/>
      <c r="T70" s="949"/>
      <c r="U70" s="950"/>
      <c r="V70" s="949"/>
      <c r="W70" s="949"/>
      <c r="X70" s="949"/>
      <c r="Y70" s="949"/>
      <c r="Z70" s="950"/>
      <c r="AA70" s="949"/>
      <c r="AB70" s="949"/>
      <c r="AC70" s="949"/>
      <c r="AD70" s="949"/>
      <c r="AE70" s="950"/>
      <c r="AF70" s="949"/>
      <c r="AG70" s="949"/>
      <c r="AH70" s="949"/>
      <c r="AI70" s="949"/>
      <c r="AJ70" s="950"/>
      <c r="AK70" s="949"/>
      <c r="AL70" s="949"/>
      <c r="AM70" s="949"/>
      <c r="AN70" s="949"/>
      <c r="AO70" s="950"/>
      <c r="AP70" s="959"/>
      <c r="AQ70" s="949"/>
      <c r="AR70" s="949"/>
      <c r="AS70" s="949"/>
      <c r="AT70" s="950">
        <f>+AT67+AT68+AT69</f>
        <v>-8.7170000000000272</v>
      </c>
      <c r="AU70" s="949">
        <f t="shared" ref="AU70:CR70" si="83">+AU67+AU68+AU69</f>
        <v>4.6900000000000155</v>
      </c>
      <c r="AV70" s="949">
        <f t="shared" si="83"/>
        <v>6.3429999999999893</v>
      </c>
      <c r="AW70" s="949">
        <f t="shared" si="83"/>
        <v>6.779999999999994</v>
      </c>
      <c r="AX70" s="949">
        <f t="shared" si="83"/>
        <v>10.053999999999977</v>
      </c>
      <c r="AY70" s="950">
        <f t="shared" si="83"/>
        <v>27.866999999999976</v>
      </c>
      <c r="AZ70" s="949">
        <f t="shared" si="83"/>
        <v>19.387999999999998</v>
      </c>
      <c r="BA70" s="949">
        <f t="shared" si="83"/>
        <v>22.268000000000001</v>
      </c>
      <c r="BB70" s="949">
        <f t="shared" si="83"/>
        <v>29.120999999999988</v>
      </c>
      <c r="BC70" s="949">
        <f t="shared" si="83"/>
        <v>35.539000000000037</v>
      </c>
      <c r="BD70" s="950">
        <f t="shared" si="83"/>
        <v>106.41599999999998</v>
      </c>
      <c r="BE70" s="949">
        <f t="shared" si="83"/>
        <v>29.186999999999994</v>
      </c>
      <c r="BF70" s="949">
        <f t="shared" si="83"/>
        <v>22.546999999999986</v>
      </c>
      <c r="BG70" s="949">
        <f t="shared" si="83"/>
        <v>28.555000000000007</v>
      </c>
      <c r="BH70" s="949">
        <f t="shared" si="83"/>
        <v>31.442000000000014</v>
      </c>
      <c r="BI70" s="950">
        <f t="shared" si="83"/>
        <v>111.73099999999999</v>
      </c>
      <c r="BJ70" s="949">
        <f t="shared" si="83"/>
        <v>20.882000000000009</v>
      </c>
      <c r="BK70" s="949">
        <f t="shared" si="83"/>
        <v>22.207999999999988</v>
      </c>
      <c r="BL70" s="949">
        <f t="shared" si="83"/>
        <v>21.456000000000017</v>
      </c>
      <c r="BM70" s="949">
        <f t="shared" si="83"/>
        <v>21.307999999999989</v>
      </c>
      <c r="BN70" s="950">
        <f t="shared" si="83"/>
        <v>85.854000000000141</v>
      </c>
      <c r="BO70" s="949">
        <f t="shared" si="83"/>
        <v>17.125000000000011</v>
      </c>
      <c r="BP70" s="949">
        <f t="shared" si="83"/>
        <v>21.817000000000004</v>
      </c>
      <c r="BQ70" s="949">
        <f t="shared" si="83"/>
        <v>21.675000000000018</v>
      </c>
      <c r="BR70" s="949">
        <f t="shared" si="83"/>
        <v>26.61500000000002</v>
      </c>
      <c r="BS70" s="950">
        <f t="shared" si="83"/>
        <v>87.231000000000023</v>
      </c>
      <c r="BT70" s="949">
        <f t="shared" si="83"/>
        <v>22.832000000000015</v>
      </c>
      <c r="BU70" s="949">
        <f t="shared" si="83"/>
        <v>20.705442273670229</v>
      </c>
      <c r="BV70" s="949">
        <f t="shared" si="83"/>
        <v>18.476215377041353</v>
      </c>
      <c r="BW70" s="949">
        <f t="shared" si="83"/>
        <v>24.382784619504662</v>
      </c>
      <c r="BX70" s="950">
        <f t="shared" si="83"/>
        <v>86.396442270216227</v>
      </c>
      <c r="BY70" s="949">
        <f t="shared" si="83"/>
        <v>24.517922760644975</v>
      </c>
      <c r="BZ70" s="949">
        <f t="shared" si="83"/>
        <v>21.217657078824463</v>
      </c>
      <c r="CA70" s="949">
        <f t="shared" si="83"/>
        <v>20.459127765829393</v>
      </c>
      <c r="CB70" s="949">
        <f t="shared" si="83"/>
        <v>28.128048282046453</v>
      </c>
      <c r="CC70" s="950">
        <f t="shared" si="83"/>
        <v>94.322755887345394</v>
      </c>
      <c r="CD70" s="949">
        <f t="shared" si="83"/>
        <v>31.253081448702972</v>
      </c>
      <c r="CE70" s="949">
        <f t="shared" si="83"/>
        <v>25.161277308325324</v>
      </c>
      <c r="CF70" s="949">
        <f t="shared" si="83"/>
        <v>24.524314136766872</v>
      </c>
      <c r="CG70" s="949">
        <f t="shared" si="83"/>
        <v>32.38814728347684</v>
      </c>
      <c r="CH70" s="950">
        <f t="shared" si="83"/>
        <v>113.32682017727203</v>
      </c>
      <c r="CI70" s="949">
        <f t="shared" si="83"/>
        <v>38.085198698874876</v>
      </c>
      <c r="CJ70" s="949">
        <f t="shared" si="83"/>
        <v>29.172875241482704</v>
      </c>
      <c r="CK70" s="949">
        <f t="shared" si="83"/>
        <v>29.069401889212855</v>
      </c>
      <c r="CL70" s="949">
        <f t="shared" si="83"/>
        <v>37.347259342185943</v>
      </c>
      <c r="CM70" s="950">
        <f t="shared" si="83"/>
        <v>133.67473517175642</v>
      </c>
      <c r="CN70" s="949">
        <f t="shared" si="83"/>
        <v>45.640421677632382</v>
      </c>
      <c r="CO70" s="949">
        <f t="shared" si="83"/>
        <v>33.281600785052909</v>
      </c>
      <c r="CP70" s="949">
        <f t="shared" si="83"/>
        <v>33.973914396323849</v>
      </c>
      <c r="CQ70" s="949">
        <f t="shared" si="83"/>
        <v>42.575804453820069</v>
      </c>
      <c r="CR70" s="950">
        <f t="shared" si="83"/>
        <v>155.47174131282918</v>
      </c>
      <c r="CT70" s="1015"/>
      <c r="CU70" s="1015"/>
      <c r="CW70" s="943"/>
      <c r="CX70" s="943"/>
      <c r="CY70" s="943"/>
      <c r="CZ70" s="943"/>
      <c r="DA70" s="943">
        <f t="shared" si="63"/>
        <v>9.9999999999994316E-2</v>
      </c>
      <c r="DB70" s="943">
        <f t="shared" si="64"/>
        <v>0</v>
      </c>
      <c r="DC70" s="943">
        <f t="shared" si="65"/>
        <v>0</v>
      </c>
      <c r="DD70" s="943">
        <f t="shared" si="66"/>
        <v>-1.0000000000047748E-3</v>
      </c>
      <c r="DE70" s="943">
        <f t="shared" si="67"/>
        <v>0</v>
      </c>
      <c r="DF70" s="943">
        <f t="shared" si="68"/>
        <v>0</v>
      </c>
      <c r="DG70" s="943">
        <f t="shared" si="69"/>
        <v>0</v>
      </c>
      <c r="DH70" s="943">
        <f t="shared" si="70"/>
        <v>0</v>
      </c>
      <c r="DI70" s="943">
        <f t="shared" si="71"/>
        <v>0</v>
      </c>
    </row>
    <row r="71" spans="1:113" ht="12" customHeight="1" outlineLevel="1">
      <c r="A71" s="947" t="s">
        <v>995</v>
      </c>
      <c r="B71" s="934"/>
      <c r="C71" s="934"/>
      <c r="D71" s="934"/>
      <c r="E71" s="934"/>
      <c r="F71" s="936"/>
      <c r="G71" s="934"/>
      <c r="H71" s="934"/>
      <c r="I71" s="934"/>
      <c r="J71" s="934"/>
      <c r="K71" s="936"/>
      <c r="L71" s="934"/>
      <c r="M71" s="934"/>
      <c r="N71" s="934"/>
      <c r="O71" s="934"/>
      <c r="P71" s="936"/>
      <c r="Q71" s="959"/>
      <c r="R71" s="959"/>
      <c r="S71" s="959"/>
      <c r="T71" s="959"/>
      <c r="U71" s="950"/>
      <c r="V71" s="959"/>
      <c r="W71" s="959"/>
      <c r="X71" s="959"/>
      <c r="Y71" s="959"/>
      <c r="Z71" s="958"/>
      <c r="AA71" s="949"/>
      <c r="AB71" s="949"/>
      <c r="AC71" s="949"/>
      <c r="AD71" s="949"/>
      <c r="AE71" s="958"/>
      <c r="AF71" s="949"/>
      <c r="AG71" s="949"/>
      <c r="AH71" s="949"/>
      <c r="AI71" s="949"/>
      <c r="AJ71" s="950"/>
      <c r="AK71" s="949"/>
      <c r="AL71" s="949"/>
      <c r="AM71" s="949"/>
      <c r="AN71" s="949"/>
      <c r="AO71" s="958"/>
      <c r="AP71" s="949"/>
      <c r="AQ71" s="949"/>
      <c r="AR71" s="949"/>
      <c r="AS71" s="949"/>
      <c r="AT71" s="950">
        <f>+AT70*-0.24</f>
        <v>2.0920800000000064</v>
      </c>
      <c r="AU71" s="949">
        <f>+AU70*-0.24</f>
        <v>-1.1256000000000037</v>
      </c>
      <c r="AV71" s="949">
        <f>+AV70*-0.24</f>
        <v>-1.5223199999999975</v>
      </c>
      <c r="AW71" s="949">
        <f>+AW70*-0.24</f>
        <v>-1.6271999999999984</v>
      </c>
      <c r="AX71" s="949">
        <f>+AX70*-0.24</f>
        <v>-2.4129599999999942</v>
      </c>
      <c r="AY71" s="950">
        <f>+SUM(AU71:AX71)</f>
        <v>-6.688079999999994</v>
      </c>
      <c r="AZ71" s="949">
        <f>+AZ70*-0.24</f>
        <v>-4.6531199999999995</v>
      </c>
      <c r="BA71" s="949">
        <f>+BA70*-0.24</f>
        <v>-5.3443199999999997</v>
      </c>
      <c r="BB71" s="949">
        <f>+BB70*-0.24</f>
        <v>-6.9890399999999966</v>
      </c>
      <c r="BC71" s="949">
        <f>+BC70*-0.242</f>
        <v>-8.6004380000000094</v>
      </c>
      <c r="BD71" s="950">
        <f>+SUM(AZ71:BC71)</f>
        <v>-25.586918000000004</v>
      </c>
      <c r="BE71" s="949">
        <f>-BE70*0.24</f>
        <v>-7.0048799999999982</v>
      </c>
      <c r="BF71" s="949">
        <f>+BF70*-0.24</f>
        <v>-5.4112799999999961</v>
      </c>
      <c r="BG71" s="949">
        <f>+BG70*-0.24</f>
        <v>-6.8532000000000011</v>
      </c>
      <c r="BH71" s="949">
        <f>+BH70*-0.24</f>
        <v>-7.5460800000000035</v>
      </c>
      <c r="BI71" s="950">
        <f>+SUM(BE71:BH71)</f>
        <v>-26.815439999999999</v>
      </c>
      <c r="BJ71" s="949">
        <f>-BJ70*0.24</f>
        <v>-5.0116800000000019</v>
      </c>
      <c r="BK71" s="949">
        <f>+BK70*-0.24</f>
        <v>-5.3299199999999969</v>
      </c>
      <c r="BL71" s="949">
        <f>+BL70*-0.24</f>
        <v>-5.1494400000000038</v>
      </c>
      <c r="BM71" s="949">
        <f t="shared" ref="BM71:CB71" si="84">-BM70*0.24</f>
        <v>-5.1139199999999976</v>
      </c>
      <c r="BN71" s="950">
        <f>+SUM(BJ71:BM71)</f>
        <v>-20.604960000000002</v>
      </c>
      <c r="BO71" s="949">
        <f>-BO70*0.24</f>
        <v>-4.1100000000000021</v>
      </c>
      <c r="BP71" s="949">
        <f>+BP70*-0.24</f>
        <v>-5.2360800000000003</v>
      </c>
      <c r="BQ71" s="949">
        <f>+BQ70*-0.24</f>
        <v>-5.2020000000000044</v>
      </c>
      <c r="BR71" s="949">
        <f t="shared" ref="BR71" si="85">-BR70*0.24</f>
        <v>-6.3876000000000044</v>
      </c>
      <c r="BS71" s="950">
        <f>+SUM(BO71:BR71)</f>
        <v>-20.935680000000012</v>
      </c>
      <c r="BT71" s="949">
        <f>-BT70*0.24</f>
        <v>-5.4796800000000037</v>
      </c>
      <c r="BU71" s="949">
        <f t="shared" si="84"/>
        <v>-4.9693061456808545</v>
      </c>
      <c r="BV71" s="949">
        <f t="shared" si="84"/>
        <v>-4.4342916904899248</v>
      </c>
      <c r="BW71" s="949">
        <f t="shared" si="84"/>
        <v>-5.8518683086811185</v>
      </c>
      <c r="BX71" s="950">
        <f>+SUM(BT71:BW71)</f>
        <v>-20.735146144851903</v>
      </c>
      <c r="BY71" s="949">
        <f t="shared" si="84"/>
        <v>-5.8843014625547934</v>
      </c>
      <c r="BZ71" s="949">
        <f t="shared" si="84"/>
        <v>-5.092237698917871</v>
      </c>
      <c r="CA71" s="949">
        <f t="shared" si="84"/>
        <v>-4.910190663799054</v>
      </c>
      <c r="CB71" s="949">
        <f t="shared" si="84"/>
        <v>-6.7507315876911482</v>
      </c>
      <c r="CC71" s="950">
        <f>+SUM(BY71:CB71)</f>
        <v>-22.637461412962868</v>
      </c>
      <c r="CD71" s="949">
        <f>-CD70*0.24</f>
        <v>-7.5007395476887133</v>
      </c>
      <c r="CE71" s="949">
        <f>-CE70*0.24</f>
        <v>-6.038706553998078</v>
      </c>
      <c r="CF71" s="949">
        <f>-CF70*0.24</f>
        <v>-5.885835392824049</v>
      </c>
      <c r="CG71" s="949">
        <f>-CG70*0.24</f>
        <v>-7.7731553480344413</v>
      </c>
      <c r="CH71" s="950">
        <f>+SUM(CD71:CG71)</f>
        <v>-27.198436842545284</v>
      </c>
      <c r="CI71" s="949">
        <f>-CI70*0.24</f>
        <v>-9.1404476877299707</v>
      </c>
      <c r="CJ71" s="949">
        <f>-CJ70*0.24</f>
        <v>-7.0014900579558486</v>
      </c>
      <c r="CK71" s="949">
        <f>-CK70*0.24</f>
        <v>-6.9766564534110849</v>
      </c>
      <c r="CL71" s="949">
        <f>-CL70*0.24</f>
        <v>-8.9633422421246252</v>
      </c>
      <c r="CM71" s="950">
        <f>+SUM(CI71:CL71)</f>
        <v>-32.081936441221529</v>
      </c>
      <c r="CN71" s="949">
        <f>-CN70*0.24</f>
        <v>-10.953701202631771</v>
      </c>
      <c r="CO71" s="949">
        <f>-CO70*0.24</f>
        <v>-7.9875841884126979</v>
      </c>
      <c r="CP71" s="949">
        <f>-CP70*0.24</f>
        <v>-8.1537394551177229</v>
      </c>
      <c r="CQ71" s="949">
        <f>-CQ70*0.24</f>
        <v>-10.218193068916817</v>
      </c>
      <c r="CR71" s="950">
        <f>+SUM(CN71:CQ71)</f>
        <v>-37.313217915079008</v>
      </c>
      <c r="CT71" s="1015"/>
      <c r="CU71" s="1015"/>
      <c r="CW71" s="943">
        <f t="shared" si="59"/>
        <v>0</v>
      </c>
      <c r="CX71" s="943">
        <f t="shared" si="60"/>
        <v>0</v>
      </c>
      <c r="CY71" s="943">
        <f t="shared" si="61"/>
        <v>2.0920000000000001</v>
      </c>
      <c r="CZ71" s="943">
        <f t="shared" si="62"/>
        <v>0</v>
      </c>
      <c r="DA71" s="943">
        <f t="shared" si="63"/>
        <v>0</v>
      </c>
      <c r="DB71" s="943">
        <f t="shared" si="64"/>
        <v>0</v>
      </c>
      <c r="DC71" s="943">
        <f t="shared" si="65"/>
        <v>0</v>
      </c>
      <c r="DD71" s="943">
        <f t="shared" si="66"/>
        <v>0</v>
      </c>
      <c r="DE71" s="943">
        <f t="shared" si="67"/>
        <v>0</v>
      </c>
      <c r="DF71" s="943">
        <f t="shared" si="68"/>
        <v>0</v>
      </c>
      <c r="DG71" s="943">
        <f t="shared" si="69"/>
        <v>0</v>
      </c>
      <c r="DH71" s="943">
        <f t="shared" si="70"/>
        <v>0</v>
      </c>
      <c r="DI71" s="943">
        <f t="shared" si="71"/>
        <v>0</v>
      </c>
    </row>
    <row r="72" spans="1:113" ht="12" customHeight="1" outlineLevel="1" thickBot="1">
      <c r="A72" s="947" t="s">
        <v>31</v>
      </c>
      <c r="B72" s="1019"/>
      <c r="C72" s="1019"/>
      <c r="D72" s="1019"/>
      <c r="E72" s="1019"/>
      <c r="F72" s="958"/>
      <c r="G72" s="1019"/>
      <c r="H72" s="1019"/>
      <c r="I72" s="1019"/>
      <c r="J72" s="1019"/>
      <c r="K72" s="958"/>
      <c r="L72" s="817"/>
      <c r="M72" s="959"/>
      <c r="N72" s="959"/>
      <c r="O72" s="959"/>
      <c r="P72" s="950"/>
      <c r="Q72" s="959"/>
      <c r="R72" s="959"/>
      <c r="S72" s="959"/>
      <c r="T72" s="959"/>
      <c r="U72" s="950"/>
      <c r="V72" s="959"/>
      <c r="W72" s="959"/>
      <c r="X72" s="959"/>
      <c r="Y72" s="959"/>
      <c r="Z72" s="958"/>
      <c r="AA72" s="959"/>
      <c r="AB72" s="959"/>
      <c r="AC72" s="959"/>
      <c r="AD72" s="959"/>
      <c r="AE72" s="950"/>
      <c r="AF72" s="959"/>
      <c r="AG72" s="959"/>
      <c r="AH72" s="959"/>
      <c r="AI72" s="959"/>
      <c r="AJ72" s="950"/>
      <c r="AK72" s="959"/>
      <c r="AL72" s="959"/>
      <c r="AM72" s="959"/>
      <c r="AN72" s="959"/>
      <c r="AO72" s="958"/>
      <c r="AP72" s="959"/>
      <c r="AQ72" s="959"/>
      <c r="AR72" s="959"/>
      <c r="AS72" s="959"/>
      <c r="AT72" s="958">
        <v>0</v>
      </c>
      <c r="AU72" s="959">
        <v>0</v>
      </c>
      <c r="AV72" s="959">
        <v>0</v>
      </c>
      <c r="AW72" s="959">
        <v>0</v>
      </c>
      <c r="AX72" s="959">
        <v>0</v>
      </c>
      <c r="AY72" s="950">
        <f>+SUM(AU72:AX72)</f>
        <v>0</v>
      </c>
      <c r="AZ72" s="959">
        <v>0</v>
      </c>
      <c r="BA72" s="959">
        <v>0</v>
      </c>
      <c r="BB72" s="959">
        <v>0</v>
      </c>
      <c r="BC72" s="959">
        <v>0</v>
      </c>
      <c r="BD72" s="950">
        <f>+SUM(AZ72:BC72)</f>
        <v>0</v>
      </c>
      <c r="BE72" s="959">
        <v>0</v>
      </c>
      <c r="BF72" s="959">
        <v>0</v>
      </c>
      <c r="BG72" s="959">
        <v>0</v>
      </c>
      <c r="BH72" s="959">
        <v>0</v>
      </c>
      <c r="BI72" s="950">
        <f>+SUM(BE72:BH72)</f>
        <v>0</v>
      </c>
      <c r="BJ72" s="959">
        <v>0</v>
      </c>
      <c r="BK72" s="959">
        <v>0</v>
      </c>
      <c r="BL72" s="959">
        <v>0</v>
      </c>
      <c r="BM72" s="959">
        <v>0</v>
      </c>
      <c r="BN72" s="950">
        <f>+SUM(BJ72:BM72)</f>
        <v>0</v>
      </c>
      <c r="BO72" s="959">
        <v>0</v>
      </c>
      <c r="BP72" s="959">
        <v>0</v>
      </c>
      <c r="BQ72" s="959">
        <v>0</v>
      </c>
      <c r="BR72" s="959">
        <v>0</v>
      </c>
      <c r="BS72" s="950">
        <f>+SUM(BO72:BR72)</f>
        <v>0</v>
      </c>
      <c r="BT72" s="959">
        <v>0</v>
      </c>
      <c r="BU72" s="959">
        <v>0</v>
      </c>
      <c r="BV72" s="959">
        <v>0</v>
      </c>
      <c r="BW72" s="959">
        <v>0</v>
      </c>
      <c r="BX72" s="950">
        <f>+SUM(BT72:BW72)</f>
        <v>0</v>
      </c>
      <c r="BY72" s="959">
        <v>0</v>
      </c>
      <c r="BZ72" s="959">
        <v>0</v>
      </c>
      <c r="CA72" s="959">
        <v>0</v>
      </c>
      <c r="CB72" s="959">
        <v>0</v>
      </c>
      <c r="CC72" s="950">
        <f>+SUM(BY72:CB72)</f>
        <v>0</v>
      </c>
      <c r="CD72" s="959">
        <v>0</v>
      </c>
      <c r="CE72" s="959">
        <v>0</v>
      </c>
      <c r="CF72" s="959">
        <v>0</v>
      </c>
      <c r="CG72" s="959">
        <v>0</v>
      </c>
      <c r="CH72" s="950">
        <f>+SUM(CD72:CG72)</f>
        <v>0</v>
      </c>
      <c r="CI72" s="959">
        <v>0</v>
      </c>
      <c r="CJ72" s="959">
        <v>0</v>
      </c>
      <c r="CK72" s="959">
        <v>0</v>
      </c>
      <c r="CL72" s="959">
        <v>0</v>
      </c>
      <c r="CM72" s="950">
        <f>+SUM(CI72:CL72)</f>
        <v>0</v>
      </c>
      <c r="CN72" s="959">
        <v>0</v>
      </c>
      <c r="CO72" s="959">
        <v>0</v>
      </c>
      <c r="CP72" s="959">
        <v>0</v>
      </c>
      <c r="CQ72" s="959">
        <v>0</v>
      </c>
      <c r="CR72" s="950">
        <f>+SUM(CN72:CQ72)</f>
        <v>0</v>
      </c>
      <c r="CT72" s="1020"/>
      <c r="CU72" s="1020"/>
      <c r="CW72" s="943">
        <f t="shared" si="59"/>
        <v>0</v>
      </c>
      <c r="CX72" s="943">
        <f t="shared" si="60"/>
        <v>0</v>
      </c>
      <c r="CY72" s="943">
        <f t="shared" si="61"/>
        <v>0</v>
      </c>
      <c r="CZ72" s="943">
        <f t="shared" si="62"/>
        <v>0</v>
      </c>
      <c r="DA72" s="943">
        <f t="shared" si="63"/>
        <v>0</v>
      </c>
      <c r="DB72" s="943">
        <f t="shared" si="64"/>
        <v>0</v>
      </c>
      <c r="DC72" s="943">
        <f t="shared" si="65"/>
        <v>0</v>
      </c>
      <c r="DD72" s="943">
        <f t="shared" si="66"/>
        <v>0</v>
      </c>
      <c r="DE72" s="943">
        <f t="shared" si="67"/>
        <v>0</v>
      </c>
      <c r="DF72" s="943">
        <f t="shared" si="68"/>
        <v>0</v>
      </c>
      <c r="DG72" s="943">
        <f t="shared" si="69"/>
        <v>0</v>
      </c>
      <c r="DH72" s="943">
        <f t="shared" si="70"/>
        <v>0</v>
      </c>
      <c r="DI72" s="943">
        <f t="shared" si="71"/>
        <v>0</v>
      </c>
    </row>
    <row r="73" spans="1:113" ht="12" customHeight="1" thickBot="1">
      <c r="A73" s="970" t="s">
        <v>996</v>
      </c>
      <c r="B73" s="1021"/>
      <c r="C73" s="1021"/>
      <c r="D73" s="1021"/>
      <c r="E73" s="1021"/>
      <c r="F73" s="1022"/>
      <c r="G73" s="1021"/>
      <c r="H73" s="1021"/>
      <c r="I73" s="1021"/>
      <c r="J73" s="1021"/>
      <c r="K73" s="1022"/>
      <c r="L73" s="1021"/>
      <c r="M73" s="1021"/>
      <c r="N73" s="1021"/>
      <c r="O73" s="1021"/>
      <c r="P73" s="1022"/>
      <c r="Q73" s="1021"/>
      <c r="R73" s="1021"/>
      <c r="S73" s="1021"/>
      <c r="T73" s="1021"/>
      <c r="U73" s="1022"/>
      <c r="V73" s="1021"/>
      <c r="W73" s="1021"/>
      <c r="X73" s="1021"/>
      <c r="Y73" s="1021"/>
      <c r="Z73" s="1022"/>
      <c r="AA73" s="1021"/>
      <c r="AB73" s="1021"/>
      <c r="AC73" s="1021"/>
      <c r="AD73" s="1021"/>
      <c r="AE73" s="1022"/>
      <c r="AF73" s="1021"/>
      <c r="AG73" s="1021"/>
      <c r="AH73" s="1021"/>
      <c r="AI73" s="1021"/>
      <c r="AJ73" s="1022"/>
      <c r="AK73" s="1021"/>
      <c r="AL73" s="1021"/>
      <c r="AM73" s="1021"/>
      <c r="AN73" s="1021"/>
      <c r="AO73" s="1022"/>
      <c r="AP73" s="1021"/>
      <c r="AQ73" s="1021"/>
      <c r="AR73" s="1021"/>
      <c r="AS73" s="1021"/>
      <c r="AT73" s="1022">
        <f>+AT70+AT71+AT72</f>
        <v>-6.6249200000000208</v>
      </c>
      <c r="AU73" s="1021">
        <f t="shared" ref="AU73:CR73" si="86">+AU70+AU71+AU72</f>
        <v>3.5644000000000116</v>
      </c>
      <c r="AV73" s="1021">
        <f t="shared" si="86"/>
        <v>4.8206799999999923</v>
      </c>
      <c r="AW73" s="1021">
        <f t="shared" si="86"/>
        <v>5.1527999999999956</v>
      </c>
      <c r="AX73" s="1021">
        <f t="shared" si="86"/>
        <v>7.6410399999999825</v>
      </c>
      <c r="AY73" s="1022">
        <f t="shared" si="86"/>
        <v>21.178919999999984</v>
      </c>
      <c r="AZ73" s="1021">
        <f t="shared" si="86"/>
        <v>14.734879999999999</v>
      </c>
      <c r="BA73" s="1021">
        <f t="shared" si="86"/>
        <v>16.923680000000001</v>
      </c>
      <c r="BB73" s="1021">
        <f t="shared" si="86"/>
        <v>22.131959999999992</v>
      </c>
      <c r="BC73" s="1021">
        <f t="shared" si="86"/>
        <v>26.938562000000026</v>
      </c>
      <c r="BD73" s="1022">
        <f t="shared" si="86"/>
        <v>80.829081999999971</v>
      </c>
      <c r="BE73" s="1021">
        <f t="shared" si="86"/>
        <v>22.182119999999998</v>
      </c>
      <c r="BF73" s="1021">
        <f t="shared" si="86"/>
        <v>17.135719999999992</v>
      </c>
      <c r="BG73" s="1021">
        <f t="shared" si="86"/>
        <v>21.701800000000006</v>
      </c>
      <c r="BH73" s="1021">
        <f t="shared" si="86"/>
        <v>23.895920000000011</v>
      </c>
      <c r="BI73" s="970">
        <f t="shared" si="86"/>
        <v>84.915559999999999</v>
      </c>
      <c r="BJ73" s="1021">
        <f t="shared" si="86"/>
        <v>15.870320000000007</v>
      </c>
      <c r="BK73" s="1021">
        <f t="shared" si="86"/>
        <v>16.87807999999999</v>
      </c>
      <c r="BL73" s="1021">
        <f t="shared" si="86"/>
        <v>16.306560000000012</v>
      </c>
      <c r="BM73" s="1021">
        <f t="shared" si="86"/>
        <v>16.194079999999992</v>
      </c>
      <c r="BN73" s="970">
        <f t="shared" si="86"/>
        <v>65.249040000000136</v>
      </c>
      <c r="BO73" s="1021">
        <f>+BO70+BO71+BO72</f>
        <v>13.015000000000008</v>
      </c>
      <c r="BP73" s="1021">
        <f t="shared" ref="BP73:BR73" si="87">+BP70+BP71+BP72</f>
        <v>16.580920000000003</v>
      </c>
      <c r="BQ73" s="1021">
        <f t="shared" si="87"/>
        <v>16.473000000000013</v>
      </c>
      <c r="BR73" s="1021">
        <f t="shared" si="87"/>
        <v>20.227400000000017</v>
      </c>
      <c r="BS73" s="970">
        <f t="shared" si="86"/>
        <v>66.295320000000004</v>
      </c>
      <c r="BT73" s="1021">
        <f>+BT70+BT71+BT72</f>
        <v>17.352320000000013</v>
      </c>
      <c r="BU73" s="971">
        <f t="shared" si="86"/>
        <v>15.736136127989376</v>
      </c>
      <c r="BV73" s="971">
        <f t="shared" si="86"/>
        <v>14.041923686551428</v>
      </c>
      <c r="BW73" s="971">
        <f t="shared" si="86"/>
        <v>18.530916310823542</v>
      </c>
      <c r="BX73" s="970">
        <f t="shared" si="86"/>
        <v>65.661296125364316</v>
      </c>
      <c r="BY73" s="971">
        <f t="shared" si="86"/>
        <v>18.633621298090183</v>
      </c>
      <c r="BZ73" s="971">
        <f t="shared" si="86"/>
        <v>16.125419379906592</v>
      </c>
      <c r="CA73" s="971">
        <f t="shared" si="86"/>
        <v>15.54893710203034</v>
      </c>
      <c r="CB73" s="971">
        <f t="shared" si="86"/>
        <v>21.377316694355304</v>
      </c>
      <c r="CC73" s="970">
        <f t="shared" si="86"/>
        <v>71.68529447438253</v>
      </c>
      <c r="CD73" s="971">
        <f t="shared" si="86"/>
        <v>23.752341901014258</v>
      </c>
      <c r="CE73" s="971">
        <f t="shared" si="86"/>
        <v>19.122570754327246</v>
      </c>
      <c r="CF73" s="971">
        <f t="shared" si="86"/>
        <v>18.638478743942823</v>
      </c>
      <c r="CG73" s="971">
        <f t="shared" si="86"/>
        <v>24.614991935442397</v>
      </c>
      <c r="CH73" s="970">
        <f t="shared" si="86"/>
        <v>86.128383334726749</v>
      </c>
      <c r="CI73" s="971">
        <f t="shared" si="86"/>
        <v>28.944751011144906</v>
      </c>
      <c r="CJ73" s="971">
        <f t="shared" si="86"/>
        <v>22.171385183526855</v>
      </c>
      <c r="CK73" s="971">
        <f t="shared" si="86"/>
        <v>22.092745435801771</v>
      </c>
      <c r="CL73" s="971">
        <f t="shared" si="86"/>
        <v>28.383917100061318</v>
      </c>
      <c r="CM73" s="970">
        <f t="shared" si="86"/>
        <v>101.59279873053489</v>
      </c>
      <c r="CN73" s="971">
        <f t="shared" si="86"/>
        <v>34.686720475000612</v>
      </c>
      <c r="CO73" s="971">
        <f t="shared" si="86"/>
        <v>25.294016596640212</v>
      </c>
      <c r="CP73" s="971">
        <f t="shared" si="86"/>
        <v>25.820174941206126</v>
      </c>
      <c r="CQ73" s="971">
        <f t="shared" si="86"/>
        <v>32.357611384903251</v>
      </c>
      <c r="CR73" s="970">
        <f t="shared" si="86"/>
        <v>118.15852339775017</v>
      </c>
      <c r="CT73" s="732">
        <f>+(CC73/BN73)^(0.333333333333333)-1</f>
        <v>3.1854943315904105E-2</v>
      </c>
      <c r="CU73" s="732">
        <f>+(CM73/BN73)^(0.2)-1</f>
        <v>9.2591354431921236E-2</v>
      </c>
      <c r="CW73" s="943">
        <f t="shared" si="59"/>
        <v>0</v>
      </c>
      <c r="CX73" s="943">
        <f t="shared" si="60"/>
        <v>0</v>
      </c>
      <c r="CY73" s="943">
        <f t="shared" si="61"/>
        <v>-6.625</v>
      </c>
      <c r="CZ73" s="943">
        <f t="shared" si="62"/>
        <v>0</v>
      </c>
      <c r="DA73" s="943">
        <f t="shared" si="63"/>
        <v>9.9999999999994316E-2</v>
      </c>
      <c r="DB73" s="1023">
        <f t="shared" si="64"/>
        <v>0</v>
      </c>
      <c r="DC73" s="943">
        <f t="shared" si="65"/>
        <v>0</v>
      </c>
      <c r="DD73" s="943">
        <f t="shared" si="66"/>
        <v>-1.0000000000047748E-3</v>
      </c>
      <c r="DE73" s="943">
        <f t="shared" si="67"/>
        <v>0</v>
      </c>
      <c r="DF73" s="943">
        <f t="shared" si="68"/>
        <v>0</v>
      </c>
      <c r="DG73" s="943">
        <f t="shared" si="69"/>
        <v>0</v>
      </c>
      <c r="DH73" s="943">
        <f t="shared" si="70"/>
        <v>0</v>
      </c>
      <c r="DI73" s="943">
        <f t="shared" si="71"/>
        <v>0</v>
      </c>
    </row>
    <row r="74" spans="1:113" ht="12" customHeight="1">
      <c r="A74" s="1024"/>
      <c r="B74" s="1019"/>
      <c r="C74" s="1019"/>
      <c r="D74" s="1019"/>
      <c r="E74" s="1019"/>
      <c r="F74" s="818"/>
      <c r="G74" s="1019"/>
      <c r="H74" s="1019"/>
      <c r="I74" s="1019"/>
      <c r="J74" s="1019"/>
      <c r="K74" s="818"/>
      <c r="L74" s="819"/>
      <c r="M74" s="819"/>
      <c r="N74" s="819"/>
      <c r="O74" s="819"/>
      <c r="P74" s="818"/>
      <c r="Q74" s="1019"/>
      <c r="R74" s="1019"/>
      <c r="S74" s="1019"/>
      <c r="T74" s="1019"/>
      <c r="U74" s="818"/>
      <c r="V74" s="1019"/>
      <c r="W74" s="1019"/>
      <c r="X74" s="1019"/>
      <c r="Y74" s="1019"/>
      <c r="Z74" s="818"/>
      <c r="AA74" s="819"/>
      <c r="AB74" s="819"/>
      <c r="AC74" s="819"/>
      <c r="AD74" s="819"/>
      <c r="AE74" s="818"/>
      <c r="AF74" s="819"/>
      <c r="AG74" s="819"/>
      <c r="AH74" s="819"/>
      <c r="AI74" s="819"/>
      <c r="AJ74" s="818"/>
      <c r="AK74" s="819"/>
      <c r="AL74" s="819"/>
      <c r="AM74" s="819"/>
      <c r="AN74" s="819"/>
      <c r="AO74" s="818"/>
      <c r="AP74" s="819"/>
      <c r="AQ74" s="819"/>
      <c r="AR74" s="819"/>
      <c r="AS74" s="819"/>
      <c r="AT74" s="818"/>
      <c r="AU74" s="819"/>
      <c r="AV74" s="819"/>
      <c r="AW74" s="819"/>
      <c r="AX74" s="819"/>
      <c r="AY74" s="818"/>
      <c r="AZ74" s="819"/>
      <c r="BA74" s="819"/>
      <c r="BB74" s="819"/>
      <c r="BC74" s="819"/>
      <c r="BD74" s="818"/>
      <c r="BE74" s="819"/>
      <c r="BF74" s="819"/>
      <c r="BG74" s="819"/>
      <c r="BH74" s="819"/>
      <c r="BI74" s="818"/>
      <c r="BJ74" s="819"/>
      <c r="BK74" s="819"/>
      <c r="BL74" s="819"/>
      <c r="BM74" s="819"/>
      <c r="BN74" s="818"/>
      <c r="BO74" s="819"/>
      <c r="BP74" s="819"/>
      <c r="BQ74" s="819"/>
      <c r="BR74" s="819"/>
      <c r="BS74" s="818"/>
      <c r="BT74" s="819"/>
      <c r="BU74" s="819"/>
      <c r="BV74" s="819"/>
      <c r="BW74" s="819"/>
      <c r="BX74" s="818"/>
      <c r="BY74" s="819"/>
      <c r="BZ74" s="819"/>
      <c r="CA74" s="819"/>
      <c r="CB74" s="819"/>
      <c r="CC74" s="818"/>
      <c r="CD74" s="819"/>
      <c r="CE74" s="819"/>
      <c r="CF74" s="819"/>
      <c r="CG74" s="819"/>
      <c r="CH74" s="818"/>
      <c r="CI74" s="819"/>
      <c r="CJ74" s="819"/>
      <c r="CK74" s="819"/>
      <c r="CL74" s="819"/>
      <c r="CM74" s="818"/>
      <c r="CN74" s="819"/>
      <c r="CO74" s="819"/>
      <c r="CP74" s="819"/>
      <c r="CQ74" s="819"/>
      <c r="CR74" s="818"/>
      <c r="CT74" s="1020"/>
      <c r="CU74" s="1020"/>
      <c r="CW74" s="948"/>
      <c r="CX74" s="948"/>
      <c r="CY74" s="948"/>
      <c r="CZ74" s="948"/>
      <c r="DA74" s="948"/>
      <c r="DB74" s="948"/>
      <c r="DC74" s="948"/>
      <c r="DD74" s="948"/>
      <c r="DE74" s="948"/>
      <c r="DF74" s="948"/>
      <c r="DG74" s="948"/>
      <c r="DH74" s="948"/>
      <c r="DI74" s="948"/>
    </row>
    <row r="75" spans="1:113" ht="12" customHeight="1">
      <c r="A75" s="1025" t="s">
        <v>997</v>
      </c>
      <c r="B75" s="1026"/>
      <c r="C75" s="1026"/>
      <c r="D75" s="1026"/>
      <c r="E75" s="1026"/>
      <c r="F75" s="1027"/>
      <c r="G75" s="1026"/>
      <c r="H75" s="1026"/>
      <c r="I75" s="1026"/>
      <c r="J75" s="1026"/>
      <c r="K75" s="1027"/>
      <c r="L75" s="1028"/>
      <c r="M75" s="1028"/>
      <c r="N75" s="1028"/>
      <c r="O75" s="1028"/>
      <c r="P75" s="1027"/>
      <c r="Q75" s="1028"/>
      <c r="R75" s="1028"/>
      <c r="S75" s="1028"/>
      <c r="T75" s="1028"/>
      <c r="U75" s="1027"/>
      <c r="V75" s="1028"/>
      <c r="W75" s="1028"/>
      <c r="X75" s="1028"/>
      <c r="Y75" s="1028"/>
      <c r="Z75" s="1027"/>
      <c r="AA75" s="1028"/>
      <c r="AB75" s="1028"/>
      <c r="AC75" s="1028"/>
      <c r="AD75" s="1028"/>
      <c r="AE75" s="1027"/>
      <c r="AF75" s="1028"/>
      <c r="AG75" s="1028"/>
      <c r="AH75" s="1028"/>
      <c r="AI75" s="1028"/>
      <c r="AJ75" s="1027"/>
      <c r="AK75" s="1028"/>
      <c r="AL75" s="1028"/>
      <c r="AM75" s="1028"/>
      <c r="AN75" s="1028"/>
      <c r="AO75" s="1027"/>
      <c r="AP75" s="1028"/>
      <c r="AQ75" s="1028"/>
      <c r="AR75" s="1028"/>
      <c r="AS75" s="1028"/>
      <c r="AT75" s="1027"/>
      <c r="AU75" s="1028"/>
      <c r="AV75" s="1028"/>
      <c r="AW75" s="1028"/>
      <c r="AX75" s="1028"/>
      <c r="AY75" s="1027"/>
      <c r="AZ75" s="1028">
        <f t="shared" ref="AZ75:BE75" si="88">+AZ63/AZ79</f>
        <v>-0.76053055049157714</v>
      </c>
      <c r="BA75" s="1028">
        <f t="shared" si="88"/>
        <v>-0.10513558939881532</v>
      </c>
      <c r="BB75" s="1028">
        <f t="shared" si="88"/>
        <v>-0.19218062388846333</v>
      </c>
      <c r="BC75" s="1028">
        <f t="shared" si="88"/>
        <v>0.18659488238242378</v>
      </c>
      <c r="BD75" s="1027">
        <f t="shared" si="88"/>
        <v>-0.67538520455971396</v>
      </c>
      <c r="BE75" s="1028">
        <f t="shared" si="88"/>
        <v>-3.7680880503562011E-2</v>
      </c>
      <c r="BF75" s="1028">
        <f>+BF63/BF79</f>
        <v>-1.2212336617003094</v>
      </c>
      <c r="BG75" s="1028">
        <f>+BG63/BG79</f>
        <v>1.590001356712905E-2</v>
      </c>
      <c r="BH75" s="1028">
        <f>+BH63/BH79</f>
        <v>-0.90454548461574058</v>
      </c>
      <c r="BI75" s="1027">
        <f t="shared" ref="BI75:CR75" si="89">+BI63/BI79</f>
        <v>-2.148407331112185</v>
      </c>
      <c r="BJ75" s="1028">
        <f t="shared" si="89"/>
        <v>-1.0756788384870184</v>
      </c>
      <c r="BK75" s="1028">
        <f t="shared" si="89"/>
        <v>-0.11500560649033699</v>
      </c>
      <c r="BL75" s="1028">
        <f t="shared" si="89"/>
        <v>-2.1970063979358101</v>
      </c>
      <c r="BM75" s="1028">
        <f>+BM63/BM79</f>
        <v>-0.13815828242550435</v>
      </c>
      <c r="BN75" s="1027">
        <f t="shared" si="89"/>
        <v>-3.5227011598315734</v>
      </c>
      <c r="BO75" s="1028">
        <f>+BO63/BO79</f>
        <v>-0.12669692109072409</v>
      </c>
      <c r="BP75" s="1028">
        <f t="shared" ref="BP75" si="90">+BP63/BP79</f>
        <v>-9.6939222681369439E-2</v>
      </c>
      <c r="BQ75" s="1028">
        <f t="shared" si="89"/>
        <v>-1.1230349882164041</v>
      </c>
      <c r="BR75" s="1028">
        <f t="shared" si="89"/>
        <v>-0.78922788533014443</v>
      </c>
      <c r="BS75" s="1027">
        <f t="shared" si="89"/>
        <v>-2.1404427316490846</v>
      </c>
      <c r="BT75" s="1028">
        <f t="shared" si="89"/>
        <v>-4.5218103887041179E-2</v>
      </c>
      <c r="BU75" s="1028">
        <f t="shared" si="89"/>
        <v>-6.8392622555570562E-2</v>
      </c>
      <c r="BV75" s="1028">
        <f t="shared" si="89"/>
        <v>-6.7584403591775616E-2</v>
      </c>
      <c r="BW75" s="1028">
        <f t="shared" si="89"/>
        <v>-4.5550289049350455E-2</v>
      </c>
      <c r="BX75" s="1027">
        <f t="shared" si="89"/>
        <v>-0.22674532647620357</v>
      </c>
      <c r="BY75" s="1028">
        <f t="shared" si="89"/>
        <v>-5.1410459164660249E-2</v>
      </c>
      <c r="BZ75" s="1028">
        <f t="shared" si="89"/>
        <v>-6.6136402483887594E-2</v>
      </c>
      <c r="CA75" s="1028">
        <f t="shared" si="89"/>
        <v>-6.0905031257911739E-2</v>
      </c>
      <c r="CB75" s="1028">
        <f t="shared" si="89"/>
        <v>-3.394070211651895E-2</v>
      </c>
      <c r="CC75" s="1027">
        <f t="shared" si="89"/>
        <v>-0.21224833494751205</v>
      </c>
      <c r="CD75" s="1028">
        <f t="shared" si="89"/>
        <v>-1.2609153379018639E-2</v>
      </c>
      <c r="CE75" s="1028">
        <f t="shared" si="89"/>
        <v>-3.5224341607688642E-2</v>
      </c>
      <c r="CF75" s="1028">
        <f t="shared" si="89"/>
        <v>-2.9714314528886135E-2</v>
      </c>
      <c r="CG75" s="1028">
        <f t="shared" si="89"/>
        <v>-2.7270097512444671E-3</v>
      </c>
      <c r="CH75" s="1027">
        <f t="shared" si="89"/>
        <v>-8.0186530840500661E-2</v>
      </c>
      <c r="CI75" s="1028">
        <f t="shared" si="89"/>
        <v>6.0170245978407371E-3</v>
      </c>
      <c r="CJ75" s="1028">
        <f t="shared" si="89"/>
        <v>-2.4048027006502385E-2</v>
      </c>
      <c r="CK75" s="1028">
        <f t="shared" si="89"/>
        <v>-1.6951134729597916E-2</v>
      </c>
      <c r="CL75" s="1028">
        <f t="shared" si="89"/>
        <v>1.0792654566614917E-2</v>
      </c>
      <c r="CM75" s="1027">
        <f t="shared" si="89"/>
        <v>-2.4135338042667195E-2</v>
      </c>
      <c r="CN75" s="1028">
        <f t="shared" si="89"/>
        <v>2.5891437677220425E-2</v>
      </c>
      <c r="CO75" s="1028">
        <f t="shared" si="89"/>
        <v>-1.303245921661841E-2</v>
      </c>
      <c r="CP75" s="1028">
        <f t="shared" si="89"/>
        <v>-3.7390403018301714E-3</v>
      </c>
      <c r="CQ75" s="1028">
        <f t="shared" si="89"/>
        <v>2.446339014151707E-2</v>
      </c>
      <c r="CR75" s="1027">
        <f t="shared" si="89"/>
        <v>3.3596654911383313E-2</v>
      </c>
      <c r="CT75" s="732"/>
      <c r="CU75" s="732"/>
      <c r="CW75" s="943">
        <f>+ROUND(AJ75,3)-ROUND(SUM(AF75:AI75),3)</f>
        <v>0</v>
      </c>
      <c r="CX75" s="943">
        <f>+ROUND(AO75,3)-ROUND(SUM(AK75:AN75),3)</f>
        <v>0</v>
      </c>
      <c r="CY75" s="943">
        <f>+ROUND(AT75,3)-ROUND(SUM(AP75:AS75),3)</f>
        <v>0</v>
      </c>
      <c r="CZ75" s="943">
        <f>+ROUND(AY75,3)-ROUND(SUM(AU75:AX75),3)</f>
        <v>0</v>
      </c>
      <c r="DA75" s="943">
        <f>+ROUND(BD75,3)-ROUND(SUM(AZ75:BC75),3)</f>
        <v>0.19599999999999995</v>
      </c>
      <c r="DB75" s="943">
        <f>+ROUND(BI75,3)-ROUND(SUM(BE75:BH75),3)</f>
        <v>0</v>
      </c>
      <c r="DC75" s="943">
        <f>+ROUND(BN75,3)-ROUND(SUM(BJ75:BM75),3)</f>
        <v>2.9999999999996696E-3</v>
      </c>
      <c r="DD75" s="943">
        <f>+ROUND(BS75,3)-ROUND(SUM(BO75:BR75),3)</f>
        <v>-4.0000000000000036E-3</v>
      </c>
      <c r="DE75" s="943">
        <f>+ROUND(BX75,3)-ROUND(SUM(BT75:BW75),3)</f>
        <v>0</v>
      </c>
      <c r="DF75" s="943">
        <f>+ROUND(CC75,3)-ROUND(SUM(BY75:CB75),3)</f>
        <v>0</v>
      </c>
      <c r="DG75" s="943">
        <f>+ROUND(CH75,3)-ROUND(SUM(CD75:CG75),3)</f>
        <v>0</v>
      </c>
      <c r="DH75" s="943">
        <f t="shared" ref="DH75:DH77" si="91">+ROUND(CM75,3)-ROUND(SUM(CI75:CL75),3)</f>
        <v>0</v>
      </c>
      <c r="DI75" s="943">
        <f t="shared" ref="DI75:DI77" si="92">+ROUND(CR75,3)-ROUND(SUM(CN75:CQ75),3)</f>
        <v>0</v>
      </c>
    </row>
    <row r="76" spans="1:113" ht="12" customHeight="1">
      <c r="A76" s="1025" t="s">
        <v>998</v>
      </c>
      <c r="B76" s="1026"/>
      <c r="C76" s="1026"/>
      <c r="D76" s="1026"/>
      <c r="E76" s="1026"/>
      <c r="F76" s="1027"/>
      <c r="G76" s="1026"/>
      <c r="H76" s="1026"/>
      <c r="I76" s="1026"/>
      <c r="J76" s="1026"/>
      <c r="K76" s="1027"/>
      <c r="L76" s="1028"/>
      <c r="M76" s="1028"/>
      <c r="N76" s="1028"/>
      <c r="O76" s="1028"/>
      <c r="P76" s="1027"/>
      <c r="Q76" s="1028"/>
      <c r="R76" s="1028"/>
      <c r="S76" s="1028"/>
      <c r="T76" s="1028"/>
      <c r="U76" s="1027"/>
      <c r="V76" s="1028"/>
      <c r="W76" s="1028"/>
      <c r="X76" s="1028"/>
      <c r="Y76" s="1028"/>
      <c r="Z76" s="1027"/>
      <c r="AA76" s="1028"/>
      <c r="AB76" s="1028"/>
      <c r="AC76" s="1028"/>
      <c r="AD76" s="1028"/>
      <c r="AE76" s="1027"/>
      <c r="AF76" s="1028"/>
      <c r="AG76" s="1028"/>
      <c r="AH76" s="1028"/>
      <c r="AI76" s="1028"/>
      <c r="AJ76" s="1027"/>
      <c r="AK76" s="1028"/>
      <c r="AL76" s="1028"/>
      <c r="AM76" s="1028"/>
      <c r="AN76" s="1028"/>
      <c r="AO76" s="1027"/>
      <c r="AP76" s="1028"/>
      <c r="AQ76" s="1028"/>
      <c r="AR76" s="1028"/>
      <c r="AS76" s="1028"/>
      <c r="AT76" s="1027"/>
      <c r="AU76" s="1028"/>
      <c r="AV76" s="1028"/>
      <c r="AW76" s="1028"/>
      <c r="AX76" s="1028"/>
      <c r="AY76" s="1027"/>
      <c r="AZ76" s="1028">
        <f t="shared" ref="AZ76:BE76" si="93">+IF(AZ63&gt;0,AZ63/AZ80,AZ63/AZ79)</f>
        <v>-0.76053055049157714</v>
      </c>
      <c r="BA76" s="1028">
        <f t="shared" si="93"/>
        <v>-0.10513558939881532</v>
      </c>
      <c r="BB76" s="1028">
        <f t="shared" si="93"/>
        <v>-0.19218062388846333</v>
      </c>
      <c r="BC76" s="1028">
        <f>+IF(BC63&gt;0,BC63/BC80,BC63/BC79)</f>
        <v>0.16493659670103325</v>
      </c>
      <c r="BD76" s="1027">
        <f>+IF(BD63&gt;0,BD63/BD80,BD63/BD79)</f>
        <v>-0.67538520455971396</v>
      </c>
      <c r="BE76" s="1028">
        <f t="shared" si="93"/>
        <v>-3.7680880503562011E-2</v>
      </c>
      <c r="BF76" s="1028">
        <f>+IF(BF63&gt;0,BF63/BF80,BF63/BF79)</f>
        <v>-1.2212336617003094</v>
      </c>
      <c r="BG76" s="1028">
        <f>+BG63/302.359</f>
        <v>1.5891704893851236E-2</v>
      </c>
      <c r="BH76" s="1028">
        <f>+IF(BH63&gt;0,BH63/BH80,BH63/BH79)</f>
        <v>-0.90454548461574058</v>
      </c>
      <c r="BI76" s="1027">
        <f t="shared" ref="BI76:CR76" si="94">+IF(BI63&gt;0,BI63/BI80,BI63/BI79)</f>
        <v>-2.148407331112185</v>
      </c>
      <c r="BJ76" s="1028">
        <f t="shared" si="94"/>
        <v>-1.0756788384870184</v>
      </c>
      <c r="BK76" s="1028">
        <f t="shared" si="94"/>
        <v>-0.11500560649033699</v>
      </c>
      <c r="BL76" s="1028">
        <f t="shared" si="94"/>
        <v>-2.1970063979358101</v>
      </c>
      <c r="BM76" s="1028">
        <f>+IF(BM63&gt;0,BM63/BM80,BM63/BM79)</f>
        <v>-0.13815828242550435</v>
      </c>
      <c r="BN76" s="1027">
        <f t="shared" si="94"/>
        <v>-3.5227011598315734</v>
      </c>
      <c r="BO76" s="1028">
        <f>+IF(BO63&gt;0,BO63/BO80,BO63/BO79)</f>
        <v>-0.12669692109072409</v>
      </c>
      <c r="BP76" s="1028">
        <f t="shared" ref="BP76" si="95">+IF(BP63&gt;0,BP63/BP80,BP63/BP79)</f>
        <v>-9.6939222681369439E-2</v>
      </c>
      <c r="BQ76" s="1028">
        <f t="shared" si="94"/>
        <v>-1.1230349882164041</v>
      </c>
      <c r="BR76" s="1028">
        <f t="shared" si="94"/>
        <v>-0.78922788533014443</v>
      </c>
      <c r="BS76" s="1027">
        <f t="shared" si="94"/>
        <v>-2.1404427316490846</v>
      </c>
      <c r="BT76" s="1028">
        <f t="shared" si="94"/>
        <v>-4.5218103887041179E-2</v>
      </c>
      <c r="BU76" s="1028">
        <f t="shared" si="94"/>
        <v>-6.8392622555570562E-2</v>
      </c>
      <c r="BV76" s="1028">
        <f t="shared" si="94"/>
        <v>-6.7584403591775616E-2</v>
      </c>
      <c r="BW76" s="1028">
        <f t="shared" si="94"/>
        <v>-4.5550289049350455E-2</v>
      </c>
      <c r="BX76" s="1027">
        <f t="shared" si="94"/>
        <v>-0.22674532647620357</v>
      </c>
      <c r="BY76" s="1028">
        <f t="shared" si="94"/>
        <v>-5.1410459164660249E-2</v>
      </c>
      <c r="BZ76" s="1028">
        <f t="shared" si="94"/>
        <v>-6.6136402483887594E-2</v>
      </c>
      <c r="CA76" s="1028">
        <f t="shared" si="94"/>
        <v>-6.0905031257911739E-2</v>
      </c>
      <c r="CB76" s="1028">
        <f t="shared" si="94"/>
        <v>-3.394070211651895E-2</v>
      </c>
      <c r="CC76" s="1027">
        <f t="shared" si="94"/>
        <v>-0.21224833494751205</v>
      </c>
      <c r="CD76" s="1028">
        <f t="shared" si="94"/>
        <v>-1.2609153379018639E-2</v>
      </c>
      <c r="CE76" s="1028">
        <f t="shared" si="94"/>
        <v>-3.5224341607688642E-2</v>
      </c>
      <c r="CF76" s="1028">
        <f t="shared" si="94"/>
        <v>-2.9714314528886135E-2</v>
      </c>
      <c r="CG76" s="1028">
        <f t="shared" si="94"/>
        <v>-2.7270097512444671E-3</v>
      </c>
      <c r="CH76" s="1027">
        <f t="shared" si="94"/>
        <v>-8.0186530840500661E-2</v>
      </c>
      <c r="CI76" s="1028">
        <f t="shared" si="94"/>
        <v>5.417669384054794E-3</v>
      </c>
      <c r="CJ76" s="1028">
        <f t="shared" si="94"/>
        <v>-2.4048027006502385E-2</v>
      </c>
      <c r="CK76" s="1028">
        <f t="shared" si="94"/>
        <v>-1.6951134729597916E-2</v>
      </c>
      <c r="CL76" s="1028">
        <f t="shared" si="94"/>
        <v>9.7319961725591386E-3</v>
      </c>
      <c r="CM76" s="1027">
        <f t="shared" si="94"/>
        <v>-2.4135338042667195E-2</v>
      </c>
      <c r="CN76" s="1028">
        <f t="shared" si="94"/>
        <v>2.3358352728319553E-2</v>
      </c>
      <c r="CO76" s="1028">
        <f t="shared" si="94"/>
        <v>-1.303245921661841E-2</v>
      </c>
      <c r="CP76" s="1028">
        <f t="shared" si="94"/>
        <v>-3.7390403018301714E-3</v>
      </c>
      <c r="CQ76" s="1028">
        <f t="shared" si="94"/>
        <v>2.2102131721057867E-2</v>
      </c>
      <c r="CR76" s="1027">
        <f t="shared" si="94"/>
        <v>3.033189505207878E-2</v>
      </c>
      <c r="CT76" s="732"/>
      <c r="CU76" s="732"/>
      <c r="CW76" s="943">
        <f>+ROUND(AJ76,3)-ROUND(SUM(AF76:AI76),3)</f>
        <v>0</v>
      </c>
      <c r="CX76" s="943">
        <f>+ROUND(AO76,3)-ROUND(SUM(AK76:AN76),3)</f>
        <v>0</v>
      </c>
      <c r="CY76" s="943">
        <f>+ROUND(AT76,3)-ROUND(SUM(AP76:AS76),3)</f>
        <v>0</v>
      </c>
      <c r="CZ76" s="943">
        <f>+ROUND(AY76,3)-ROUND(SUM(AU76:AX76),3)</f>
        <v>0</v>
      </c>
      <c r="DA76" s="943">
        <f>+ROUND(BD76,3)-ROUND(SUM(AZ76:BC76),3)</f>
        <v>0.21799999999999997</v>
      </c>
      <c r="DB76" s="943">
        <f>+ROUND(BI76,3)-ROUND(SUM(BE76:BH76),3)</f>
        <v>0</v>
      </c>
      <c r="DC76" s="943">
        <f>+ROUND(BN76,3)-ROUND(SUM(BJ76:BM76),3)</f>
        <v>2.9999999999996696E-3</v>
      </c>
      <c r="DD76" s="943">
        <f>+ROUND(BS76,3)-ROUND(SUM(BO76:BR76),3)</f>
        <v>-4.0000000000000036E-3</v>
      </c>
      <c r="DE76" s="943">
        <f>+ROUND(BX76,3)-ROUND(SUM(BT76:BW76),3)</f>
        <v>0</v>
      </c>
      <c r="DF76" s="943">
        <f>+ROUND(CC76,3)-ROUND(SUM(BY76:CB76),3)</f>
        <v>0</v>
      </c>
      <c r="DG76" s="943">
        <f>+ROUND(CH76,3)-ROUND(SUM(CD76:CG76),3)</f>
        <v>0</v>
      </c>
      <c r="DH76" s="943">
        <f t="shared" si="91"/>
        <v>1.9999999999999983E-3</v>
      </c>
      <c r="DI76" s="943">
        <f t="shared" si="92"/>
        <v>9.9999999999999742E-4</v>
      </c>
    </row>
    <row r="77" spans="1:113" ht="12" customHeight="1">
      <c r="A77" s="1025" t="s">
        <v>999</v>
      </c>
      <c r="B77" s="1026"/>
      <c r="C77" s="1026"/>
      <c r="D77" s="1026"/>
      <c r="E77" s="1026"/>
      <c r="F77" s="1027"/>
      <c r="G77" s="1026"/>
      <c r="H77" s="1026"/>
      <c r="I77" s="1026"/>
      <c r="J77" s="1026"/>
      <c r="K77" s="1027"/>
      <c r="L77" s="1028"/>
      <c r="M77" s="1028"/>
      <c r="N77" s="1028"/>
      <c r="O77" s="1028"/>
      <c r="P77" s="1029"/>
      <c r="Q77" s="1028"/>
      <c r="R77" s="1028"/>
      <c r="S77" s="1028"/>
      <c r="T77" s="1028"/>
      <c r="U77" s="1027"/>
      <c r="V77" s="1028"/>
      <c r="W77" s="1028"/>
      <c r="X77" s="1028"/>
      <c r="Y77" s="1028"/>
      <c r="Z77" s="1027"/>
      <c r="AA77" s="1028"/>
      <c r="AB77" s="1028"/>
      <c r="AC77" s="1028"/>
      <c r="AD77" s="1028"/>
      <c r="AE77" s="1029"/>
      <c r="AF77" s="1028"/>
      <c r="AG77" s="1028"/>
      <c r="AH77" s="1028"/>
      <c r="AI77" s="1028"/>
      <c r="AJ77" s="1027"/>
      <c r="AK77" s="1028"/>
      <c r="AL77" s="1028"/>
      <c r="AM77" s="1028"/>
      <c r="AN77" s="1028"/>
      <c r="AO77" s="1027"/>
      <c r="AP77" s="1028"/>
      <c r="AQ77" s="1028"/>
      <c r="AR77" s="1028"/>
      <c r="AS77" s="1028"/>
      <c r="AT77" s="1027"/>
      <c r="AU77" s="1028"/>
      <c r="AV77" s="1028"/>
      <c r="AW77" s="1028"/>
      <c r="AX77" s="1028"/>
      <c r="AY77" s="1027"/>
      <c r="AZ77" s="1028">
        <f>+AZ73/AZ80</f>
        <v>6.1093046973344126E-2</v>
      </c>
      <c r="BA77" s="1028">
        <f>+BA73/BA80</f>
        <v>7.0568574382347551E-2</v>
      </c>
      <c r="BB77" s="1028">
        <f>+BB73/BB80</f>
        <v>6.3412177927363131E-2</v>
      </c>
      <c r="BC77" s="1028">
        <f>+BC73/BC80</f>
        <v>7.9037191125298611E-2</v>
      </c>
      <c r="BD77" s="1027">
        <f>+BD73/BC80</f>
        <v>0.23715087696649972</v>
      </c>
      <c r="BE77" s="1028">
        <f t="shared" ref="BE77:BJ77" si="96">+BE73/BE80</f>
        <v>6.5063087769970829E-2</v>
      </c>
      <c r="BF77" s="1028">
        <f t="shared" si="96"/>
        <v>5.0219714842547933E-2</v>
      </c>
      <c r="BG77" s="1028">
        <f t="shared" si="96"/>
        <v>6.3573221781835984E-2</v>
      </c>
      <c r="BH77" s="1028">
        <f t="shared" si="96"/>
        <v>6.9994522506056034E-2</v>
      </c>
      <c r="BI77" s="1027">
        <f t="shared" si="96"/>
        <v>0.24885294356399884</v>
      </c>
      <c r="BJ77" s="1028">
        <f t="shared" si="96"/>
        <v>4.6378000847470027E-2</v>
      </c>
      <c r="BK77" s="1028">
        <f>+BK73/BK81</f>
        <v>4.3579052822374474E-2</v>
      </c>
      <c r="BL77" s="1028">
        <f>+BL73/BL81</f>
        <v>4.2026241659342982E-2</v>
      </c>
      <c r="BM77" s="1028">
        <f>+BM73/BM80</f>
        <v>4.7173589445565933E-2</v>
      </c>
      <c r="BN77" s="1027">
        <f>+BN73/BN80</f>
        <v>0.19039210408254861</v>
      </c>
      <c r="BO77" s="1028">
        <f>+BO73/BO80</f>
        <v>3.7786519952966474E-2</v>
      </c>
      <c r="BP77" s="1028">
        <f>+BP73/BP80</f>
        <v>4.8018882131479881E-2</v>
      </c>
      <c r="BQ77" s="1028">
        <f t="shared" ref="BQ77:CR77" si="97">+BQ73/BQ80</f>
        <v>4.7628409928729451E-2</v>
      </c>
      <c r="BR77" s="1028">
        <f t="shared" si="97"/>
        <v>5.835713502628289E-2</v>
      </c>
      <c r="BS77" s="1027">
        <f t="shared" si="97"/>
        <v>0.19185254960519862</v>
      </c>
      <c r="BT77" s="1028">
        <f t="shared" si="97"/>
        <v>4.9707438504221026E-2</v>
      </c>
      <c r="BU77" s="1028">
        <f t="shared" si="97"/>
        <v>4.4876919789600407E-2</v>
      </c>
      <c r="BV77" s="1028">
        <f t="shared" si="97"/>
        <v>3.9866823557489828E-2</v>
      </c>
      <c r="BW77" s="1028">
        <f t="shared" si="97"/>
        <v>5.2377045975787538E-2</v>
      </c>
      <c r="BX77" s="1027">
        <f t="shared" si="97"/>
        <v>0.18683511842100869</v>
      </c>
      <c r="BY77" s="1028">
        <f t="shared" si="97"/>
        <v>5.2432365013798228E-2</v>
      </c>
      <c r="BZ77" s="1028">
        <f t="shared" si="97"/>
        <v>4.517209960530999E-2</v>
      </c>
      <c r="CA77" s="1028">
        <f t="shared" si="97"/>
        <v>4.3362672991313397E-2</v>
      </c>
      <c r="CB77" s="1028">
        <f t="shared" si="97"/>
        <v>5.9350395497186313E-2</v>
      </c>
      <c r="CC77" s="1027">
        <f t="shared" si="97"/>
        <v>0.20036019099858493</v>
      </c>
      <c r="CD77" s="1028">
        <f t="shared" si="97"/>
        <v>6.5649430252233187E-2</v>
      </c>
      <c r="CE77" s="1028">
        <f t="shared" si="97"/>
        <v>5.2616737533368194E-2</v>
      </c>
      <c r="CF77" s="1028">
        <f t="shared" si="97"/>
        <v>5.1055229965458936E-2</v>
      </c>
      <c r="CG77" s="1028">
        <f t="shared" si="97"/>
        <v>6.7124432829821348E-2</v>
      </c>
      <c r="CH77" s="1027">
        <f t="shared" si="97"/>
        <v>0.23645257766005598</v>
      </c>
      <c r="CI77" s="1028">
        <f t="shared" si="97"/>
        <v>7.8577993326166912E-2</v>
      </c>
      <c r="CJ77" s="1028">
        <f t="shared" si="97"/>
        <v>5.9920186786832676E-2</v>
      </c>
      <c r="CK77" s="1028">
        <f t="shared" si="97"/>
        <v>5.9439927420043247E-2</v>
      </c>
      <c r="CL77" s="1028">
        <f t="shared" si="97"/>
        <v>7.6023559719651246E-2</v>
      </c>
      <c r="CM77" s="1027">
        <f t="shared" si="97"/>
        <v>0.27394376343801452</v>
      </c>
      <c r="CN77" s="1028">
        <f t="shared" si="97"/>
        <v>9.2488011867963696E-2</v>
      </c>
      <c r="CO77" s="1028">
        <f t="shared" si="97"/>
        <v>6.7140625198755396E-2</v>
      </c>
      <c r="CP77" s="1028">
        <f t="shared" si="97"/>
        <v>6.822934325430037E-2</v>
      </c>
      <c r="CQ77" s="1028">
        <f t="shared" si="97"/>
        <v>8.5120065308996143E-2</v>
      </c>
      <c r="CR77" s="1027">
        <f t="shared" si="97"/>
        <v>0.31293120594875778</v>
      </c>
      <c r="CT77" s="732">
        <f>+(CC77/BN77)^(0.333333333333333)-1</f>
        <v>1.7155849977332327E-2</v>
      </c>
      <c r="CU77" s="732">
        <f>+(CM77/BN77)^(0.2)-1</f>
        <v>7.5480392184356537E-2</v>
      </c>
      <c r="CW77" s="943">
        <f>+ROUND(AJ77,3)-ROUND(SUM(AF77:AI77),3)</f>
        <v>0</v>
      </c>
      <c r="CX77" s="943">
        <f>+ROUND(AO77,3)-ROUND(SUM(AK77:AN77),3)</f>
        <v>0</v>
      </c>
      <c r="CY77" s="943">
        <f>+ROUND(AT77,3)-ROUND(SUM(AP77:AS77),3)</f>
        <v>0</v>
      </c>
      <c r="CZ77" s="943">
        <f>+ROUND(AY77,3)-ROUND(SUM(AU77:AX77),3)</f>
        <v>0</v>
      </c>
      <c r="DA77" s="943">
        <f>+ROUND(BD77,3)-ROUND(SUM(AZ77:BC77),3)</f>
        <v>-3.7000000000000033E-2</v>
      </c>
      <c r="DB77" s="943">
        <f>+ROUND(BI77,3)-ROUND(SUM(BE77:BH77),3)</f>
        <v>0</v>
      </c>
      <c r="DC77" s="943">
        <f>+ROUND(BN77,3)-ROUND(SUM(BJ77:BM77),3)</f>
        <v>1.100000000000001E-2</v>
      </c>
      <c r="DD77" s="943">
        <f>+ROUND(BS77,3)-ROUND(SUM(BO77:BR77),3)</f>
        <v>0</v>
      </c>
      <c r="DE77" s="943">
        <f>+ROUND(BX77,3)-ROUND(SUM(BT77:BW77),3)</f>
        <v>0</v>
      </c>
      <c r="DF77" s="943">
        <f>+ROUND(CC77,3)-ROUND(SUM(BY77:CB77),3)</f>
        <v>0</v>
      </c>
      <c r="DG77" s="943">
        <f>+ROUND(CH77,3)-ROUND(SUM(CD77:CG77),3)</f>
        <v>0</v>
      </c>
      <c r="DH77" s="943">
        <f t="shared" si="91"/>
        <v>0</v>
      </c>
      <c r="DI77" s="943">
        <f t="shared" si="92"/>
        <v>0</v>
      </c>
    </row>
    <row r="78" spans="1:113" ht="12" customHeight="1">
      <c r="A78" s="944"/>
      <c r="B78" s="959"/>
      <c r="C78" s="906"/>
      <c r="D78" s="906"/>
      <c r="E78" s="906"/>
      <c r="F78" s="958"/>
      <c r="G78" s="959"/>
      <c r="H78" s="906"/>
      <c r="I78" s="906"/>
      <c r="J78" s="906"/>
      <c r="K78" s="958"/>
      <c r="L78" s="959"/>
      <c r="M78" s="959"/>
      <c r="N78" s="959"/>
      <c r="O78" s="959"/>
      <c r="P78" s="958"/>
      <c r="Q78" s="959"/>
      <c r="R78" s="906"/>
      <c r="S78" s="906"/>
      <c r="T78" s="906"/>
      <c r="U78" s="958"/>
      <c r="V78" s="959"/>
      <c r="W78" s="906"/>
      <c r="X78" s="906"/>
      <c r="Y78" s="906"/>
      <c r="Z78" s="958"/>
      <c r="AA78" s="959"/>
      <c r="AB78" s="959"/>
      <c r="AC78" s="959"/>
      <c r="AD78" s="959"/>
      <c r="AE78" s="958"/>
      <c r="AF78" s="959"/>
      <c r="AG78" s="959"/>
      <c r="AH78" s="959"/>
      <c r="AI78" s="959"/>
      <c r="AJ78" s="958"/>
      <c r="AK78" s="959"/>
      <c r="AL78" s="959"/>
      <c r="AM78" s="959"/>
      <c r="AN78" s="959"/>
      <c r="AO78" s="958"/>
      <c r="AP78" s="959"/>
      <c r="AQ78" s="959"/>
      <c r="AR78" s="959"/>
      <c r="AS78" s="959"/>
      <c r="AT78" s="958"/>
      <c r="AU78" s="959"/>
      <c r="AV78" s="959"/>
      <c r="AW78" s="959"/>
      <c r="AX78" s="959"/>
      <c r="AY78" s="958"/>
      <c r="AZ78" s="959"/>
      <c r="BA78" s="959"/>
      <c r="BB78" s="959"/>
      <c r="BC78" s="959"/>
      <c r="BD78" s="950"/>
      <c r="BE78" s="959"/>
      <c r="BF78" s="959"/>
      <c r="BG78" s="959"/>
      <c r="BH78" s="959"/>
      <c r="BI78" s="950"/>
      <c r="BJ78" s="959"/>
      <c r="BK78" s="959"/>
      <c r="BL78" s="959"/>
      <c r="BM78" s="949"/>
      <c r="BN78" s="950"/>
      <c r="BO78" s="959"/>
      <c r="BP78" s="959"/>
      <c r="BQ78" s="949"/>
      <c r="BR78" s="949"/>
      <c r="BS78" s="950"/>
      <c r="BT78" s="949"/>
      <c r="BU78" s="949"/>
      <c r="BV78" s="949"/>
      <c r="BW78" s="949"/>
      <c r="BX78" s="950"/>
      <c r="BY78" s="949"/>
      <c r="BZ78" s="949"/>
      <c r="CA78" s="949"/>
      <c r="CB78" s="949"/>
      <c r="CC78" s="950"/>
      <c r="CD78" s="949"/>
      <c r="CE78" s="949"/>
      <c r="CF78" s="949"/>
      <c r="CG78" s="949"/>
      <c r="CH78" s="950"/>
      <c r="CI78" s="949"/>
      <c r="CJ78" s="949"/>
      <c r="CK78" s="949"/>
      <c r="CL78" s="949"/>
      <c r="CM78" s="950"/>
      <c r="CN78" s="949"/>
      <c r="CO78" s="949"/>
      <c r="CP78" s="949"/>
      <c r="CQ78" s="949"/>
      <c r="CR78" s="950"/>
      <c r="CT78" s="1030"/>
      <c r="CU78" s="1030"/>
      <c r="CW78" s="948"/>
      <c r="CX78" s="948"/>
      <c r="CY78" s="948"/>
      <c r="CZ78" s="948"/>
      <c r="DA78" s="948"/>
      <c r="DB78" s="948"/>
      <c r="DC78" s="948"/>
      <c r="DD78" s="948"/>
      <c r="DE78" s="948"/>
      <c r="DF78" s="948"/>
      <c r="DG78" s="948"/>
      <c r="DH78" s="948"/>
      <c r="DI78" s="948"/>
    </row>
    <row r="79" spans="1:113" ht="12" customHeight="1">
      <c r="A79" s="944" t="s">
        <v>1000</v>
      </c>
      <c r="B79" s="959"/>
      <c r="C79" s="906"/>
      <c r="D79" s="906"/>
      <c r="E79" s="906"/>
      <c r="F79" s="958"/>
      <c r="G79" s="959"/>
      <c r="H79" s="906"/>
      <c r="I79" s="906"/>
      <c r="J79" s="906"/>
      <c r="K79" s="958"/>
      <c r="L79" s="959"/>
      <c r="M79" s="959"/>
      <c r="N79" s="959"/>
      <c r="O79" s="959"/>
      <c r="P79" s="958"/>
      <c r="Q79" s="959"/>
      <c r="R79" s="959"/>
      <c r="S79" s="959"/>
      <c r="T79" s="959"/>
      <c r="U79" s="958"/>
      <c r="V79" s="959"/>
      <c r="W79" s="959"/>
      <c r="X79" s="959"/>
      <c r="Y79" s="959"/>
      <c r="Z79" s="958"/>
      <c r="AA79" s="959"/>
      <c r="AB79" s="959"/>
      <c r="AC79" s="959"/>
      <c r="AD79" s="959"/>
      <c r="AE79" s="958"/>
      <c r="AF79" s="959"/>
      <c r="AG79" s="959"/>
      <c r="AH79" s="959"/>
      <c r="AI79" s="959"/>
      <c r="AJ79" s="958"/>
      <c r="AK79" s="959"/>
      <c r="AL79" s="959"/>
      <c r="AM79" s="959"/>
      <c r="AN79" s="959"/>
      <c r="AO79" s="958"/>
      <c r="AP79" s="959"/>
      <c r="AQ79" s="959"/>
      <c r="AR79" s="959"/>
      <c r="AS79" s="959"/>
      <c r="AT79" s="958"/>
      <c r="AU79" s="959"/>
      <c r="AV79" s="959"/>
      <c r="AW79" s="959"/>
      <c r="AX79" s="959"/>
      <c r="AY79" s="958"/>
      <c r="AZ79" s="959">
        <v>187.05099999999999</v>
      </c>
      <c r="BA79" s="959">
        <v>195.148</v>
      </c>
      <c r="BB79" s="959">
        <v>308.13200000000001</v>
      </c>
      <c r="BC79" s="959">
        <v>301.27300000000002</v>
      </c>
      <c r="BD79" s="958">
        <v>245.45400000000001</v>
      </c>
      <c r="BE79" s="959">
        <v>301.37299999999999</v>
      </c>
      <c r="BF79" s="959">
        <v>301.89800000000002</v>
      </c>
      <c r="BG79" s="959">
        <v>302.20100000000002</v>
      </c>
      <c r="BH79" s="959">
        <v>302.322</v>
      </c>
      <c r="BI79" s="958">
        <v>301.94600000000003</v>
      </c>
      <c r="BJ79" s="959">
        <v>302.50200000000001</v>
      </c>
      <c r="BK79" s="959">
        <v>303.22000000000003</v>
      </c>
      <c r="BL79" s="959">
        <v>303.84800000000001</v>
      </c>
      <c r="BM79" s="959">
        <v>305.45400000000001</v>
      </c>
      <c r="BN79" s="958">
        <v>303.75099999999998</v>
      </c>
      <c r="BO79" s="959">
        <v>306.73200000000003</v>
      </c>
      <c r="BP79" s="959">
        <v>308.05900000000003</v>
      </c>
      <c r="BQ79" s="959">
        <v>308.904</v>
      </c>
      <c r="BR79" s="959">
        <v>309.41000000000003</v>
      </c>
      <c r="BS79" s="958">
        <v>308.26799999999997</v>
      </c>
      <c r="BT79" s="959">
        <v>312.39699999999999</v>
      </c>
      <c r="BU79" s="949">
        <f>+BT79*1.005</f>
        <v>313.95898499999998</v>
      </c>
      <c r="BV79" s="949">
        <f>+BU79*1.005</f>
        <v>315.52877992499992</v>
      </c>
      <c r="BW79" s="949">
        <f>+BV79*1.005</f>
        <v>317.10642382462487</v>
      </c>
      <c r="BX79" s="950">
        <f>+AVERAGE(BT79:BW79)</f>
        <v>314.74779718740621</v>
      </c>
      <c r="BY79" s="949">
        <f>+BW79*1.005</f>
        <v>318.69195594374798</v>
      </c>
      <c r="BZ79" s="949">
        <f>+BY79*1.005</f>
        <v>320.28541572346671</v>
      </c>
      <c r="CA79" s="949">
        <f>+BZ79*1.005</f>
        <v>321.886842802084</v>
      </c>
      <c r="CB79" s="949">
        <f>+CA79*1.005</f>
        <v>323.49627701609438</v>
      </c>
      <c r="CC79" s="950">
        <f>+AVERAGE(BY79:CB79)</f>
        <v>321.09012287134829</v>
      </c>
      <c r="CD79" s="949">
        <f>+CB79*1.005</f>
        <v>325.11375840117483</v>
      </c>
      <c r="CE79" s="949">
        <f>+CD79*1.005</f>
        <v>326.73932719318066</v>
      </c>
      <c r="CF79" s="949">
        <f>+CE79*1.005</f>
        <v>328.37302382914652</v>
      </c>
      <c r="CG79" s="949">
        <f>+CF79*1.005</f>
        <v>330.0148889482922</v>
      </c>
      <c r="CH79" s="950">
        <f>+AVERAGE(CD79:CG79)</f>
        <v>327.56024959294854</v>
      </c>
      <c r="CI79" s="949">
        <f>+CG79*1.005</f>
        <v>331.66496339303364</v>
      </c>
      <c r="CJ79" s="949">
        <f>+CI79*1.005</f>
        <v>333.32328820999879</v>
      </c>
      <c r="CK79" s="949">
        <f>+CJ79*1.005</f>
        <v>334.98990465104873</v>
      </c>
      <c r="CL79" s="949">
        <f>+CK79*1.005</f>
        <v>336.66485417430397</v>
      </c>
      <c r="CM79" s="950">
        <f>+AVERAGE(CI79:CL79)</f>
        <v>334.1607526070963</v>
      </c>
      <c r="CN79" s="949">
        <f>+CL79*1.005</f>
        <v>338.34817844517545</v>
      </c>
      <c r="CO79" s="949">
        <f>+CN79*1.005</f>
        <v>340.03991933740127</v>
      </c>
      <c r="CP79" s="949">
        <f>+CO79*1.005</f>
        <v>341.74011893408823</v>
      </c>
      <c r="CQ79" s="949">
        <f>+CP79*1.005</f>
        <v>343.44881952875863</v>
      </c>
      <c r="CR79" s="950">
        <f>+AVERAGE(CN79:CQ79)</f>
        <v>340.89425906135591</v>
      </c>
      <c r="CT79" s="767">
        <f t="shared" ref="CT79:CT81" si="98">+(CC79/BN79)^(0.333333333333333)-1</f>
        <v>1.8676787372281956E-2</v>
      </c>
      <c r="CU79" s="767">
        <f t="shared" ref="CU79:CU81" si="99">+(CM79/BN79)^(0.2)-1</f>
        <v>1.9266017029188287E-2</v>
      </c>
      <c r="CW79" s="948"/>
      <c r="CX79" s="948"/>
      <c r="CY79" s="948"/>
      <c r="CZ79" s="948"/>
      <c r="DA79" s="948"/>
      <c r="DB79" s="948"/>
      <c r="DC79" s="948"/>
      <c r="DD79" s="948"/>
      <c r="DE79" s="948"/>
      <c r="DF79" s="948"/>
      <c r="DG79" s="948"/>
      <c r="DH79" s="948"/>
      <c r="DI79" s="948"/>
    </row>
    <row r="80" spans="1:113" ht="12" customHeight="1">
      <c r="A80" s="944" t="s">
        <v>1001</v>
      </c>
      <c r="B80" s="959"/>
      <c r="C80" s="906"/>
      <c r="D80" s="906"/>
      <c r="E80" s="906"/>
      <c r="F80" s="958"/>
      <c r="G80" s="959"/>
      <c r="H80" s="906"/>
      <c r="I80" s="906"/>
      <c r="J80" s="906"/>
      <c r="K80" s="950"/>
      <c r="L80" s="906"/>
      <c r="M80" s="906"/>
      <c r="N80" s="906"/>
      <c r="O80" s="906"/>
      <c r="P80" s="950"/>
      <c r="Q80" s="906"/>
      <c r="R80" s="906"/>
      <c r="S80" s="906"/>
      <c r="T80" s="906"/>
      <c r="U80" s="950"/>
      <c r="V80" s="949"/>
      <c r="W80" s="949"/>
      <c r="X80" s="949"/>
      <c r="Y80" s="949"/>
      <c r="Z80" s="950"/>
      <c r="AA80" s="949"/>
      <c r="AB80" s="949"/>
      <c r="AC80" s="959"/>
      <c r="AD80" s="959"/>
      <c r="AE80" s="958"/>
      <c r="AF80" s="949"/>
      <c r="AG80" s="949"/>
      <c r="AH80" s="949"/>
      <c r="AI80" s="949"/>
      <c r="AJ80" s="950"/>
      <c r="AK80" s="949"/>
      <c r="AL80" s="949"/>
      <c r="AM80" s="949"/>
      <c r="AN80" s="949"/>
      <c r="AO80" s="950"/>
      <c r="AP80" s="949"/>
      <c r="AQ80" s="949"/>
      <c r="AR80" s="949"/>
      <c r="AS80" s="949"/>
      <c r="AT80" s="950"/>
      <c r="AU80" s="949"/>
      <c r="AV80" s="949"/>
      <c r="AW80" s="949"/>
      <c r="AX80" s="949"/>
      <c r="AY80" s="950"/>
      <c r="AZ80" s="959">
        <f>+AZ79+8.120367+3.372184+4.379557+2.627724+35.63668</f>
        <v>241.18751199999997</v>
      </c>
      <c r="BA80" s="959">
        <f>+BA79+3.372184+0.000086+2.627724+38.670936</f>
        <v>239.81893000000002</v>
      </c>
      <c r="BB80" s="959">
        <f>+BB79+3.372184+0.000094+2.627724+34.885501</f>
        <v>349.01750299999998</v>
      </c>
      <c r="BC80" s="959">
        <f>+BC79+33.561+3.372+2.628</f>
        <v>340.834</v>
      </c>
      <c r="BD80" s="958">
        <f>+BD79+35.724516+3.372184+2.627724+0.068</f>
        <v>287.24642399999999</v>
      </c>
      <c r="BE80" s="959">
        <f>+BE79+33.55948+0.000094+3.372184+2.627724</f>
        <v>340.93248199999999</v>
      </c>
      <c r="BF80" s="959">
        <v>341.21499999999997</v>
      </c>
      <c r="BG80" s="959">
        <v>341.36700000000002</v>
      </c>
      <c r="BH80" s="959">
        <v>341.39699999999999</v>
      </c>
      <c r="BI80" s="950">
        <f>+AVERAGE(BE80:BH80)</f>
        <v>341.22787049999999</v>
      </c>
      <c r="BJ80" s="959">
        <v>342.19499999999999</v>
      </c>
      <c r="BK80" s="959">
        <v>342.24200000000002</v>
      </c>
      <c r="BL80" s="959">
        <v>343.11099999999999</v>
      </c>
      <c r="BM80" s="959">
        <v>343.28699999999998</v>
      </c>
      <c r="BN80" s="950">
        <f>+AVERAGE(BJ80:BM80)</f>
        <v>342.70875000000001</v>
      </c>
      <c r="BO80" s="959">
        <v>344.435</v>
      </c>
      <c r="BP80" s="959">
        <v>345.3</v>
      </c>
      <c r="BQ80" s="959">
        <v>345.86500000000001</v>
      </c>
      <c r="BR80" s="959">
        <v>346.61399999999998</v>
      </c>
      <c r="BS80" s="950">
        <f>+AVERAGE(BO80:BR80)</f>
        <v>345.55349999999999</v>
      </c>
      <c r="BT80" s="959">
        <v>349.089</v>
      </c>
      <c r="BU80" s="949">
        <f t="shared" ref="BU80:BW81" si="100">+BT80-BT79+BU79</f>
        <v>350.65098499999999</v>
      </c>
      <c r="BV80" s="949">
        <f t="shared" si="100"/>
        <v>352.22077992499993</v>
      </c>
      <c r="BW80" s="949">
        <f t="shared" si="100"/>
        <v>353.79842382462488</v>
      </c>
      <c r="BX80" s="950">
        <f>+AVERAGE(BT80:BW80)</f>
        <v>351.43979718740621</v>
      </c>
      <c r="BY80" s="949">
        <f>+BW80-BW79+BY79</f>
        <v>355.38395594374799</v>
      </c>
      <c r="BZ80" s="949">
        <f t="shared" ref="BZ80:CB81" si="101">+BY80-BY79+BZ79</f>
        <v>356.97741572346672</v>
      </c>
      <c r="CA80" s="949">
        <f t="shared" si="101"/>
        <v>358.57884280208401</v>
      </c>
      <c r="CB80" s="949">
        <f t="shared" si="101"/>
        <v>360.18827701609439</v>
      </c>
      <c r="CC80" s="950">
        <f>+AVERAGE(BY80:CB80)</f>
        <v>357.78212287134829</v>
      </c>
      <c r="CD80" s="949">
        <f>+CB80-CB79+CD79</f>
        <v>361.80575840117484</v>
      </c>
      <c r="CE80" s="949">
        <f t="shared" ref="CE80:CG81" si="102">+CD80-CD79+CE79</f>
        <v>363.43132719318066</v>
      </c>
      <c r="CF80" s="949">
        <f t="shared" si="102"/>
        <v>365.06502382914653</v>
      </c>
      <c r="CG80" s="949">
        <f t="shared" si="102"/>
        <v>366.7068889482922</v>
      </c>
      <c r="CH80" s="950">
        <f>+AVERAGE(CD80:CG80)</f>
        <v>364.25224959294849</v>
      </c>
      <c r="CI80" s="949">
        <f>+CG80-CG79+CI79</f>
        <v>368.35696339303365</v>
      </c>
      <c r="CJ80" s="949">
        <f t="shared" ref="CJ80:CL81" si="103">+CI80-CI79+CJ79</f>
        <v>370.0152882099988</v>
      </c>
      <c r="CK80" s="949">
        <f t="shared" si="103"/>
        <v>371.68190465104874</v>
      </c>
      <c r="CL80" s="949">
        <f t="shared" si="103"/>
        <v>373.35685417430398</v>
      </c>
      <c r="CM80" s="950">
        <f>+AVERAGE(CI80:CL80)</f>
        <v>370.85275260709625</v>
      </c>
      <c r="CN80" s="949">
        <f>+CL80-CL79+CN79</f>
        <v>375.04017844517546</v>
      </c>
      <c r="CO80" s="949">
        <f t="shared" ref="CO80:CQ81" si="104">+CN80-CN79+CO79</f>
        <v>376.73191933740128</v>
      </c>
      <c r="CP80" s="949">
        <f t="shared" si="104"/>
        <v>378.43211893408824</v>
      </c>
      <c r="CQ80" s="949">
        <f t="shared" si="104"/>
        <v>380.14081952875864</v>
      </c>
      <c r="CR80" s="950">
        <f>+AVERAGE(CN80:CQ80)</f>
        <v>377.58625906135592</v>
      </c>
      <c r="CT80" s="767">
        <f t="shared" si="98"/>
        <v>1.4451171213240688E-2</v>
      </c>
      <c r="CU80" s="767">
        <f t="shared" si="99"/>
        <v>1.5910064350695752E-2</v>
      </c>
      <c r="CW80" s="948"/>
      <c r="CX80" s="948"/>
      <c r="CY80" s="948"/>
      <c r="CZ80" s="948"/>
      <c r="DA80" s="948"/>
      <c r="DB80" s="948"/>
      <c r="DC80" s="948"/>
      <c r="DD80" s="948"/>
      <c r="DE80" s="948"/>
      <c r="DF80" s="948"/>
      <c r="DG80" s="948"/>
      <c r="DH80" s="948"/>
      <c r="DI80" s="948"/>
    </row>
    <row r="81" spans="1:113" ht="12" customHeight="1">
      <c r="A81" s="944" t="s">
        <v>1002</v>
      </c>
      <c r="B81" s="959"/>
      <c r="C81" s="906"/>
      <c r="D81" s="906"/>
      <c r="E81" s="906"/>
      <c r="F81" s="958"/>
      <c r="G81" s="959"/>
      <c r="H81" s="906"/>
      <c r="I81" s="906"/>
      <c r="J81" s="906"/>
      <c r="K81" s="950"/>
      <c r="L81" s="906"/>
      <c r="M81" s="906"/>
      <c r="N81" s="906"/>
      <c r="O81" s="906"/>
      <c r="P81" s="950"/>
      <c r="Q81" s="906"/>
      <c r="R81" s="906"/>
      <c r="S81" s="906"/>
      <c r="T81" s="906"/>
      <c r="U81" s="950"/>
      <c r="V81" s="949"/>
      <c r="W81" s="949"/>
      <c r="X81" s="949"/>
      <c r="Y81" s="949"/>
      <c r="Z81" s="950"/>
      <c r="AA81" s="949"/>
      <c r="AB81" s="949"/>
      <c r="AC81" s="959"/>
      <c r="AD81" s="959"/>
      <c r="AE81" s="958"/>
      <c r="AF81" s="949"/>
      <c r="AG81" s="949"/>
      <c r="AH81" s="949"/>
      <c r="AI81" s="949"/>
      <c r="AJ81" s="950"/>
      <c r="AK81" s="949"/>
      <c r="AL81" s="949"/>
      <c r="AM81" s="949"/>
      <c r="AN81" s="949"/>
      <c r="AO81" s="950"/>
      <c r="AP81" s="949"/>
      <c r="AQ81" s="949"/>
      <c r="AR81" s="949"/>
      <c r="AS81" s="949"/>
      <c r="AT81" s="950"/>
      <c r="AU81" s="949"/>
      <c r="AV81" s="949"/>
      <c r="AW81" s="949"/>
      <c r="AX81" s="949"/>
      <c r="AY81" s="950"/>
      <c r="AZ81" s="959">
        <f>+AZ80+29.079872</f>
        <v>270.26738399999999</v>
      </c>
      <c r="BA81" s="959">
        <f>+BA80+29.079972</f>
        <v>268.89890200000002</v>
      </c>
      <c r="BB81" s="959">
        <f>+BB80+29.079959</f>
        <v>378.09746199999995</v>
      </c>
      <c r="BC81" s="959">
        <f>+BC80+29.08</f>
        <v>369.91399999999999</v>
      </c>
      <c r="BD81" s="958">
        <f>+BD80+29.079944</f>
        <v>316.326368</v>
      </c>
      <c r="BE81" s="959">
        <f>+BE80+29.079872</f>
        <v>370.01235400000002</v>
      </c>
      <c r="BF81" s="959">
        <v>380.38299999999998</v>
      </c>
      <c r="BG81" s="959">
        <v>381.89800000000002</v>
      </c>
      <c r="BH81" s="959">
        <v>381.78500000000003</v>
      </c>
      <c r="BI81" s="950">
        <f>+AVERAGE(BE81:BH81)</f>
        <v>378.5195885</v>
      </c>
      <c r="BJ81" s="959">
        <v>383.791</v>
      </c>
      <c r="BK81" s="959">
        <v>387.298</v>
      </c>
      <c r="BL81" s="959">
        <v>388.00900000000001</v>
      </c>
      <c r="BM81" s="959">
        <v>394.08499999999998</v>
      </c>
      <c r="BN81" s="950">
        <f>+AVERAGE(BJ81:BM81)</f>
        <v>388.29575</v>
      </c>
      <c r="BO81" s="959">
        <v>396.61599999999999</v>
      </c>
      <c r="BP81" s="959">
        <v>398.48399999999998</v>
      </c>
      <c r="BQ81" s="959">
        <v>397.03300000000002</v>
      </c>
      <c r="BR81" s="959">
        <v>399.45600000000002</v>
      </c>
      <c r="BS81" s="950">
        <f>+AVERAGE(BO81:BR81)</f>
        <v>397.89724999999999</v>
      </c>
      <c r="BT81" s="959">
        <v>403.92399999999998</v>
      </c>
      <c r="BU81" s="949">
        <f t="shared" si="100"/>
        <v>405.48598499999997</v>
      </c>
      <c r="BV81" s="949">
        <f t="shared" si="100"/>
        <v>407.05577992499991</v>
      </c>
      <c r="BW81" s="949">
        <f t="shared" si="100"/>
        <v>408.63342382462486</v>
      </c>
      <c r="BX81" s="950">
        <f>+AVERAGE(BT81:BW81)</f>
        <v>406.27479718740619</v>
      </c>
      <c r="BY81" s="949">
        <f>+BW81-BW80+BY80</f>
        <v>410.21895594374797</v>
      </c>
      <c r="BZ81" s="949">
        <f t="shared" si="101"/>
        <v>411.8124157234667</v>
      </c>
      <c r="CA81" s="949">
        <f t="shared" si="101"/>
        <v>413.41384280208399</v>
      </c>
      <c r="CB81" s="949">
        <f t="shared" si="101"/>
        <v>415.02327701609437</v>
      </c>
      <c r="CC81" s="950">
        <f>+AVERAGE(BY81:CB81)</f>
        <v>412.61712287134827</v>
      </c>
      <c r="CD81" s="949">
        <f>+CB81-CB80+CD80</f>
        <v>416.64075840117482</v>
      </c>
      <c r="CE81" s="949">
        <f t="shared" si="102"/>
        <v>418.26632719318064</v>
      </c>
      <c r="CF81" s="949">
        <f t="shared" si="102"/>
        <v>419.90002382914651</v>
      </c>
      <c r="CG81" s="949">
        <f t="shared" si="102"/>
        <v>421.54188894829218</v>
      </c>
      <c r="CH81" s="950">
        <f>+AVERAGE(CD81:CG81)</f>
        <v>419.08724959294852</v>
      </c>
      <c r="CI81" s="949">
        <f>+CG81-CG80+CI80</f>
        <v>423.19196339303363</v>
      </c>
      <c r="CJ81" s="949">
        <f t="shared" si="103"/>
        <v>424.85028820999878</v>
      </c>
      <c r="CK81" s="949">
        <f t="shared" si="103"/>
        <v>426.51690465104872</v>
      </c>
      <c r="CL81" s="949">
        <f t="shared" si="103"/>
        <v>428.19185417430396</v>
      </c>
      <c r="CM81" s="950">
        <f>+AVERAGE(CI81:CL81)</f>
        <v>425.68775260709623</v>
      </c>
      <c r="CN81" s="949">
        <f>+CL81-CL80+CN80</f>
        <v>429.87517844517544</v>
      </c>
      <c r="CO81" s="949">
        <f t="shared" si="104"/>
        <v>431.56691933740126</v>
      </c>
      <c r="CP81" s="949">
        <f t="shared" si="104"/>
        <v>433.26711893408822</v>
      </c>
      <c r="CQ81" s="949">
        <f t="shared" si="104"/>
        <v>434.97581952875862</v>
      </c>
      <c r="CR81" s="950">
        <f>+AVERAGE(CN81:CQ81)</f>
        <v>432.42125906135584</v>
      </c>
      <c r="CT81" s="767">
        <f t="shared" si="98"/>
        <v>2.0457377452690162E-2</v>
      </c>
      <c r="CU81" s="767">
        <f t="shared" si="99"/>
        <v>1.8557858035943342E-2</v>
      </c>
      <c r="CW81" s="948"/>
      <c r="CX81" s="948"/>
      <c r="CY81" s="948"/>
      <c r="CZ81" s="948"/>
      <c r="DA81" s="948"/>
      <c r="DB81" s="948"/>
      <c r="DC81" s="948"/>
      <c r="DD81" s="948"/>
      <c r="DE81" s="948"/>
      <c r="DF81" s="948"/>
      <c r="DG81" s="948"/>
      <c r="DH81" s="948"/>
      <c r="DI81" s="948"/>
    </row>
    <row r="82" spans="1:113" ht="12" customHeight="1" thickBot="1">
      <c r="A82" s="1031"/>
      <c r="B82" s="1032"/>
      <c r="C82" s="1033"/>
      <c r="D82" s="1033"/>
      <c r="E82" s="1033"/>
      <c r="F82" s="1034"/>
      <c r="G82" s="1032"/>
      <c r="H82" s="1033"/>
      <c r="I82" s="1033"/>
      <c r="J82" s="1033"/>
      <c r="K82" s="1034"/>
      <c r="L82" s="1032"/>
      <c r="M82" s="1032"/>
      <c r="N82" s="1032"/>
      <c r="O82" s="1032"/>
      <c r="P82" s="1034"/>
      <c r="Q82" s="1032"/>
      <c r="R82" s="1033"/>
      <c r="S82" s="1033"/>
      <c r="T82" s="1033"/>
      <c r="U82" s="1034"/>
      <c r="V82" s="1032"/>
      <c r="W82" s="1033"/>
      <c r="X82" s="1033"/>
      <c r="Y82" s="1033"/>
      <c r="Z82" s="1034"/>
      <c r="AA82" s="1032"/>
      <c r="AB82" s="1032"/>
      <c r="AC82" s="1032"/>
      <c r="AD82" s="1032"/>
      <c r="AE82" s="1034"/>
      <c r="AF82" s="1013"/>
      <c r="AG82" s="1013"/>
      <c r="AH82" s="1032"/>
      <c r="AI82" s="1032"/>
      <c r="AJ82" s="1034"/>
      <c r="AK82" s="1013"/>
      <c r="AL82" s="1013"/>
      <c r="AM82" s="1032"/>
      <c r="AN82" s="1032"/>
      <c r="AO82" s="1009"/>
      <c r="AP82" s="1013"/>
      <c r="AQ82" s="1013"/>
      <c r="AR82" s="1032"/>
      <c r="AS82" s="1035"/>
      <c r="AT82" s="1034"/>
      <c r="AU82" s="1032"/>
      <c r="AV82" s="1032"/>
      <c r="AW82" s="1032"/>
      <c r="AX82" s="1035"/>
      <c r="AY82" s="1009"/>
      <c r="AZ82" s="1032"/>
      <c r="BA82" s="1013"/>
      <c r="BB82" s="1013"/>
      <c r="BC82" s="1013"/>
      <c r="BD82" s="1009"/>
      <c r="BE82" s="1032"/>
      <c r="BF82" s="1013"/>
      <c r="BG82" s="1013"/>
      <c r="BH82" s="1013"/>
      <c r="BI82" s="1009"/>
      <c r="BJ82" s="1032"/>
      <c r="BK82" s="1013"/>
      <c r="BL82" s="1013"/>
      <c r="BM82" s="1013"/>
      <c r="BN82" s="1009"/>
      <c r="BO82" s="1013"/>
      <c r="BP82" s="1013"/>
      <c r="BQ82" s="1013"/>
      <c r="BR82" s="1013"/>
      <c r="BS82" s="1009"/>
      <c r="BT82" s="1013"/>
      <c r="BU82" s="1013"/>
      <c r="BV82" s="1013"/>
      <c r="BW82" s="1013"/>
      <c r="BX82" s="1009"/>
      <c r="BY82" s="1013"/>
      <c r="BZ82" s="1013"/>
      <c r="CA82" s="1013"/>
      <c r="CB82" s="1013"/>
      <c r="CC82" s="1009"/>
      <c r="CD82" s="1013"/>
      <c r="CE82" s="1013"/>
      <c r="CF82" s="1013"/>
      <c r="CG82" s="1013"/>
      <c r="CH82" s="1009"/>
      <c r="CI82" s="1013"/>
      <c r="CJ82" s="1013"/>
      <c r="CK82" s="1013"/>
      <c r="CL82" s="1013"/>
      <c r="CM82" s="1009"/>
      <c r="CN82" s="1013"/>
      <c r="CO82" s="1013"/>
      <c r="CP82" s="1013"/>
      <c r="CQ82" s="1013"/>
      <c r="CR82" s="1009"/>
      <c r="CT82" s="1036"/>
      <c r="CU82" s="1036"/>
      <c r="CW82" s="948"/>
      <c r="CX82" s="948"/>
      <c r="CY82" s="948"/>
      <c r="CZ82" s="948"/>
      <c r="DA82" s="948"/>
      <c r="DB82" s="948"/>
      <c r="DC82" s="948"/>
      <c r="DD82" s="948"/>
      <c r="DE82" s="948"/>
      <c r="DF82" s="948"/>
      <c r="DG82" s="948"/>
      <c r="DH82" s="948"/>
      <c r="DI82" s="948"/>
    </row>
    <row r="83" spans="1:113" ht="12" customHeight="1" thickBot="1">
      <c r="F83" s="1037"/>
      <c r="K83" s="1037"/>
      <c r="P83" s="1037"/>
      <c r="U83" s="1037"/>
      <c r="Z83" s="1037"/>
      <c r="AE83" s="1037"/>
      <c r="AJ83" s="1037"/>
      <c r="AO83" s="1037"/>
      <c r="AT83" s="1037"/>
      <c r="AY83" s="1037"/>
      <c r="BD83" s="1037"/>
      <c r="BI83" s="1037"/>
      <c r="BN83" s="1037"/>
      <c r="BS83" s="1037"/>
      <c r="BX83" s="1037"/>
      <c r="CC83" s="1037"/>
      <c r="CH83" s="1037"/>
      <c r="CM83" s="1037"/>
      <c r="CR83" s="1037"/>
    </row>
    <row r="84" spans="1:113" ht="12" customHeight="1" thickBot="1">
      <c r="A84" s="1038" t="s">
        <v>1003</v>
      </c>
      <c r="B84" s="1039"/>
      <c r="C84" s="1039"/>
      <c r="D84" s="1039"/>
      <c r="E84" s="1039"/>
      <c r="F84" s="1040"/>
      <c r="G84" s="1039"/>
      <c r="H84" s="1039"/>
      <c r="I84" s="1039"/>
      <c r="J84" s="1039"/>
      <c r="K84" s="1040"/>
      <c r="L84" s="1039"/>
      <c r="M84" s="1039"/>
      <c r="N84" s="1039"/>
      <c r="O84" s="1039"/>
      <c r="P84" s="1040"/>
      <c r="Q84" s="1039"/>
      <c r="R84" s="1039"/>
      <c r="S84" s="1039"/>
      <c r="T84" s="1039"/>
      <c r="U84" s="1040"/>
      <c r="V84" s="1039"/>
      <c r="W84" s="1039"/>
      <c r="X84" s="1039"/>
      <c r="Y84" s="1039"/>
      <c r="Z84" s="1040"/>
      <c r="AA84" s="1039"/>
      <c r="AB84" s="1039"/>
      <c r="AC84" s="1039"/>
      <c r="AD84" s="1039"/>
      <c r="AE84" s="1040"/>
      <c r="AF84" s="1039"/>
      <c r="AG84" s="1039"/>
      <c r="AH84" s="1039"/>
      <c r="AI84" s="1039"/>
      <c r="AJ84" s="1040"/>
      <c r="AK84" s="1039"/>
      <c r="AL84" s="1039"/>
      <c r="AM84" s="1039"/>
      <c r="AN84" s="1039"/>
      <c r="AO84" s="1040"/>
      <c r="AP84" s="1039"/>
      <c r="AQ84" s="1039"/>
      <c r="AR84" s="1039"/>
      <c r="AS84" s="1039"/>
      <c r="AT84" s="1040"/>
      <c r="AU84" s="1039"/>
      <c r="AV84" s="1039"/>
      <c r="AW84" s="1039"/>
      <c r="AX84" s="1039"/>
      <c r="AY84" s="1040"/>
      <c r="AZ84" s="1039"/>
      <c r="BA84" s="1039"/>
      <c r="BB84" s="1039"/>
      <c r="BC84" s="1039"/>
      <c r="BD84" s="1040"/>
      <c r="BE84" s="1039"/>
      <c r="BF84" s="1039"/>
      <c r="BG84" s="1039"/>
      <c r="BH84" s="1039"/>
      <c r="BI84" s="1040"/>
      <c r="BJ84" s="1039"/>
      <c r="BK84" s="1039"/>
      <c r="BL84" s="1039"/>
      <c r="BM84" s="1039"/>
      <c r="BN84" s="1040"/>
      <c r="BO84" s="1039"/>
      <c r="BP84" s="1039"/>
      <c r="BQ84" s="1039"/>
      <c r="BR84" s="1039"/>
      <c r="BS84" s="1040"/>
      <c r="BT84" s="1039"/>
      <c r="BU84" s="1039"/>
      <c r="BV84" s="1039"/>
      <c r="BW84" s="1039"/>
      <c r="BX84" s="1040"/>
      <c r="BY84" s="1039"/>
      <c r="BZ84" s="1039"/>
      <c r="CA84" s="1039"/>
      <c r="CB84" s="1039"/>
      <c r="CC84" s="1040"/>
      <c r="CD84" s="1039"/>
      <c r="CE84" s="1039"/>
      <c r="CF84" s="1039"/>
      <c r="CG84" s="1039"/>
      <c r="CH84" s="1040"/>
      <c r="CI84" s="1039"/>
      <c r="CJ84" s="1039"/>
      <c r="CK84" s="1039"/>
      <c r="CL84" s="1039"/>
      <c r="CM84" s="1040"/>
      <c r="CN84" s="1039"/>
      <c r="CO84" s="1039"/>
      <c r="CP84" s="1039"/>
      <c r="CQ84" s="1039"/>
      <c r="CR84" s="1040"/>
    </row>
    <row r="85" spans="1:113" ht="12" customHeight="1">
      <c r="A85" s="1041" t="s">
        <v>968</v>
      </c>
      <c r="F85" s="1030"/>
      <c r="G85" s="734"/>
      <c r="H85" s="734"/>
      <c r="I85" s="734"/>
      <c r="J85" s="734"/>
      <c r="K85" s="771"/>
      <c r="L85" s="734"/>
      <c r="M85" s="734"/>
      <c r="N85" s="734"/>
      <c r="O85" s="734"/>
      <c r="P85" s="771"/>
      <c r="Q85" s="734"/>
      <c r="R85" s="734"/>
      <c r="S85" s="734"/>
      <c r="T85" s="734"/>
      <c r="U85" s="771"/>
      <c r="V85" s="734"/>
      <c r="W85" s="734"/>
      <c r="X85" s="734"/>
      <c r="Y85" s="734"/>
      <c r="Z85" s="771"/>
      <c r="AA85" s="734"/>
      <c r="AB85" s="734"/>
      <c r="AC85" s="734"/>
      <c r="AD85" s="734"/>
      <c r="AE85" s="771"/>
      <c r="AF85" s="734"/>
      <c r="AG85" s="734"/>
      <c r="AH85" s="734"/>
      <c r="AI85" s="734"/>
      <c r="AJ85" s="771"/>
      <c r="AK85" s="734"/>
      <c r="AL85" s="734"/>
      <c r="AM85" s="734"/>
      <c r="AN85" s="734"/>
      <c r="AO85" s="771">
        <f t="shared" ref="AO85:CR86" si="105">+AO26/AO$16</f>
        <v>0.30145074475540112</v>
      </c>
      <c r="AP85" s="734">
        <f t="shared" si="105"/>
        <v>0.30596554487179489</v>
      </c>
      <c r="AQ85" s="734">
        <f t="shared" si="105"/>
        <v>0.30626326259946945</v>
      </c>
      <c r="AR85" s="734">
        <f t="shared" si="105"/>
        <v>0.32452663362525225</v>
      </c>
      <c r="AS85" s="734">
        <f t="shared" si="105"/>
        <v>0.30450317200085536</v>
      </c>
      <c r="AT85" s="771">
        <f t="shared" si="105"/>
        <v>0.31069281748398891</v>
      </c>
      <c r="AU85" s="734">
        <f t="shared" si="105"/>
        <v>0.28563351138058801</v>
      </c>
      <c r="AV85" s="734">
        <f t="shared" si="105"/>
        <v>0.28525856484593665</v>
      </c>
      <c r="AW85" s="734">
        <f t="shared" si="105"/>
        <v>0.28975630641881051</v>
      </c>
      <c r="AX85" s="734">
        <f t="shared" si="105"/>
        <v>0.28845439084550673</v>
      </c>
      <c r="AY85" s="771">
        <f t="shared" si="105"/>
        <v>0.28731028480591103</v>
      </c>
      <c r="AZ85" s="734">
        <f t="shared" si="105"/>
        <v>0.26329239324995213</v>
      </c>
      <c r="BA85" s="734">
        <f t="shared" si="105"/>
        <v>0.26176285732862314</v>
      </c>
      <c r="BB85" s="734">
        <f t="shared" si="105"/>
        <v>0.2986987435208554</v>
      </c>
      <c r="BC85" s="734">
        <f t="shared" si="105"/>
        <v>0.28932132945597461</v>
      </c>
      <c r="BD85" s="771">
        <f t="shared" si="105"/>
        <v>0.28207252804591704</v>
      </c>
      <c r="BE85" s="734">
        <f t="shared" si="105"/>
        <v>0.30633304443793213</v>
      </c>
      <c r="BF85" s="734">
        <f t="shared" si="105"/>
        <v>0.3349660185715353</v>
      </c>
      <c r="BG85" s="734">
        <f t="shared" si="105"/>
        <v>0.31115329334780734</v>
      </c>
      <c r="BH85" s="734">
        <f t="shared" si="105"/>
        <v>0.29845728204973992</v>
      </c>
      <c r="BI85" s="771">
        <f t="shared" si="105"/>
        <v>0.31259783966943416</v>
      </c>
      <c r="BJ85" s="734">
        <f t="shared" si="105"/>
        <v>0.31052960279790154</v>
      </c>
      <c r="BK85" s="734">
        <f t="shared" si="105"/>
        <v>0.30889404876078946</v>
      </c>
      <c r="BL85" s="734">
        <f>+BL26/BL$16</f>
        <v>0.30372642018578133</v>
      </c>
      <c r="BM85" s="734">
        <f>+BM26/BM$16</f>
        <v>0.29997033745874074</v>
      </c>
      <c r="BN85" s="771">
        <f t="shared" si="105"/>
        <v>0.30579588183196382</v>
      </c>
      <c r="BO85" s="734">
        <f>+BO26/BO$16</f>
        <v>0.32157340089836794</v>
      </c>
      <c r="BP85" s="734">
        <f t="shared" ref="BP85:BP86" si="106">+BP26/BP$16</f>
        <v>0.31007543103448276</v>
      </c>
      <c r="BQ85" s="734">
        <f>+BQ26/BQ$16</f>
        <v>0.31209653489828887</v>
      </c>
      <c r="BR85" s="734">
        <f>+BR26/BR$16</f>
        <v>0.31774715414139554</v>
      </c>
      <c r="BS85" s="771">
        <f t="shared" si="105"/>
        <v>0.31536742538934454</v>
      </c>
      <c r="BT85" s="734">
        <f>+BT26/BT$16</f>
        <v>0.32908721577878253</v>
      </c>
      <c r="BU85" s="734">
        <f t="shared" si="105"/>
        <v>0.3111908881878741</v>
      </c>
      <c r="BV85" s="734">
        <f t="shared" si="105"/>
        <v>0.31136380123528379</v>
      </c>
      <c r="BW85" s="734">
        <f t="shared" si="105"/>
        <v>0.31096193553950235</v>
      </c>
      <c r="BX85" s="771">
        <f t="shared" si="105"/>
        <v>0.31566277528489745</v>
      </c>
      <c r="BY85" s="734">
        <f t="shared" si="105"/>
        <v>0.31597236794163547</v>
      </c>
      <c r="BZ85" s="734">
        <f t="shared" si="105"/>
        <v>0.30908466540298363</v>
      </c>
      <c r="CA85" s="734">
        <f t="shared" si="105"/>
        <v>0.30910329373711837</v>
      </c>
      <c r="CB85" s="734">
        <f t="shared" si="105"/>
        <v>0.30803909230552273</v>
      </c>
      <c r="CC85" s="771">
        <f t="shared" si="105"/>
        <v>0.31054789249897857</v>
      </c>
      <c r="CD85" s="734">
        <f t="shared" si="105"/>
        <v>0.3094399328551331</v>
      </c>
      <c r="CE85" s="734">
        <f t="shared" si="105"/>
        <v>0.30365691270924372</v>
      </c>
      <c r="CF85" s="734">
        <f t="shared" si="105"/>
        <v>0.30380887369062404</v>
      </c>
      <c r="CG85" s="734">
        <f t="shared" si="105"/>
        <v>0.30302529420320601</v>
      </c>
      <c r="CH85" s="771">
        <f t="shared" si="105"/>
        <v>0.30500154382825367</v>
      </c>
      <c r="CI85" s="734">
        <f t="shared" si="105"/>
        <v>0.30640719887194734</v>
      </c>
      <c r="CJ85" s="734">
        <f t="shared" si="105"/>
        <v>0.30193273341731741</v>
      </c>
      <c r="CK85" s="734">
        <f t="shared" si="105"/>
        <v>0.30210252875283894</v>
      </c>
      <c r="CL85" s="734">
        <f t="shared" si="105"/>
        <v>0.30146167144716818</v>
      </c>
      <c r="CM85" s="771">
        <f t="shared" si="105"/>
        <v>0.30300678036970469</v>
      </c>
      <c r="CN85" s="734">
        <f t="shared" si="105"/>
        <v>0.30352099611196659</v>
      </c>
      <c r="CO85" s="734">
        <f t="shared" si="105"/>
        <v>0.30033203142232495</v>
      </c>
      <c r="CP85" s="734">
        <f t="shared" si="105"/>
        <v>0.30039008716111537</v>
      </c>
      <c r="CQ85" s="734">
        <f t="shared" si="105"/>
        <v>0.29986901732652993</v>
      </c>
      <c r="CR85" s="771">
        <f t="shared" si="105"/>
        <v>0.30106146281624774</v>
      </c>
    </row>
    <row r="86" spans="1:113" ht="12" customHeight="1">
      <c r="A86" s="1042" t="s">
        <v>969</v>
      </c>
      <c r="B86" s="956"/>
      <c r="C86" s="956"/>
      <c r="D86" s="956"/>
      <c r="E86" s="956"/>
      <c r="F86" s="1043"/>
      <c r="G86" s="780"/>
      <c r="H86" s="780"/>
      <c r="I86" s="780"/>
      <c r="J86" s="780"/>
      <c r="K86" s="1044"/>
      <c r="L86" s="780"/>
      <c r="M86" s="780"/>
      <c r="N86" s="780"/>
      <c r="O86" s="780"/>
      <c r="P86" s="1044"/>
      <c r="Q86" s="780"/>
      <c r="R86" s="780"/>
      <c r="S86" s="780"/>
      <c r="T86" s="780"/>
      <c r="U86" s="1044"/>
      <c r="V86" s="780"/>
      <c r="W86" s="780"/>
      <c r="X86" s="780"/>
      <c r="Y86" s="780"/>
      <c r="Z86" s="1044"/>
      <c r="AA86" s="780"/>
      <c r="AB86" s="780"/>
      <c r="AC86" s="780"/>
      <c r="AD86" s="780"/>
      <c r="AE86" s="1044"/>
      <c r="AF86" s="780"/>
      <c r="AG86" s="780"/>
      <c r="AH86" s="780"/>
      <c r="AI86" s="780"/>
      <c r="AJ86" s="1044"/>
      <c r="AK86" s="780"/>
      <c r="AL86" s="780"/>
      <c r="AM86" s="780"/>
      <c r="AN86" s="780"/>
      <c r="AO86" s="1044">
        <f t="shared" si="105"/>
        <v>0.69854925524459888</v>
      </c>
      <c r="AP86" s="780">
        <f t="shared" si="105"/>
        <v>0.69403445512820516</v>
      </c>
      <c r="AQ86" s="780">
        <f t="shared" si="105"/>
        <v>0.69373673740053055</v>
      </c>
      <c r="AR86" s="780">
        <f t="shared" si="105"/>
        <v>0.67547336637474775</v>
      </c>
      <c r="AS86" s="780">
        <f t="shared" si="105"/>
        <v>0.69549682799914458</v>
      </c>
      <c r="AT86" s="1044">
        <f t="shared" si="105"/>
        <v>0.68930718251601109</v>
      </c>
      <c r="AU86" s="780">
        <f t="shared" si="105"/>
        <v>0.71436648861941199</v>
      </c>
      <c r="AV86" s="780">
        <f t="shared" si="105"/>
        <v>0.7147414351540633</v>
      </c>
      <c r="AW86" s="780">
        <f t="shared" si="105"/>
        <v>0.71024369358118955</v>
      </c>
      <c r="AX86" s="780">
        <f t="shared" si="105"/>
        <v>0.71154560915449316</v>
      </c>
      <c r="AY86" s="1044">
        <f t="shared" si="105"/>
        <v>0.71268971519408897</v>
      </c>
      <c r="AZ86" s="780">
        <f t="shared" si="105"/>
        <v>0.73670760675004787</v>
      </c>
      <c r="BA86" s="780">
        <f t="shared" si="105"/>
        <v>0.73823714267137674</v>
      </c>
      <c r="BB86" s="780">
        <f t="shared" si="105"/>
        <v>0.70130125647914454</v>
      </c>
      <c r="BC86" s="780">
        <f t="shared" si="105"/>
        <v>0.71067867054402545</v>
      </c>
      <c r="BD86" s="1044">
        <f t="shared" si="105"/>
        <v>0.71792747195408291</v>
      </c>
      <c r="BE86" s="780">
        <f t="shared" si="105"/>
        <v>0.69366695556206781</v>
      </c>
      <c r="BF86" s="780">
        <f t="shared" si="105"/>
        <v>0.6650339814284647</v>
      </c>
      <c r="BG86" s="780">
        <f t="shared" si="105"/>
        <v>0.68884670665219272</v>
      </c>
      <c r="BH86" s="780">
        <f t="shared" si="105"/>
        <v>0.70154271795026002</v>
      </c>
      <c r="BI86" s="1044">
        <f t="shared" si="105"/>
        <v>0.68740216033056578</v>
      </c>
      <c r="BJ86" s="780">
        <f t="shared" si="105"/>
        <v>0.68947039720209846</v>
      </c>
      <c r="BK86" s="780">
        <f t="shared" si="105"/>
        <v>0.69110595123921048</v>
      </c>
      <c r="BL86" s="780">
        <f>+BL27/BL$16</f>
        <v>0.69627357981421867</v>
      </c>
      <c r="BM86" s="780">
        <f>+BM27/BM$16</f>
        <v>0.70002966254125909</v>
      </c>
      <c r="BN86" s="1044">
        <f t="shared" si="105"/>
        <v>0.69420411816803618</v>
      </c>
      <c r="BO86" s="780">
        <f>+BO27/BO$16</f>
        <v>0.67842659910163206</v>
      </c>
      <c r="BP86" s="780">
        <f t="shared" si="106"/>
        <v>0.68992456896551724</v>
      </c>
      <c r="BQ86" s="780">
        <f>+BQ27/BQ$16</f>
        <v>0.68790346510171119</v>
      </c>
      <c r="BR86" s="780">
        <f>+BR27/BR$16</f>
        <v>0.68225284585860457</v>
      </c>
      <c r="BS86" s="1044">
        <f t="shared" si="105"/>
        <v>0.68463257461065552</v>
      </c>
      <c r="BT86" s="780">
        <f>+BT27/BT$16</f>
        <v>0.67091278422121747</v>
      </c>
      <c r="BU86" s="780">
        <f t="shared" si="105"/>
        <v>0.6888091118121259</v>
      </c>
      <c r="BV86" s="780">
        <f t="shared" si="105"/>
        <v>0.68863619876471616</v>
      </c>
      <c r="BW86" s="780">
        <f t="shared" si="105"/>
        <v>0.68903806446049765</v>
      </c>
      <c r="BX86" s="1044">
        <f t="shared" si="105"/>
        <v>0.68433722471510261</v>
      </c>
      <c r="BY86" s="780">
        <f t="shared" si="105"/>
        <v>0.68402763205836459</v>
      </c>
      <c r="BZ86" s="780">
        <f>+BZ27/BZ$16</f>
        <v>0.69091533459701626</v>
      </c>
      <c r="CA86" s="780">
        <f t="shared" si="105"/>
        <v>0.69089670626288169</v>
      </c>
      <c r="CB86" s="780">
        <f t="shared" si="105"/>
        <v>0.69196090769447716</v>
      </c>
      <c r="CC86" s="1044">
        <f t="shared" si="105"/>
        <v>0.68945210750102148</v>
      </c>
      <c r="CD86" s="780">
        <f t="shared" si="105"/>
        <v>0.69056006714486684</v>
      </c>
      <c r="CE86" s="780">
        <f t="shared" si="105"/>
        <v>0.69634308729075634</v>
      </c>
      <c r="CF86" s="780">
        <f t="shared" si="105"/>
        <v>0.69619112630937596</v>
      </c>
      <c r="CG86" s="780">
        <f t="shared" si="105"/>
        <v>0.69697470579679399</v>
      </c>
      <c r="CH86" s="1044">
        <f t="shared" si="105"/>
        <v>0.69499845617174627</v>
      </c>
      <c r="CI86" s="780">
        <f t="shared" si="105"/>
        <v>0.69359280112805266</v>
      </c>
      <c r="CJ86" s="780">
        <f t="shared" si="105"/>
        <v>0.69806726658268259</v>
      </c>
      <c r="CK86" s="780">
        <f t="shared" si="105"/>
        <v>0.69789747124716117</v>
      </c>
      <c r="CL86" s="780">
        <f t="shared" si="105"/>
        <v>0.69853832855283182</v>
      </c>
      <c r="CM86" s="1044">
        <f t="shared" si="105"/>
        <v>0.69699321963029526</v>
      </c>
      <c r="CN86" s="780">
        <f t="shared" si="105"/>
        <v>0.69647900388803341</v>
      </c>
      <c r="CO86" s="780">
        <f t="shared" si="105"/>
        <v>0.69966796857767499</v>
      </c>
      <c r="CP86" s="780">
        <f t="shared" si="105"/>
        <v>0.69960991283888463</v>
      </c>
      <c r="CQ86" s="780">
        <f t="shared" si="105"/>
        <v>0.70013098267347007</v>
      </c>
      <c r="CR86" s="1044">
        <f t="shared" si="105"/>
        <v>0.69893853718375232</v>
      </c>
      <c r="CS86" s="956"/>
      <c r="CT86" s="956"/>
      <c r="CU86" s="956"/>
    </row>
    <row r="87" spans="1:113" ht="12" customHeight="1">
      <c r="A87" s="1041" t="s">
        <v>973</v>
      </c>
      <c r="F87" s="1030"/>
      <c r="G87" s="734"/>
      <c r="H87" s="734"/>
      <c r="I87" s="734"/>
      <c r="J87" s="734"/>
      <c r="K87" s="771"/>
      <c r="L87" s="734"/>
      <c r="M87" s="734"/>
      <c r="N87" s="734"/>
      <c r="O87" s="734"/>
      <c r="P87" s="771"/>
      <c r="Q87" s="734"/>
      <c r="R87" s="734"/>
      <c r="S87" s="734"/>
      <c r="T87" s="734"/>
      <c r="U87" s="771"/>
      <c r="V87" s="734"/>
      <c r="W87" s="734"/>
      <c r="X87" s="734"/>
      <c r="Y87" s="734"/>
      <c r="Z87" s="771"/>
      <c r="AA87" s="734"/>
      <c r="AB87" s="734"/>
      <c r="AC87" s="734"/>
      <c r="AD87" s="734"/>
      <c r="AE87" s="771"/>
      <c r="AF87" s="734"/>
      <c r="AG87" s="734"/>
      <c r="AH87" s="734"/>
      <c r="AI87" s="734"/>
      <c r="AJ87" s="771"/>
      <c r="AK87" s="734"/>
      <c r="AL87" s="734"/>
      <c r="AM87" s="734"/>
      <c r="AN87" s="734"/>
      <c r="AO87" s="771">
        <f>+AO33/AO$16</f>
        <v>0.20915276307484335</v>
      </c>
      <c r="AP87" s="734">
        <f t="shared" ref="AP87:CR87" si="107">+AP33/AP$16</f>
        <v>0.20833333333333334</v>
      </c>
      <c r="AQ87" s="734">
        <f t="shared" si="107"/>
        <v>0.19893899204244031</v>
      </c>
      <c r="AR87" s="734">
        <f t="shared" si="107"/>
        <v>0.20473246078337021</v>
      </c>
      <c r="AS87" s="734">
        <f t="shared" si="107"/>
        <v>0.20033502031506165</v>
      </c>
      <c r="AT87" s="771">
        <f t="shared" si="107"/>
        <v>0.20282397362193627</v>
      </c>
      <c r="AU87" s="734">
        <f t="shared" si="107"/>
        <v>0.17398104037341799</v>
      </c>
      <c r="AV87" s="734">
        <f t="shared" si="107"/>
        <v>0.17396140166469073</v>
      </c>
      <c r="AW87" s="734">
        <f t="shared" si="107"/>
        <v>0.16603037547127175</v>
      </c>
      <c r="AX87" s="734">
        <f t="shared" si="107"/>
        <v>0.17871985763681622</v>
      </c>
      <c r="AY87" s="771">
        <f t="shared" si="107"/>
        <v>0.1732428680112135</v>
      </c>
      <c r="AZ87" s="734">
        <f t="shared" si="107"/>
        <v>0.15198865235452388</v>
      </c>
      <c r="BA87" s="734">
        <f t="shared" si="107"/>
        <v>0.15179558310396393</v>
      </c>
      <c r="BB87" s="734">
        <f t="shared" si="107"/>
        <v>0.15129311514559421</v>
      </c>
      <c r="BC87" s="734">
        <f t="shared" si="107"/>
        <v>0.13206256888286921</v>
      </c>
      <c r="BD87" s="771">
        <f t="shared" si="107"/>
        <v>0.14547351943647274</v>
      </c>
      <c r="BE87" s="734">
        <f t="shared" si="107"/>
        <v>0.12321908455490364</v>
      </c>
      <c r="BF87" s="734">
        <f>+BF33/BF$16</f>
        <v>0.13372874604794743</v>
      </c>
      <c r="BG87" s="734">
        <f>+BG33/BG$16</f>
        <v>0.1269853783968998</v>
      </c>
      <c r="BH87" s="734">
        <f>+BH33/BH$16</f>
        <v>0.12205816016600005</v>
      </c>
      <c r="BI87" s="771">
        <f t="shared" si="107"/>
        <v>0.12646443274073732</v>
      </c>
      <c r="BJ87" s="734">
        <f>+BJ33/BJ$16</f>
        <v>0.13156382712965276</v>
      </c>
      <c r="BK87" s="734">
        <f>+BK33/BK$16</f>
        <v>0.11953586391398718</v>
      </c>
      <c r="BL87" s="734">
        <f>+BL33/BL$16</f>
        <v>0.11896734540975384</v>
      </c>
      <c r="BM87" s="734">
        <f>+BM33/BM$16</f>
        <v>0.1235223952186508</v>
      </c>
      <c r="BN87" s="771">
        <f t="shared" si="107"/>
        <v>0.12342527192327206</v>
      </c>
      <c r="BO87" s="734">
        <f t="shared" si="107"/>
        <v>0.12104152471173502</v>
      </c>
      <c r="BP87" s="734">
        <f>+BP33/BP$16</f>
        <v>0.12010486753574431</v>
      </c>
      <c r="BQ87" s="734">
        <f>+BQ33/BQ$16</f>
        <v>0.11314496719527875</v>
      </c>
      <c r="BR87" s="734">
        <f>+BR33/BR$16</f>
        <v>0.11802617272953539</v>
      </c>
      <c r="BS87" s="771">
        <f t="shared" si="107"/>
        <v>0.11807868511472992</v>
      </c>
      <c r="BT87" s="734">
        <f t="shared" si="107"/>
        <v>0.11502522770460649</v>
      </c>
      <c r="BU87" s="734">
        <f t="shared" si="107"/>
        <v>0.12128827388051325</v>
      </c>
      <c r="BV87" s="734">
        <f t="shared" si="107"/>
        <v>0.12532661485457849</v>
      </c>
      <c r="BW87" s="734">
        <f t="shared" si="107"/>
        <v>0.12814963807502408</v>
      </c>
      <c r="BX87" s="771">
        <f t="shared" si="107"/>
        <v>0.12245996091257073</v>
      </c>
      <c r="BY87" s="734">
        <f t="shared" si="107"/>
        <v>0.12526564088994421</v>
      </c>
      <c r="BZ87" s="734">
        <f t="shared" si="107"/>
        <v>0.12893016872921351</v>
      </c>
      <c r="CA87" s="734">
        <f t="shared" si="107"/>
        <v>0.1283891448359028</v>
      </c>
      <c r="CB87" s="734">
        <f t="shared" si="107"/>
        <v>0.12693445166796116</v>
      </c>
      <c r="CC87" s="771">
        <f t="shared" si="107"/>
        <v>0.12736952790042763</v>
      </c>
      <c r="CD87" s="734">
        <f t="shared" si="107"/>
        <v>0.1238386240070882</v>
      </c>
      <c r="CE87" s="734">
        <f t="shared" si="107"/>
        <v>0.13062611258725768</v>
      </c>
      <c r="CF87" s="734">
        <f t="shared" si="107"/>
        <v>0.13031101386645977</v>
      </c>
      <c r="CG87" s="734">
        <f t="shared" si="107"/>
        <v>0.12945830392709703</v>
      </c>
      <c r="CH87" s="771">
        <f t="shared" si="107"/>
        <v>0.12852946931110959</v>
      </c>
      <c r="CI87" s="734">
        <f t="shared" si="107"/>
        <v>0.12362670550110841</v>
      </c>
      <c r="CJ87" s="734">
        <f t="shared" si="107"/>
        <v>0.13285558640689404</v>
      </c>
      <c r="CK87" s="734">
        <f t="shared" si="107"/>
        <v>0.13175425092692516</v>
      </c>
      <c r="CL87" s="734">
        <f t="shared" si="107"/>
        <v>0.13055465155106691</v>
      </c>
      <c r="CM87" s="771">
        <f t="shared" si="107"/>
        <v>0.12962689439223363</v>
      </c>
      <c r="CN87" s="734">
        <f t="shared" si="107"/>
        <v>0.12242651950992635</v>
      </c>
      <c r="CO87" s="734">
        <f t="shared" si="107"/>
        <v>0.13458397141701564</v>
      </c>
      <c r="CP87" s="734">
        <f t="shared" si="107"/>
        <v>0.13268621640980899</v>
      </c>
      <c r="CQ87" s="734">
        <f t="shared" si="107"/>
        <v>0.13146202942868096</v>
      </c>
      <c r="CR87" s="771">
        <f t="shared" si="107"/>
        <v>0.13015719860286351</v>
      </c>
    </row>
    <row r="88" spans="1:113" ht="12" customHeight="1">
      <c r="A88" s="1041" t="s">
        <v>1004</v>
      </c>
      <c r="F88" s="1030"/>
      <c r="G88" s="734"/>
      <c r="H88" s="734"/>
      <c r="I88" s="734"/>
      <c r="J88" s="734"/>
      <c r="K88" s="771"/>
      <c r="L88" s="734"/>
      <c r="M88" s="734"/>
      <c r="N88" s="734"/>
      <c r="O88" s="734"/>
      <c r="P88" s="771"/>
      <c r="Q88" s="734"/>
      <c r="R88" s="734"/>
      <c r="S88" s="734"/>
      <c r="T88" s="734"/>
      <c r="U88" s="771"/>
      <c r="V88" s="734"/>
      <c r="W88" s="734"/>
      <c r="X88" s="734"/>
      <c r="Y88" s="734"/>
      <c r="Z88" s="771"/>
      <c r="AA88" s="734"/>
      <c r="AB88" s="734"/>
      <c r="AC88" s="734"/>
      <c r="AD88" s="734"/>
      <c r="AE88" s="771"/>
      <c r="AF88" s="734"/>
      <c r="AG88" s="734"/>
      <c r="AH88" s="734"/>
      <c r="AI88" s="734"/>
      <c r="AJ88" s="771"/>
      <c r="AK88" s="734"/>
      <c r="AL88" s="734"/>
      <c r="AM88" s="734"/>
      <c r="AN88" s="734"/>
      <c r="AO88" s="771">
        <f>+AO39/AO$16</f>
        <v>0.1658242506473433</v>
      </c>
      <c r="AP88" s="734">
        <f t="shared" ref="AP88:CR88" si="108">+AP39/AP$16</f>
        <v>0.17628205128205129</v>
      </c>
      <c r="AQ88" s="734">
        <f t="shared" si="108"/>
        <v>0.17241379310344826</v>
      </c>
      <c r="AR88" s="734">
        <f t="shared" si="108"/>
        <v>0.1657684534693484</v>
      </c>
      <c r="AS88" s="734">
        <f t="shared" si="108"/>
        <v>0.18800342148406868</v>
      </c>
      <c r="AT88" s="771">
        <f t="shared" si="108"/>
        <v>0.17569534123014596</v>
      </c>
      <c r="AU88" s="734">
        <f t="shared" si="108"/>
        <v>0.14579423511861794</v>
      </c>
      <c r="AV88" s="734">
        <f t="shared" si="108"/>
        <v>0.1443098622535659</v>
      </c>
      <c r="AW88" s="734">
        <f t="shared" si="108"/>
        <v>0.15125890510341219</v>
      </c>
      <c r="AX88" s="734">
        <f t="shared" si="108"/>
        <v>0.13949114172119798</v>
      </c>
      <c r="AY88" s="771">
        <f t="shared" si="108"/>
        <v>0.1451382289992274</v>
      </c>
      <c r="AZ88" s="734">
        <f t="shared" si="108"/>
        <v>0.13187134832093123</v>
      </c>
      <c r="BA88" s="734">
        <f t="shared" si="108"/>
        <v>0.11241628920049412</v>
      </c>
      <c r="BB88" s="734">
        <f t="shared" si="108"/>
        <v>0.11568156530706396</v>
      </c>
      <c r="BC88" s="734">
        <f t="shared" si="108"/>
        <v>0.11536469744652028</v>
      </c>
      <c r="BD88" s="771">
        <f t="shared" si="108"/>
        <v>0.11795460474823898</v>
      </c>
      <c r="BE88" s="734">
        <f t="shared" si="108"/>
        <v>0.14063386560752208</v>
      </c>
      <c r="BF88" s="734">
        <f>+BF39/BF$16</f>
        <v>0.13222260947496828</v>
      </c>
      <c r="BG88" s="734">
        <f>+BG39/BG$16</f>
        <v>0.11491088160200857</v>
      </c>
      <c r="BH88" s="734">
        <f>+BH39/BH$16</f>
        <v>0.11314467867560821</v>
      </c>
      <c r="BI88" s="771">
        <f t="shared" si="108"/>
        <v>0.12505078846699325</v>
      </c>
      <c r="BJ88" s="734">
        <f>+BJ39/BJ$16</f>
        <v>0.11465151136647514</v>
      </c>
      <c r="BK88" s="734">
        <f>+BK39/BK$16</f>
        <v>0.12335949724900307</v>
      </c>
      <c r="BL88" s="734">
        <f>+BL39/BL$16</f>
        <v>0.12941833812707543</v>
      </c>
      <c r="BM88" s="734">
        <f>+BM39/BM$16</f>
        <v>0.12775088514285354</v>
      </c>
      <c r="BN88" s="771">
        <f t="shared" si="108"/>
        <v>0.12376251666524832</v>
      </c>
      <c r="BO88" s="734">
        <f t="shared" si="108"/>
        <v>0.12103490933627936</v>
      </c>
      <c r="BP88" s="734">
        <f>+BP39/BP$16</f>
        <v>0.11515059924306138</v>
      </c>
      <c r="BQ88" s="734">
        <f>+BQ39/BQ$16</f>
        <v>0.12943193432461839</v>
      </c>
      <c r="BR88" s="734">
        <f>+BR39/BR$16</f>
        <v>9.925464048520416E-2</v>
      </c>
      <c r="BS88" s="771">
        <f t="shared" si="108"/>
        <v>0.11618462105554166</v>
      </c>
      <c r="BT88" s="734">
        <f t="shared" si="108"/>
        <v>0.113839197955573</v>
      </c>
      <c r="BU88" s="734">
        <f t="shared" si="108"/>
        <v>0.12923804730727351</v>
      </c>
      <c r="BV88" s="734">
        <f t="shared" si="108"/>
        <v>0.1412294310759496</v>
      </c>
      <c r="BW88" s="734">
        <f t="shared" si="108"/>
        <v>0.10720006604171922</v>
      </c>
      <c r="BX88" s="771">
        <f t="shared" si="108"/>
        <v>0.12278325345368292</v>
      </c>
      <c r="BY88" s="734">
        <f t="shared" si="108"/>
        <v>0.11911851086241217</v>
      </c>
      <c r="BZ88" s="734">
        <f t="shared" si="108"/>
        <v>0.13592102903192835</v>
      </c>
      <c r="CA88" s="734">
        <f t="shared" si="108"/>
        <v>0.14739498346466998</v>
      </c>
      <c r="CB88" s="734">
        <f t="shared" si="108"/>
        <v>0.11034781282457223</v>
      </c>
      <c r="CC88" s="771">
        <f t="shared" si="108"/>
        <v>0.12806182603528321</v>
      </c>
      <c r="CD88" s="734">
        <f t="shared" si="108"/>
        <v>0.11823948899755077</v>
      </c>
      <c r="CE88" s="734">
        <f t="shared" si="108"/>
        <v>0.13758673739760735</v>
      </c>
      <c r="CF88" s="734">
        <f t="shared" si="108"/>
        <v>0.14873230854020211</v>
      </c>
      <c r="CG88" s="734">
        <f t="shared" si="108"/>
        <v>0.11133693494933525</v>
      </c>
      <c r="CH88" s="771">
        <f t="shared" si="108"/>
        <v>0.1287851253916181</v>
      </c>
      <c r="CI88" s="734">
        <f t="shared" si="108"/>
        <v>0.11538939955428124</v>
      </c>
      <c r="CJ88" s="734">
        <f t="shared" si="108"/>
        <v>0.13713382571875679</v>
      </c>
      <c r="CK88" s="734">
        <f t="shared" si="108"/>
        <v>0.14773317896491842</v>
      </c>
      <c r="CL88" s="734">
        <f t="shared" si="108"/>
        <v>0.11057626605007932</v>
      </c>
      <c r="CM88" s="771">
        <f t="shared" si="108"/>
        <v>0.12744714009668359</v>
      </c>
      <c r="CN88" s="734">
        <f t="shared" si="108"/>
        <v>0.11242671771774367</v>
      </c>
      <c r="CO88" s="734">
        <f t="shared" si="108"/>
        <v>0.13667797075158142</v>
      </c>
      <c r="CP88" s="734">
        <f t="shared" si="108"/>
        <v>0.14637928733645994</v>
      </c>
      <c r="CQ88" s="734">
        <f t="shared" si="108"/>
        <v>0.10954947841576426</v>
      </c>
      <c r="CR88" s="771">
        <f t="shared" si="108"/>
        <v>0.12590517526491657</v>
      </c>
    </row>
    <row r="89" spans="1:113" ht="12" customHeight="1">
      <c r="A89" s="1041" t="s">
        <v>976</v>
      </c>
      <c r="F89" s="1030"/>
      <c r="G89" s="734"/>
      <c r="H89" s="734"/>
      <c r="I89" s="734"/>
      <c r="J89" s="734"/>
      <c r="K89" s="771"/>
      <c r="L89" s="734"/>
      <c r="M89" s="734"/>
      <c r="N89" s="734"/>
      <c r="O89" s="734"/>
      <c r="P89" s="771"/>
      <c r="Q89" s="734"/>
      <c r="R89" s="734"/>
      <c r="S89" s="734"/>
      <c r="T89" s="734"/>
      <c r="U89" s="771"/>
      <c r="V89" s="734"/>
      <c r="W89" s="734"/>
      <c r="X89" s="734"/>
      <c r="Y89" s="734"/>
      <c r="Z89" s="771"/>
      <c r="AA89" s="734"/>
      <c r="AB89" s="734"/>
      <c r="AC89" s="734"/>
      <c r="AD89" s="734"/>
      <c r="AE89" s="771"/>
      <c r="AF89" s="734"/>
      <c r="AG89" s="734"/>
      <c r="AH89" s="734"/>
      <c r="AI89" s="734"/>
      <c r="AJ89" s="771"/>
      <c r="AK89" s="734"/>
      <c r="AL89" s="734"/>
      <c r="AM89" s="734"/>
      <c r="AN89" s="734"/>
      <c r="AO89" s="771">
        <f t="shared" ref="AO89:BD89" si="109">+AO45/AO$16</f>
        <v>6.7547351732295605E-2</v>
      </c>
      <c r="AP89" s="734">
        <f t="shared" si="109"/>
        <v>8.281650641025641E-2</v>
      </c>
      <c r="AQ89" s="734">
        <f t="shared" si="109"/>
        <v>0.10832559681697612</v>
      </c>
      <c r="AR89" s="734">
        <f t="shared" si="109"/>
        <v>7.5568701279953826E-2</v>
      </c>
      <c r="AS89" s="734">
        <f t="shared" si="109"/>
        <v>6.4623577351676301E-2</v>
      </c>
      <c r="AT89" s="771">
        <f t="shared" si="109"/>
        <v>8.2126633060419146E-2</v>
      </c>
      <c r="AU89" s="734">
        <f t="shared" si="109"/>
        <v>7.0232423848707912E-2</v>
      </c>
      <c r="AV89" s="734">
        <f t="shared" si="109"/>
        <v>7.6842221054304091E-2</v>
      </c>
      <c r="AW89" s="734">
        <f t="shared" si="109"/>
        <v>5.6909408784386495E-2</v>
      </c>
      <c r="AX89" s="734">
        <f t="shared" si="109"/>
        <v>7.6891887325847286E-2</v>
      </c>
      <c r="AY89" s="771">
        <f t="shared" si="109"/>
        <v>7.0267518035339482E-2</v>
      </c>
      <c r="AZ89" s="734">
        <f t="shared" si="109"/>
        <v>0.12422744824325391</v>
      </c>
      <c r="BA89" s="734">
        <f t="shared" si="109"/>
        <v>0.11100756377191648</v>
      </c>
      <c r="BB89" s="734">
        <f t="shared" si="109"/>
        <v>0.12298841216857986</v>
      </c>
      <c r="BC89" s="734">
        <f t="shared" si="109"/>
        <v>0.10540572839899624</v>
      </c>
      <c r="BD89" s="771">
        <f t="shared" si="109"/>
        <v>0.11538325071745373</v>
      </c>
      <c r="BE89" s="734">
        <f>+BE45/BE$16</f>
        <v>0.10932716468908413</v>
      </c>
      <c r="BF89" s="734">
        <f>+BF45/BF$16</f>
        <v>9.8658169234982204E-2</v>
      </c>
      <c r="BG89" s="734">
        <f>+BG45/BG$16</f>
        <v>0.10625072016398515</v>
      </c>
      <c r="BH89" s="734">
        <f>+BH45/BH$16</f>
        <v>9.739873094156902E-2</v>
      </c>
      <c r="BI89" s="771">
        <f t="shared" ref="BI89:CR89" si="110">+BI45/BI$16</f>
        <v>0.10288018521499806</v>
      </c>
      <c r="BJ89" s="734">
        <f>+BJ45/BJ$16</f>
        <v>0.10750062453160125</v>
      </c>
      <c r="BK89" s="734">
        <f>+BK45/BK$16</f>
        <v>9.4190096411084778E-2</v>
      </c>
      <c r="BL89" s="734">
        <f>+BL45/BL$16</f>
        <v>9.6414534880029434E-2</v>
      </c>
      <c r="BM89" s="734">
        <f>+BM45/BM$16</f>
        <v>0.10095993032458375</v>
      </c>
      <c r="BN89" s="771">
        <f t="shared" si="110"/>
        <v>9.9791349514777236E-2</v>
      </c>
      <c r="BO89" s="734">
        <f>+BO45/BO$16</f>
        <v>0.10078524506658376</v>
      </c>
      <c r="BP89" s="734">
        <f>+BP45/BP$16</f>
        <v>9.4157380151387693E-2</v>
      </c>
      <c r="BQ89" s="734">
        <f>+BQ45/BQ$16</f>
        <v>9.2057630806765323E-2</v>
      </c>
      <c r="BR89" s="734">
        <f>+BR45/BR$16</f>
        <v>9.6123868533776927E-2</v>
      </c>
      <c r="BS89" s="771">
        <f t="shared" si="110"/>
        <v>9.5776121957320173E-2</v>
      </c>
      <c r="BT89" s="734">
        <f>+BT45/BT$16</f>
        <v>9.9790315182491332E-2</v>
      </c>
      <c r="BU89" s="734">
        <f t="shared" si="110"/>
        <v>0.10218852782598313</v>
      </c>
      <c r="BV89" s="734">
        <f t="shared" si="110"/>
        <v>0.10254504285100238</v>
      </c>
      <c r="BW89" s="734">
        <f t="shared" si="110"/>
        <v>0.10183024298627989</v>
      </c>
      <c r="BX89" s="771">
        <f t="shared" si="110"/>
        <v>0.10158530492729548</v>
      </c>
      <c r="BY89" s="734">
        <f t="shared" si="110"/>
        <v>0.10154944168093806</v>
      </c>
      <c r="BZ89" s="734">
        <f t="shared" si="110"/>
        <v>0.10452017454478058</v>
      </c>
      <c r="CA89" s="734">
        <f t="shared" si="110"/>
        <v>0.104081581216942</v>
      </c>
      <c r="CB89" s="734">
        <f t="shared" si="110"/>
        <v>0.1026985341720362</v>
      </c>
      <c r="CC89" s="771">
        <f t="shared" si="110"/>
        <v>0.10320312376348056</v>
      </c>
      <c r="CD89" s="734">
        <f t="shared" si="110"/>
        <v>0.10019380075535458</v>
      </c>
      <c r="CE89" s="734">
        <f t="shared" si="110"/>
        <v>0.10568533688863577</v>
      </c>
      <c r="CF89" s="734">
        <f t="shared" si="110"/>
        <v>0.1054304007675102</v>
      </c>
      <c r="CG89" s="734">
        <f t="shared" si="110"/>
        <v>0.10474050090426777</v>
      </c>
      <c r="CH89" s="771">
        <f t="shared" si="110"/>
        <v>0.10398901104240048</v>
      </c>
      <c r="CI89" s="734">
        <f t="shared" si="110"/>
        <v>0.10002234438837092</v>
      </c>
      <c r="CJ89" s="734">
        <f t="shared" si="110"/>
        <v>0.10748913160506557</v>
      </c>
      <c r="CK89" s="734">
        <f t="shared" si="110"/>
        <v>0.1065980769076354</v>
      </c>
      <c r="CL89" s="734">
        <f t="shared" si="110"/>
        <v>0.10562752008972284</v>
      </c>
      <c r="CM89" s="771">
        <f t="shared" si="110"/>
        <v>0.10487690196337662</v>
      </c>
      <c r="CN89" s="734">
        <f t="shared" si="110"/>
        <v>9.905131295908938E-2</v>
      </c>
      <c r="CO89" s="734">
        <f t="shared" si="110"/>
        <v>0.10888751167203689</v>
      </c>
      <c r="CP89" s="734">
        <f t="shared" si="110"/>
        <v>0.10735209985202461</v>
      </c>
      <c r="CQ89" s="734">
        <f t="shared" si="110"/>
        <v>0.10636165000281263</v>
      </c>
      <c r="CR89" s="771">
        <f t="shared" si="110"/>
        <v>0.10530595384315637</v>
      </c>
    </row>
    <row r="90" spans="1:113" ht="12" customHeight="1">
      <c r="A90" s="1041" t="s">
        <v>1005</v>
      </c>
      <c r="F90" s="1030"/>
      <c r="G90" s="734"/>
      <c r="H90" s="734"/>
      <c r="I90" s="734"/>
      <c r="J90" s="734"/>
      <c r="K90" s="771"/>
      <c r="L90" s="734"/>
      <c r="M90" s="734"/>
      <c r="N90" s="734"/>
      <c r="O90" s="734"/>
      <c r="P90" s="771"/>
      <c r="Q90" s="734"/>
      <c r="R90" s="734"/>
      <c r="S90" s="734"/>
      <c r="T90" s="734"/>
      <c r="U90" s="771"/>
      <c r="V90" s="734"/>
      <c r="W90" s="734"/>
      <c r="X90" s="734"/>
      <c r="Y90" s="734"/>
      <c r="Z90" s="771"/>
      <c r="AA90" s="734"/>
      <c r="AB90" s="734"/>
      <c r="AC90" s="734"/>
      <c r="AD90" s="734"/>
      <c r="AE90" s="771"/>
      <c r="AF90" s="734"/>
      <c r="AG90" s="734"/>
      <c r="AH90" s="734"/>
      <c r="AI90" s="734"/>
      <c r="AJ90" s="771"/>
      <c r="AK90" s="734"/>
      <c r="AL90" s="734"/>
      <c r="AM90" s="734"/>
      <c r="AN90" s="734"/>
      <c r="AO90" s="771">
        <f t="shared" ref="AO90:BD90" si="111">+SUM(AO45,AO39,AO33)/AO$16</f>
        <v>0.44252436545448232</v>
      </c>
      <c r="AP90" s="734">
        <f t="shared" si="111"/>
        <v>0.46743189102564098</v>
      </c>
      <c r="AQ90" s="734">
        <f t="shared" si="111"/>
        <v>0.47967838196286466</v>
      </c>
      <c r="AR90" s="734">
        <f t="shared" si="111"/>
        <v>0.44606961553267238</v>
      </c>
      <c r="AS90" s="734">
        <f t="shared" si="111"/>
        <v>0.45296201915080664</v>
      </c>
      <c r="AT90" s="771">
        <f t="shared" si="111"/>
        <v>0.46064594791250135</v>
      </c>
      <c r="AU90" s="734">
        <f t="shared" si="111"/>
        <v>0.39000769934074386</v>
      </c>
      <c r="AV90" s="734">
        <f t="shared" si="111"/>
        <v>0.39511348497256071</v>
      </c>
      <c r="AW90" s="734">
        <f t="shared" si="111"/>
        <v>0.37419868935907047</v>
      </c>
      <c r="AX90" s="734">
        <f t="shared" si="111"/>
        <v>0.39510288668386145</v>
      </c>
      <c r="AY90" s="771">
        <f t="shared" si="111"/>
        <v>0.3886486150457803</v>
      </c>
      <c r="AZ90" s="734">
        <f t="shared" si="111"/>
        <v>0.40808744891870902</v>
      </c>
      <c r="BA90" s="734">
        <f t="shared" si="111"/>
        <v>0.37521943607637448</v>
      </c>
      <c r="BB90" s="734">
        <f t="shared" si="111"/>
        <v>0.38996309262123807</v>
      </c>
      <c r="BC90" s="734">
        <f t="shared" si="111"/>
        <v>0.3528329947283857</v>
      </c>
      <c r="BD90" s="771">
        <f t="shared" si="111"/>
        <v>0.37881137490216543</v>
      </c>
      <c r="BE90" s="734">
        <f>+SUM(BE45,BE39,BE33)/BE$16</f>
        <v>0.37318011485150981</v>
      </c>
      <c r="BF90" s="734">
        <f>+SUM(BF45,BF39,BF33)/BF$16</f>
        <v>0.36460952475789793</v>
      </c>
      <c r="BG90" s="734">
        <f>+SUM(BG45,BG39,BG33)/BG$16</f>
        <v>0.34814698016289353</v>
      </c>
      <c r="BH90" s="734">
        <f>+SUM(BH45,BH39,BH33)/BH$16</f>
        <v>0.33260156978317729</v>
      </c>
      <c r="BI90" s="771">
        <f t="shared" ref="BI90:CR90" si="112">+SUM(BI45,BI39,BI33)/BI$16</f>
        <v>0.35439540642272865</v>
      </c>
      <c r="BJ90" s="734">
        <f>+SUM(BJ45,BJ39,BJ33)/BJ$16</f>
        <v>0.35371596302772917</v>
      </c>
      <c r="BK90" s="734">
        <f>+SUM(BK45,BK39,BK33)/BK$16</f>
        <v>0.33708545757407499</v>
      </c>
      <c r="BL90" s="734">
        <f>+SUM(BL45,BL39,BL33)/BL$16</f>
        <v>0.34480021841685871</v>
      </c>
      <c r="BM90" s="734">
        <f>+SUM(BM45,BM39,BM33)/BM$16</f>
        <v>0.35223321068608809</v>
      </c>
      <c r="BN90" s="771">
        <f t="shared" si="112"/>
        <v>0.34697913810329767</v>
      </c>
      <c r="BO90" s="734">
        <f>+SUM(BO45,BO39,BO33)/BO$16</f>
        <v>0.34286167911459814</v>
      </c>
      <c r="BP90" s="734">
        <f>+SUM(BP45,BP39,BP33)/BP$16</f>
        <v>0.3294128469301934</v>
      </c>
      <c r="BQ90" s="734">
        <f>+SUM(BQ45,BQ39,BQ33)/BQ$16</f>
        <v>0.33463453232666246</v>
      </c>
      <c r="BR90" s="734">
        <f>+SUM(BR45,BR39,BR33)/BR$16</f>
        <v>0.31340468174851643</v>
      </c>
      <c r="BS90" s="771">
        <f t="shared" si="112"/>
        <v>0.33003942812759174</v>
      </c>
      <c r="BT90" s="734">
        <f>+SUM(BT45,BT39,BT33)/BT$16</f>
        <v>0.32865474084267088</v>
      </c>
      <c r="BU90" s="734">
        <f t="shared" si="112"/>
        <v>0.35271484901376987</v>
      </c>
      <c r="BV90" s="734">
        <f t="shared" si="112"/>
        <v>0.36910108878153047</v>
      </c>
      <c r="BW90" s="734">
        <f t="shared" si="112"/>
        <v>0.33717994710302318</v>
      </c>
      <c r="BX90" s="771">
        <f t="shared" si="112"/>
        <v>0.34682851929354913</v>
      </c>
      <c r="BY90" s="734">
        <f t="shared" si="112"/>
        <v>0.34593359343329444</v>
      </c>
      <c r="BZ90" s="734">
        <f t="shared" si="112"/>
        <v>0.36937137230592243</v>
      </c>
      <c r="CA90" s="734">
        <f t="shared" si="112"/>
        <v>0.3798657095175148</v>
      </c>
      <c r="CB90" s="734">
        <f t="shared" si="112"/>
        <v>0.33998079866456959</v>
      </c>
      <c r="CC90" s="771">
        <f t="shared" si="112"/>
        <v>0.35863447769919138</v>
      </c>
      <c r="CD90" s="734">
        <f t="shared" si="112"/>
        <v>0.3422719137599935</v>
      </c>
      <c r="CE90" s="734">
        <f t="shared" si="112"/>
        <v>0.37389818687350079</v>
      </c>
      <c r="CF90" s="734">
        <f t="shared" si="112"/>
        <v>0.38447372317417211</v>
      </c>
      <c r="CG90" s="734">
        <f t="shared" si="112"/>
        <v>0.34553573978070007</v>
      </c>
      <c r="CH90" s="771">
        <f t="shared" si="112"/>
        <v>0.36130360574512815</v>
      </c>
      <c r="CI90" s="734">
        <f t="shared" si="112"/>
        <v>0.33903844944376055</v>
      </c>
      <c r="CJ90" s="734">
        <f t="shared" si="112"/>
        <v>0.37747854373071638</v>
      </c>
      <c r="CK90" s="734">
        <f t="shared" si="112"/>
        <v>0.38608550679947895</v>
      </c>
      <c r="CL90" s="734">
        <f t="shared" si="112"/>
        <v>0.34675843769086911</v>
      </c>
      <c r="CM90" s="771">
        <f t="shared" si="112"/>
        <v>0.36195093645229381</v>
      </c>
      <c r="CN90" s="734">
        <f t="shared" si="112"/>
        <v>0.33390455018675935</v>
      </c>
      <c r="CO90" s="734">
        <f t="shared" si="112"/>
        <v>0.38014945384063398</v>
      </c>
      <c r="CP90" s="734">
        <f t="shared" si="112"/>
        <v>0.38641760359829352</v>
      </c>
      <c r="CQ90" s="734">
        <f t="shared" si="112"/>
        <v>0.34737315784725786</v>
      </c>
      <c r="CR90" s="771">
        <f t="shared" si="112"/>
        <v>0.36136832771093647</v>
      </c>
    </row>
    <row r="91" spans="1:113" ht="12" customHeight="1">
      <c r="A91" s="1042" t="s">
        <v>990</v>
      </c>
      <c r="B91" s="956"/>
      <c r="C91" s="956"/>
      <c r="D91" s="956"/>
      <c r="E91" s="956"/>
      <c r="F91" s="1043"/>
      <c r="G91" s="780"/>
      <c r="H91" s="780"/>
      <c r="I91" s="780"/>
      <c r="J91" s="780"/>
      <c r="K91" s="1044"/>
      <c r="L91" s="780"/>
      <c r="M91" s="780"/>
      <c r="N91" s="780"/>
      <c r="O91" s="780"/>
      <c r="P91" s="1044"/>
      <c r="Q91" s="780"/>
      <c r="R91" s="780"/>
      <c r="S91" s="780"/>
      <c r="T91" s="780"/>
      <c r="U91" s="1044"/>
      <c r="V91" s="780"/>
      <c r="W91" s="780"/>
      <c r="X91" s="780"/>
      <c r="Y91" s="780"/>
      <c r="Z91" s="1044"/>
      <c r="AA91" s="780"/>
      <c r="AB91" s="780"/>
      <c r="AC91" s="780"/>
      <c r="AD91" s="780"/>
      <c r="AE91" s="1044"/>
      <c r="AF91" s="780"/>
      <c r="AG91" s="780"/>
      <c r="AH91" s="780"/>
      <c r="AI91" s="780"/>
      <c r="AJ91" s="1044"/>
      <c r="AK91" s="780"/>
      <c r="AL91" s="780"/>
      <c r="AM91" s="780"/>
      <c r="AN91" s="780"/>
      <c r="AO91" s="1044">
        <f t="shared" ref="AO91:BD91" si="113">+AO64/AO$16</f>
        <v>0.25602488979011656</v>
      </c>
      <c r="AP91" s="780">
        <f t="shared" si="113"/>
        <v>0.22660256410256413</v>
      </c>
      <c r="AQ91" s="780">
        <f t="shared" si="113"/>
        <v>0.21405835543766588</v>
      </c>
      <c r="AR91" s="780">
        <f t="shared" si="113"/>
        <v>0.22940375084207534</v>
      </c>
      <c r="AS91" s="780">
        <f t="shared" si="113"/>
        <v>0.24253480884833808</v>
      </c>
      <c r="AT91" s="1044">
        <f t="shared" si="113"/>
        <v>0.22866123460350962</v>
      </c>
      <c r="AU91" s="780">
        <f t="shared" si="113"/>
        <v>0.32435878927866812</v>
      </c>
      <c r="AV91" s="780">
        <f t="shared" si="113"/>
        <v>0.31962795018150253</v>
      </c>
      <c r="AW91" s="780">
        <f t="shared" si="113"/>
        <v>0.33604500422211908</v>
      </c>
      <c r="AX91" s="780">
        <f t="shared" si="113"/>
        <v>0.31644272247063171</v>
      </c>
      <c r="AY91" s="1044">
        <f t="shared" si="113"/>
        <v>0.32404110014830861</v>
      </c>
      <c r="AZ91" s="780">
        <f t="shared" si="113"/>
        <v>0.32862015783133885</v>
      </c>
      <c r="BA91" s="780">
        <f t="shared" si="113"/>
        <v>0.36301770659500227</v>
      </c>
      <c r="BB91" s="780">
        <f t="shared" si="113"/>
        <v>0.31133816385790652</v>
      </c>
      <c r="BC91" s="780">
        <f t="shared" si="113"/>
        <v>0.3578456758156397</v>
      </c>
      <c r="BD91" s="1044">
        <f t="shared" si="113"/>
        <v>0.33911609705191753</v>
      </c>
      <c r="BE91" s="780">
        <f>+BE64/BE$16</f>
        <v>0.32048684071055794</v>
      </c>
      <c r="BF91" s="780">
        <f>+BF64/BF$16</f>
        <v>0.30042445667056678</v>
      </c>
      <c r="BG91" s="780">
        <f>+BG64/BG$16</f>
        <v>0.34069972648929919</v>
      </c>
      <c r="BH91" s="780">
        <f>+BH64/BH$16</f>
        <v>0.36894114816708279</v>
      </c>
      <c r="BI91" s="1044">
        <f t="shared" ref="BI91:CR91" si="114">+BI64/BI$16</f>
        <v>0.33300675390783713</v>
      </c>
      <c r="BJ91" s="780">
        <f>+BJ64/BJ$16</f>
        <v>0.33575443417436929</v>
      </c>
      <c r="BK91" s="780">
        <f>+BK64/BK$16</f>
        <v>0.35402049366513544</v>
      </c>
      <c r="BL91" s="780">
        <f>+BL64/BL$16</f>
        <v>0.35147336139736002</v>
      </c>
      <c r="BM91" s="780">
        <f>+BM64/BM$16</f>
        <v>0.347796451855171</v>
      </c>
      <c r="BN91" s="1044">
        <f t="shared" si="114"/>
        <v>0.34722498006473856</v>
      </c>
      <c r="BO91" s="780">
        <f>+BO64/BO$16</f>
        <v>0.33556491998703392</v>
      </c>
      <c r="BP91" s="780">
        <f>+BP64/BP$16</f>
        <v>0.36051172203532383</v>
      </c>
      <c r="BQ91" s="780">
        <f>+BQ64/BQ$16</f>
        <v>0.35326893277504873</v>
      </c>
      <c r="BR91" s="780">
        <f>+BR64/BR$16</f>
        <v>0.36884816411008803</v>
      </c>
      <c r="BS91" s="1044">
        <f t="shared" si="114"/>
        <v>0.35459314648306373</v>
      </c>
      <c r="BT91" s="780">
        <f>+BT64/BT$16</f>
        <v>0.34225804337854671</v>
      </c>
      <c r="BU91" s="780">
        <f t="shared" si="114"/>
        <v>0.33609426279835597</v>
      </c>
      <c r="BV91" s="780">
        <f t="shared" si="114"/>
        <v>0.31953510998318574</v>
      </c>
      <c r="BW91" s="780">
        <f t="shared" si="114"/>
        <v>0.35185811735747452</v>
      </c>
      <c r="BX91" s="1044">
        <f t="shared" si="114"/>
        <v>0.33750870542155342</v>
      </c>
      <c r="BY91" s="780">
        <f t="shared" si="114"/>
        <v>0.33809403862507004</v>
      </c>
      <c r="BZ91" s="780">
        <f t="shared" si="114"/>
        <v>0.32154396229109389</v>
      </c>
      <c r="CA91" s="780">
        <f t="shared" si="114"/>
        <v>0.31103099674536683</v>
      </c>
      <c r="CB91" s="780">
        <f t="shared" si="114"/>
        <v>0.35198010902990762</v>
      </c>
      <c r="CC91" s="1044">
        <f t="shared" si="114"/>
        <v>0.33081762980182999</v>
      </c>
      <c r="CD91" s="780">
        <f t="shared" si="114"/>
        <v>0.34828815338487334</v>
      </c>
      <c r="CE91" s="780">
        <f t="shared" si="114"/>
        <v>0.32244490041725554</v>
      </c>
      <c r="CF91" s="780">
        <f t="shared" si="114"/>
        <v>0.31171740313520385</v>
      </c>
      <c r="CG91" s="780">
        <f t="shared" si="114"/>
        <v>0.35143896601609398</v>
      </c>
      <c r="CH91" s="1044">
        <f t="shared" si="114"/>
        <v>0.33369485042661817</v>
      </c>
      <c r="CI91" s="780">
        <f t="shared" si="114"/>
        <v>0.35455435168429217</v>
      </c>
      <c r="CJ91" s="780">
        <f t="shared" si="114"/>
        <v>0.32058872285196621</v>
      </c>
      <c r="CK91" s="780">
        <f t="shared" si="114"/>
        <v>0.31181196444768217</v>
      </c>
      <c r="CL91" s="780">
        <f t="shared" si="114"/>
        <v>0.35177989086196276</v>
      </c>
      <c r="CM91" s="1044">
        <f t="shared" si="114"/>
        <v>0.3350422831780015</v>
      </c>
      <c r="CN91" s="780">
        <f t="shared" si="114"/>
        <v>0.36257445370127395</v>
      </c>
      <c r="CO91" s="780">
        <f t="shared" si="114"/>
        <v>0.31951851473704107</v>
      </c>
      <c r="CP91" s="780">
        <f t="shared" si="114"/>
        <v>0.3131923092405911</v>
      </c>
      <c r="CQ91" s="780">
        <f t="shared" si="114"/>
        <v>0.35275782482621226</v>
      </c>
      <c r="CR91" s="1044">
        <f t="shared" si="114"/>
        <v>0.33757020947281585</v>
      </c>
      <c r="CS91" s="956"/>
      <c r="CT91" s="956"/>
      <c r="CU91" s="956"/>
    </row>
    <row r="92" spans="1:113" ht="12" customHeight="1">
      <c r="A92" s="1016" t="s">
        <v>993</v>
      </c>
      <c r="B92" s="956"/>
      <c r="C92" s="956"/>
      <c r="D92" s="956"/>
      <c r="E92" s="956"/>
      <c r="F92" s="1043"/>
      <c r="G92" s="780"/>
      <c r="H92" s="780"/>
      <c r="I92" s="780"/>
      <c r="J92" s="780"/>
      <c r="K92" s="1044"/>
      <c r="L92" s="780"/>
      <c r="M92" s="780"/>
      <c r="N92" s="780"/>
      <c r="O92" s="780"/>
      <c r="P92" s="1044"/>
      <c r="Q92" s="780"/>
      <c r="R92" s="780"/>
      <c r="S92" s="780"/>
      <c r="T92" s="780"/>
      <c r="U92" s="1044"/>
      <c r="V92" s="780"/>
      <c r="W92" s="780"/>
      <c r="X92" s="780"/>
      <c r="Y92" s="780"/>
      <c r="Z92" s="1044"/>
      <c r="AA92" s="780"/>
      <c r="AB92" s="780"/>
      <c r="AC92" s="780"/>
      <c r="AD92" s="780"/>
      <c r="AE92" s="1044"/>
      <c r="AF92" s="780"/>
      <c r="AG92" s="780"/>
      <c r="AH92" s="780"/>
      <c r="AI92" s="780"/>
      <c r="AJ92" s="1044"/>
      <c r="AK92" s="780"/>
      <c r="AL92" s="780"/>
      <c r="AM92" s="780"/>
      <c r="AN92" s="780"/>
      <c r="AO92" s="1044">
        <f t="shared" ref="AO92:BD92" si="115">+AO67/AO16</f>
        <v>0.23458925385299706</v>
      </c>
      <c r="AP92" s="780">
        <f t="shared" si="115"/>
        <v>0.22168269230769228</v>
      </c>
      <c r="AQ92" s="780">
        <f t="shared" si="115"/>
        <v>0.20998673740053056</v>
      </c>
      <c r="AR92" s="780">
        <f t="shared" si="115"/>
        <v>0.22571065104417329</v>
      </c>
      <c r="AS92" s="780">
        <f t="shared" si="115"/>
        <v>0.2388876018723122</v>
      </c>
      <c r="AT92" s="1044">
        <f t="shared" si="115"/>
        <v>0.22463635112191982</v>
      </c>
      <c r="AU92" s="780">
        <f t="shared" si="115"/>
        <v>0.32435878927866812</v>
      </c>
      <c r="AV92" s="780">
        <f t="shared" si="115"/>
        <v>0.31962795018150253</v>
      </c>
      <c r="AW92" s="780">
        <f t="shared" si="115"/>
        <v>0.33604500422211908</v>
      </c>
      <c r="AX92" s="780">
        <f t="shared" si="115"/>
        <v>0.31644272247063171</v>
      </c>
      <c r="AY92" s="1044">
        <f t="shared" si="115"/>
        <v>0.32404110014830861</v>
      </c>
      <c r="AZ92" s="780">
        <f t="shared" si="115"/>
        <v>0.32862015783133885</v>
      </c>
      <c r="BA92" s="780">
        <f t="shared" si="115"/>
        <v>0.36301770659500227</v>
      </c>
      <c r="BB92" s="780">
        <f t="shared" si="115"/>
        <v>0.31133816385790652</v>
      </c>
      <c r="BC92" s="780">
        <f t="shared" si="115"/>
        <v>0.3578456758156397</v>
      </c>
      <c r="BD92" s="1044">
        <f t="shared" si="115"/>
        <v>0.33911609705191753</v>
      </c>
      <c r="BE92" s="780">
        <f>+BE67/BE16</f>
        <v>0.32048684071055794</v>
      </c>
      <c r="BF92" s="780">
        <f>+BF67/BF16</f>
        <v>0.30089745823894043</v>
      </c>
      <c r="BG92" s="780">
        <f>+BG67/BG16</f>
        <v>0.34055417755756767</v>
      </c>
      <c r="BH92" s="780">
        <f>+BH67/BH16</f>
        <v>0.36894114816708279</v>
      </c>
      <c r="BI92" s="1044">
        <f t="shared" ref="BI92:CR92" si="116">+BI67/BI16</f>
        <v>0.33308648221828691</v>
      </c>
      <c r="BJ92" s="780">
        <f>+BJ67/BJ16</f>
        <v>0.33575443417436929</v>
      </c>
      <c r="BK92" s="780">
        <f>+BK67/BK16</f>
        <v>0.35402049366513544</v>
      </c>
      <c r="BL92" s="780">
        <f>+BL67/BL16</f>
        <v>0.35147336139736002</v>
      </c>
      <c r="BM92" s="780">
        <f>+BM67/BM16</f>
        <v>0.347796451855171</v>
      </c>
      <c r="BN92" s="1044">
        <f t="shared" si="116"/>
        <v>0.34722498006473856</v>
      </c>
      <c r="BO92" s="780">
        <f>+BO67/BO16</f>
        <v>0.33556491998703392</v>
      </c>
      <c r="BP92" s="780">
        <f>+BP67/BP16</f>
        <v>0.36051172203532383</v>
      </c>
      <c r="BQ92" s="780">
        <f>+BQ67/BQ16</f>
        <v>0.35326893277504873</v>
      </c>
      <c r="BR92" s="780">
        <f>+BR67/BR16</f>
        <v>0.36884816411008803</v>
      </c>
      <c r="BS92" s="1044">
        <f t="shared" si="116"/>
        <v>0.35459314648306373</v>
      </c>
      <c r="BT92" s="780">
        <f>+BT67/BT16</f>
        <v>0.34225804337854671</v>
      </c>
      <c r="BU92" s="780">
        <f t="shared" si="116"/>
        <v>0.33609426279835597</v>
      </c>
      <c r="BV92" s="780">
        <f t="shared" si="116"/>
        <v>0.31953510998318574</v>
      </c>
      <c r="BW92" s="780">
        <f t="shared" si="116"/>
        <v>0.35185811735747452</v>
      </c>
      <c r="BX92" s="1044">
        <f t="shared" si="116"/>
        <v>0.33750870542155342</v>
      </c>
      <c r="BY92" s="780">
        <f t="shared" si="116"/>
        <v>0.33809403862507004</v>
      </c>
      <c r="BZ92" s="780">
        <f t="shared" si="116"/>
        <v>0.32154396229109389</v>
      </c>
      <c r="CA92" s="780">
        <f t="shared" si="116"/>
        <v>0.31103099674536683</v>
      </c>
      <c r="CB92" s="780">
        <f t="shared" si="116"/>
        <v>0.35198010902990762</v>
      </c>
      <c r="CC92" s="1044">
        <f t="shared" si="116"/>
        <v>0.33081762980182999</v>
      </c>
      <c r="CD92" s="780">
        <f t="shared" si="116"/>
        <v>0.34828815338487334</v>
      </c>
      <c r="CE92" s="780">
        <f t="shared" si="116"/>
        <v>0.32244490041725554</v>
      </c>
      <c r="CF92" s="780">
        <f t="shared" si="116"/>
        <v>0.31171740313520385</v>
      </c>
      <c r="CG92" s="780">
        <f t="shared" si="116"/>
        <v>0.35143896601609398</v>
      </c>
      <c r="CH92" s="1044">
        <f t="shared" si="116"/>
        <v>0.33369485042661817</v>
      </c>
      <c r="CI92" s="780">
        <f t="shared" si="116"/>
        <v>0.35455435168429217</v>
      </c>
      <c r="CJ92" s="780">
        <f t="shared" si="116"/>
        <v>0.32058872285196621</v>
      </c>
      <c r="CK92" s="780">
        <f t="shared" si="116"/>
        <v>0.31181196444768217</v>
      </c>
      <c r="CL92" s="780">
        <f t="shared" si="116"/>
        <v>0.35177989086196276</v>
      </c>
      <c r="CM92" s="1044">
        <f t="shared" si="116"/>
        <v>0.3350422831780015</v>
      </c>
      <c r="CN92" s="780">
        <f t="shared" si="116"/>
        <v>0.36257445370127395</v>
      </c>
      <c r="CO92" s="780">
        <f t="shared" si="116"/>
        <v>0.31951851473704107</v>
      </c>
      <c r="CP92" s="780">
        <f t="shared" si="116"/>
        <v>0.3131923092405911</v>
      </c>
      <c r="CQ92" s="780">
        <f t="shared" si="116"/>
        <v>0.35275782482621226</v>
      </c>
      <c r="CR92" s="1044">
        <f t="shared" si="116"/>
        <v>0.33757020947281585</v>
      </c>
      <c r="CS92" s="956"/>
      <c r="CT92" s="956"/>
      <c r="CU92" s="956"/>
    </row>
    <row r="93" spans="1:113" ht="12" customHeight="1">
      <c r="A93" s="1041" t="s">
        <v>1006</v>
      </c>
      <c r="F93" s="1030"/>
      <c r="G93" s="734"/>
      <c r="H93" s="734"/>
      <c r="I93" s="734"/>
      <c r="J93" s="734"/>
      <c r="K93" s="771"/>
      <c r="L93" s="734"/>
      <c r="M93" s="734"/>
      <c r="N93" s="734"/>
      <c r="O93" s="734"/>
      <c r="P93" s="771"/>
      <c r="Q93" s="734"/>
      <c r="R93" s="734"/>
      <c r="S93" s="734"/>
      <c r="T93" s="734"/>
      <c r="U93" s="771"/>
      <c r="V93" s="734"/>
      <c r="W93" s="734"/>
      <c r="X93" s="734"/>
      <c r="Y93" s="734"/>
      <c r="Z93" s="771"/>
      <c r="AA93" s="734"/>
      <c r="AB93" s="734"/>
      <c r="AC93" s="734"/>
      <c r="AD93" s="734"/>
      <c r="AE93" s="771"/>
      <c r="AF93" s="734"/>
      <c r="AG93" s="734"/>
      <c r="AH93" s="734"/>
      <c r="AI93" s="734"/>
      <c r="AJ93" s="771"/>
      <c r="AK93" s="734"/>
      <c r="AL93" s="734"/>
      <c r="AM93" s="734"/>
      <c r="AN93" s="734"/>
      <c r="AO93" s="771">
        <f t="shared" ref="AO93:BR93" si="117">+AO51/AO$16</f>
        <v>4.0585069107933622E-2</v>
      </c>
      <c r="AP93" s="734">
        <f t="shared" si="117"/>
        <v>3.2051282051282055E-2</v>
      </c>
      <c r="AQ93" s="734">
        <f t="shared" si="117"/>
        <v>0.1326259946949602</v>
      </c>
      <c r="AR93" s="734">
        <f t="shared" si="117"/>
        <v>3.6088923106534498E-2</v>
      </c>
      <c r="AS93" s="734">
        <f t="shared" si="117"/>
        <v>4.9504597619217328E-2</v>
      </c>
      <c r="AT93" s="771">
        <f t="shared" si="117"/>
        <v>6.2821613755399838E-2</v>
      </c>
      <c r="AU93" s="734">
        <f t="shared" si="117"/>
        <v>2.7489052499879697E-2</v>
      </c>
      <c r="AV93" s="734">
        <f t="shared" si="117"/>
        <v>2.4884803891611771E-2</v>
      </c>
      <c r="AW93" s="734">
        <f t="shared" si="117"/>
        <v>2.8579583972597855E-2</v>
      </c>
      <c r="AX93" s="734">
        <f t="shared" si="117"/>
        <v>0.38737653034791136</v>
      </c>
      <c r="AY93" s="771">
        <f t="shared" si="117"/>
        <v>0.12171966999103045</v>
      </c>
      <c r="AZ93" s="734">
        <f t="shared" si="117"/>
        <v>2.6984430760224699E-2</v>
      </c>
      <c r="BA93" s="734">
        <f t="shared" si="117"/>
        <v>2.7491818556164799E-2</v>
      </c>
      <c r="BB93" s="734">
        <f t="shared" si="117"/>
        <v>2.732095850633667E-2</v>
      </c>
      <c r="BC93" s="734">
        <f t="shared" si="117"/>
        <v>1.548287721255095E-2</v>
      </c>
      <c r="BD93" s="771">
        <f t="shared" si="117"/>
        <v>2.3570049569527785E-2</v>
      </c>
      <c r="BE93" s="734">
        <f t="shared" si="117"/>
        <v>1.9989899052880327E-2</v>
      </c>
      <c r="BF93" s="734">
        <f t="shared" si="117"/>
        <v>3.2076974781547959E-2</v>
      </c>
      <c r="BG93" s="734">
        <f t="shared" si="117"/>
        <v>2.9091592729830858E-2</v>
      </c>
      <c r="BH93" s="734">
        <f t="shared" si="117"/>
        <v>2.7925299972934768E-2</v>
      </c>
      <c r="BI93" s="771">
        <f t="shared" si="117"/>
        <v>2.7291613961653742E-2</v>
      </c>
      <c r="BJ93" s="734">
        <f t="shared" si="117"/>
        <v>2.7854109417936545E-2</v>
      </c>
      <c r="BK93" s="734">
        <f t="shared" si="117"/>
        <v>4.6962546060269547E-2</v>
      </c>
      <c r="BL93" s="734">
        <f t="shared" si="117"/>
        <v>4.3435747982501251E-2</v>
      </c>
      <c r="BM93" s="734">
        <f t="shared" si="117"/>
        <v>5.3285284223945878E-2</v>
      </c>
      <c r="BN93" s="771">
        <f t="shared" si="117"/>
        <v>4.2844265421067389E-2</v>
      </c>
      <c r="BO93" s="734">
        <f t="shared" si="117"/>
        <v>7.7975430495557774E-2</v>
      </c>
      <c r="BP93" s="734">
        <f t="shared" si="117"/>
        <v>8.4912478973927674E-2</v>
      </c>
      <c r="BQ93" s="734">
        <f t="shared" si="117"/>
        <v>6.867561240974579E-2</v>
      </c>
      <c r="BR93" s="734">
        <f t="shared" si="117"/>
        <v>6.1200696891497132E-2</v>
      </c>
      <c r="BS93" s="771">
        <f>+BS51/BS$16</f>
        <v>7.317735416858652E-2</v>
      </c>
      <c r="BT93" s="734">
        <f t="shared" ref="BT93" si="118">+BT51/BT$16</f>
        <v>7.3723871305943239E-2</v>
      </c>
      <c r="BU93" s="1045">
        <f>+BP93</f>
        <v>8.4912478973927674E-2</v>
      </c>
      <c r="BV93" s="1045">
        <f>+BQ93</f>
        <v>6.867561240974579E-2</v>
      </c>
      <c r="BW93" s="1045">
        <f>+BR93</f>
        <v>6.1200696891497132E-2</v>
      </c>
      <c r="BX93" s="771">
        <f>+BX51/BX$16</f>
        <v>7.2064097104637709E-2</v>
      </c>
      <c r="BY93" s="1045">
        <f t="shared" ref="BY93:CB94" si="119">+BT93</f>
        <v>7.3723871305943239E-2</v>
      </c>
      <c r="BZ93" s="1045">
        <f t="shared" si="119"/>
        <v>8.4912478973927674E-2</v>
      </c>
      <c r="CA93" s="1045">
        <f t="shared" si="119"/>
        <v>6.867561240974579E-2</v>
      </c>
      <c r="CB93" s="1045">
        <f t="shared" si="119"/>
        <v>6.1200696891497132E-2</v>
      </c>
      <c r="CC93" s="771">
        <f>+CC51/CC$16</f>
        <v>7.202650469381601E-2</v>
      </c>
      <c r="CD93" s="1045">
        <f t="shared" ref="CD93:CG94" si="120">+BY93</f>
        <v>7.3723871305943239E-2</v>
      </c>
      <c r="CE93" s="1045">
        <f t="shared" si="120"/>
        <v>8.4912478973927674E-2</v>
      </c>
      <c r="CF93" s="1045">
        <f t="shared" si="120"/>
        <v>6.867561240974579E-2</v>
      </c>
      <c r="CG93" s="1045">
        <f t="shared" si="120"/>
        <v>6.1200696891497132E-2</v>
      </c>
      <c r="CH93" s="771">
        <f>+CH51/CH$16</f>
        <v>7.2023308299875646E-2</v>
      </c>
      <c r="CI93" s="1045">
        <f t="shared" ref="CI93:CL94" si="121">+CD93</f>
        <v>7.3723871305943239E-2</v>
      </c>
      <c r="CJ93" s="1045">
        <f t="shared" si="121"/>
        <v>8.4912478973927674E-2</v>
      </c>
      <c r="CK93" s="1045">
        <f t="shared" si="121"/>
        <v>6.867561240974579E-2</v>
      </c>
      <c r="CL93" s="1045">
        <f t="shared" si="121"/>
        <v>6.1200696891497132E-2</v>
      </c>
      <c r="CM93" s="771">
        <f>+CM51/CM$16</f>
        <v>7.2019875683406773E-2</v>
      </c>
      <c r="CN93" s="1045">
        <f t="shared" ref="CN93:CQ94" si="122">+CI93</f>
        <v>7.3723871305943239E-2</v>
      </c>
      <c r="CO93" s="1045">
        <f t="shared" si="122"/>
        <v>8.4912478973927674E-2</v>
      </c>
      <c r="CP93" s="1045">
        <f t="shared" si="122"/>
        <v>6.867561240974579E-2</v>
      </c>
      <c r="CQ93" s="1045">
        <f t="shared" si="122"/>
        <v>6.1200696891497132E-2</v>
      </c>
      <c r="CR93" s="771">
        <f>+CR51/CR$16</f>
        <v>7.2008690765384367E-2</v>
      </c>
    </row>
    <row r="94" spans="1:113" ht="12" customHeight="1">
      <c r="A94" s="1041" t="s">
        <v>1007</v>
      </c>
      <c r="F94" s="1030"/>
      <c r="G94" s="734"/>
      <c r="H94" s="734"/>
      <c r="I94" s="734"/>
      <c r="J94" s="734"/>
      <c r="K94" s="771"/>
      <c r="L94" s="734"/>
      <c r="M94" s="734"/>
      <c r="N94" s="734"/>
      <c r="O94" s="734"/>
      <c r="P94" s="771"/>
      <c r="Q94" s="734"/>
      <c r="R94" s="734"/>
      <c r="S94" s="734"/>
      <c r="T94" s="734"/>
      <c r="U94" s="771"/>
      <c r="V94" s="734"/>
      <c r="W94" s="734"/>
      <c r="X94" s="734"/>
      <c r="Y94" s="734"/>
      <c r="Z94" s="771"/>
      <c r="AA94" s="734"/>
      <c r="AB94" s="734"/>
      <c r="AC94" s="734"/>
      <c r="AD94" s="734"/>
      <c r="AE94" s="771"/>
      <c r="AF94" s="734"/>
      <c r="AG94" s="734"/>
      <c r="AH94" s="734"/>
      <c r="AI94" s="734"/>
      <c r="AJ94" s="771"/>
      <c r="AK94" s="734"/>
      <c r="AL94" s="734"/>
      <c r="AM94" s="734"/>
      <c r="AN94" s="734"/>
      <c r="AO94" s="771">
        <f>+AO46/AO16</f>
        <v>7.7417783675518256E-2</v>
      </c>
      <c r="AP94" s="734">
        <f t="shared" ref="AP94:BR94" si="123">+AP46/AP16</f>
        <v>3.2051282051282055E-2</v>
      </c>
      <c r="AQ94" s="734">
        <f t="shared" si="123"/>
        <v>0.22546419098143233</v>
      </c>
      <c r="AR94" s="734">
        <f t="shared" si="123"/>
        <v>6.01482051775575E-2</v>
      </c>
      <c r="AS94" s="734">
        <f t="shared" si="123"/>
        <v>3.2183334521348597E-2</v>
      </c>
      <c r="AT94" s="771">
        <f t="shared" si="123"/>
        <v>8.7541215724577348E-2</v>
      </c>
      <c r="AU94" s="734">
        <f t="shared" si="123"/>
        <v>4.0517780665030548E-2</v>
      </c>
      <c r="AV94" s="734">
        <f t="shared" si="123"/>
        <v>2.4664800713788088E-2</v>
      </c>
      <c r="AW94" s="734">
        <f t="shared" si="123"/>
        <v>7.0979174843305876E-2</v>
      </c>
      <c r="AX94" s="734">
        <f t="shared" si="123"/>
        <v>8.2343135819433047E-2</v>
      </c>
      <c r="AY94" s="771">
        <f t="shared" si="123"/>
        <v>5.525311640601642E-2</v>
      </c>
      <c r="AZ94" s="734">
        <f t="shared" si="123"/>
        <v>0.11007666415247275</v>
      </c>
      <c r="BA94" s="734">
        <f t="shared" si="123"/>
        <v>7.7739970958583482E-2</v>
      </c>
      <c r="BB94" s="734">
        <f t="shared" si="123"/>
        <v>0.22535211267605637</v>
      </c>
      <c r="BC94" s="734">
        <f t="shared" si="123"/>
        <v>9.4225125814975608E-2</v>
      </c>
      <c r="BD94" s="771">
        <f t="shared" si="123"/>
        <v>0.13432820245238719</v>
      </c>
      <c r="BE94" s="734">
        <f t="shared" si="123"/>
        <v>4.2174571800899112E-2</v>
      </c>
      <c r="BF94" s="734">
        <f t="shared" si="123"/>
        <v>3.2387911075705151</v>
      </c>
      <c r="BG94" s="734">
        <f t="shared" si="123"/>
        <v>1.1941076940804037E-2</v>
      </c>
      <c r="BH94" s="734">
        <f t="shared" si="123"/>
        <v>2.3380386732024179</v>
      </c>
      <c r="BI94" s="771">
        <f t="shared" si="123"/>
        <v>1.4073012733531121</v>
      </c>
      <c r="BJ94" s="734">
        <f t="shared" si="123"/>
        <v>2.5632650512115913</v>
      </c>
      <c r="BK94" s="734">
        <f t="shared" si="123"/>
        <v>1.135732673767099E-4</v>
      </c>
      <c r="BL94" s="734">
        <f t="shared" si="123"/>
        <v>4.5569693390985222</v>
      </c>
      <c r="BM94" s="734">
        <f t="shared" si="123"/>
        <v>1.0501801841602029E-2</v>
      </c>
      <c r="BN94" s="771">
        <f t="shared" si="123"/>
        <v>1.7804962225437078</v>
      </c>
      <c r="BO94" s="734">
        <f t="shared" si="123"/>
        <v>1.8721512539444172E-3</v>
      </c>
      <c r="BP94" s="734">
        <f t="shared" si="123"/>
        <v>1.1301513877207736E-2</v>
      </c>
      <c r="BQ94" s="734">
        <f t="shared" si="123"/>
        <v>2.5009857901157235</v>
      </c>
      <c r="BR94" s="734">
        <f t="shared" si="123"/>
        <v>1.6758537575813151</v>
      </c>
      <c r="BS94" s="771">
        <f>+BS46/BS16</f>
        <v>1.0484919893103042</v>
      </c>
      <c r="BT94" s="734">
        <f t="shared" ref="BT94" si="124">+BT46/BT16</f>
        <v>3.5941288251097568E-2</v>
      </c>
      <c r="BU94" s="1045">
        <v>0</v>
      </c>
      <c r="BV94" s="1045">
        <v>0</v>
      </c>
      <c r="BW94" s="1045">
        <v>0</v>
      </c>
      <c r="BX94" s="771">
        <f>+BX46/BX16</f>
        <v>9.0108800331800479E-3</v>
      </c>
      <c r="BY94" s="1045">
        <v>0</v>
      </c>
      <c r="BZ94" s="1045">
        <f t="shared" si="119"/>
        <v>0</v>
      </c>
      <c r="CA94" s="1045">
        <f t="shared" si="119"/>
        <v>0</v>
      </c>
      <c r="CB94" s="1045">
        <f t="shared" si="119"/>
        <v>0</v>
      </c>
      <c r="CC94" s="771">
        <f>+CC46/CC16</f>
        <v>0</v>
      </c>
      <c r="CD94" s="1045">
        <f t="shared" si="120"/>
        <v>0</v>
      </c>
      <c r="CE94" s="1045">
        <f t="shared" si="120"/>
        <v>0</v>
      </c>
      <c r="CF94" s="1045">
        <f t="shared" si="120"/>
        <v>0</v>
      </c>
      <c r="CG94" s="1045">
        <f t="shared" si="120"/>
        <v>0</v>
      </c>
      <c r="CH94" s="771">
        <f>+CH46/CH16</f>
        <v>0</v>
      </c>
      <c r="CI94" s="1045">
        <f t="shared" si="121"/>
        <v>0</v>
      </c>
      <c r="CJ94" s="1045">
        <f t="shared" si="121"/>
        <v>0</v>
      </c>
      <c r="CK94" s="1045">
        <f t="shared" si="121"/>
        <v>0</v>
      </c>
      <c r="CL94" s="1045">
        <f t="shared" si="121"/>
        <v>0</v>
      </c>
      <c r="CM94" s="771">
        <f>+CM46/CM16</f>
        <v>0</v>
      </c>
      <c r="CN94" s="1045">
        <f t="shared" si="122"/>
        <v>0</v>
      </c>
      <c r="CO94" s="1045">
        <f t="shared" si="122"/>
        <v>0</v>
      </c>
      <c r="CP94" s="1045">
        <f t="shared" si="122"/>
        <v>0</v>
      </c>
      <c r="CQ94" s="1045">
        <f t="shared" si="122"/>
        <v>0</v>
      </c>
      <c r="CR94" s="771">
        <f>+CR46/CR16</f>
        <v>0</v>
      </c>
    </row>
    <row r="95" spans="1:113" ht="12" customHeight="1">
      <c r="A95" s="1041" t="s">
        <v>1008</v>
      </c>
      <c r="F95" s="1030"/>
      <c r="G95" s="734"/>
      <c r="H95" s="734"/>
      <c r="I95" s="734"/>
      <c r="J95" s="734"/>
      <c r="K95" s="771"/>
      <c r="L95" s="734"/>
      <c r="M95" s="734"/>
      <c r="N95" s="734"/>
      <c r="O95" s="734"/>
      <c r="P95" s="771"/>
      <c r="Q95" s="734"/>
      <c r="R95" s="734"/>
      <c r="S95" s="734"/>
      <c r="T95" s="734"/>
      <c r="U95" s="771"/>
      <c r="V95" s="734"/>
      <c r="W95" s="734"/>
      <c r="X95" s="734"/>
      <c r="Y95" s="734"/>
      <c r="Z95" s="771"/>
      <c r="AA95" s="734"/>
      <c r="AB95" s="734"/>
      <c r="AC95" s="734"/>
      <c r="AD95" s="734"/>
      <c r="AE95" s="771"/>
      <c r="AF95" s="734"/>
      <c r="AG95" s="734"/>
      <c r="AH95" s="734"/>
      <c r="AI95" s="734"/>
      <c r="AJ95" s="771"/>
      <c r="AK95" s="734"/>
      <c r="AL95" s="734"/>
      <c r="AM95" s="734"/>
      <c r="AN95" s="734"/>
      <c r="AO95" s="771">
        <f>+AO47/AO$16</f>
        <v>9.9703290640981684E-2</v>
      </c>
      <c r="AP95" s="734">
        <f>+AP47/AP$16</f>
        <v>9.6153846153846159E-2</v>
      </c>
      <c r="AQ95" s="734">
        <f t="shared" ref="AQ95:CR95" si="125">+AQ47/AQ$16</f>
        <v>0.10610079575596816</v>
      </c>
      <c r="AR95" s="734">
        <f t="shared" si="125"/>
        <v>0.10826676931960351</v>
      </c>
      <c r="AS95" s="734">
        <f t="shared" si="125"/>
        <v>9.6573763870078655E-2</v>
      </c>
      <c r="AT95" s="771">
        <f t="shared" si="125"/>
        <v>0.10202817418437114</v>
      </c>
      <c r="AU95" s="734">
        <f t="shared" si="125"/>
        <v>0.10185987199846012</v>
      </c>
      <c r="AV95" s="734">
        <f t="shared" si="125"/>
        <v>0.10324260239314567</v>
      </c>
      <c r="AW95" s="734">
        <f t="shared" si="125"/>
        <v>0.10051022228565314</v>
      </c>
      <c r="AX95" s="734">
        <f t="shared" si="125"/>
        <v>8.0631173482604457E-2</v>
      </c>
      <c r="AY95" s="771">
        <f t="shared" si="125"/>
        <v>9.627925839749682E-2</v>
      </c>
      <c r="AZ95" s="734">
        <f t="shared" si="125"/>
        <v>4.3116549775411191E-2</v>
      </c>
      <c r="BA95" s="734">
        <f t="shared" si="125"/>
        <v>3.8393186103465468E-2</v>
      </c>
      <c r="BB95" s="734">
        <f t="shared" si="125"/>
        <v>0.132093136855817</v>
      </c>
      <c r="BC95" s="734">
        <f t="shared" si="125"/>
        <v>0.12956618730828981</v>
      </c>
      <c r="BD95" s="771">
        <f t="shared" si="125"/>
        <v>9.6755543960344387E-2</v>
      </c>
      <c r="BE95" s="734">
        <f t="shared" si="125"/>
        <v>0.13427401001365499</v>
      </c>
      <c r="BF95" s="734">
        <f>+BF47/BF$16</f>
        <v>0.13084094699892954</v>
      </c>
      <c r="BG95" s="734">
        <f>+BG47/BG$16</f>
        <v>0.12107851758413031</v>
      </c>
      <c r="BH95" s="734">
        <f>+BH47/BH$16</f>
        <v>0.12202808769133613</v>
      </c>
      <c r="BI95" s="771">
        <f t="shared" si="125"/>
        <v>0.12697040086474551</v>
      </c>
      <c r="BJ95" s="734">
        <f>+BJ47/BJ$16</f>
        <v>0.12570572070946789</v>
      </c>
      <c r="BK95" s="734">
        <f>+BK47/BK$16</f>
        <v>0.12614835192569784</v>
      </c>
      <c r="BL95" s="734">
        <f>+BL47/BL$16</f>
        <v>0.12707543635751792</v>
      </c>
      <c r="BM95" s="734">
        <f>+BM47/BM$16</f>
        <v>0.12711345606472743</v>
      </c>
      <c r="BN95" s="771">
        <f t="shared" si="125"/>
        <v>0.12650775190133537</v>
      </c>
      <c r="BO95" s="734">
        <f t="shared" si="125"/>
        <v>0.1328764314018642</v>
      </c>
      <c r="BP95" s="734">
        <f>+BP47/BP$16</f>
        <v>0.13235255466778806</v>
      </c>
      <c r="BQ95" s="734">
        <f>+BQ47/BQ$16</f>
        <v>3.6998450430252877E-2</v>
      </c>
      <c r="BR95" s="734">
        <f>+BR47/BR$16</f>
        <v>3.671124850993595E-2</v>
      </c>
      <c r="BS95" s="771">
        <f t="shared" si="125"/>
        <v>8.465692921367543E-2</v>
      </c>
      <c r="BT95" s="734">
        <f t="shared" si="125"/>
        <v>3.6766922220038002E-2</v>
      </c>
      <c r="BU95" s="734">
        <f t="shared" si="125"/>
        <v>3.7277746510961787E-2</v>
      </c>
      <c r="BV95" s="734">
        <f t="shared" si="125"/>
        <v>3.7037426732266732E-2</v>
      </c>
      <c r="BW95" s="734">
        <f t="shared" si="125"/>
        <v>3.6415102837782057E-2</v>
      </c>
      <c r="BX95" s="771">
        <f t="shared" si="125"/>
        <v>3.6871502545978679E-2</v>
      </c>
      <c r="BY95" s="734">
        <f t="shared" si="125"/>
        <v>3.5955135261935348E-2</v>
      </c>
      <c r="BZ95" s="734">
        <f t="shared" si="125"/>
        <v>3.6640563104111498E-2</v>
      </c>
      <c r="CA95" s="734">
        <f t="shared" si="125"/>
        <v>3.6125554405929537E-2</v>
      </c>
      <c r="CB95" s="734">
        <f t="shared" si="125"/>
        <v>3.5362613316661476E-2</v>
      </c>
      <c r="CC95" s="771">
        <f t="shared" si="125"/>
        <v>3.601517808149593E-2</v>
      </c>
      <c r="CD95" s="734">
        <f t="shared" si="125"/>
        <v>2.6804670465581937E-2</v>
      </c>
      <c r="CE95" s="734">
        <f t="shared" si="125"/>
        <v>2.785597184564825E-2</v>
      </c>
      <c r="CF95" s="734">
        <f t="shared" si="125"/>
        <v>2.737810557241464E-2</v>
      </c>
      <c r="CG95" s="734">
        <f t="shared" si="125"/>
        <v>2.6796997807319225E-2</v>
      </c>
      <c r="CH95" s="771">
        <f t="shared" si="125"/>
        <v>2.7201812232716196E-2</v>
      </c>
      <c r="CI95" s="734">
        <f t="shared" si="125"/>
        <v>2.5273971528982045E-2</v>
      </c>
      <c r="CJ95" s="734">
        <f t="shared" si="125"/>
        <v>2.6825386296801933E-2</v>
      </c>
      <c r="CK95" s="734">
        <f t="shared" si="125"/>
        <v>2.6274579142832429E-2</v>
      </c>
      <c r="CL95" s="734">
        <f t="shared" si="125"/>
        <v>2.5713929582363605E-2</v>
      </c>
      <c r="CM95" s="771">
        <f t="shared" si="125"/>
        <v>2.6008893593310545E-2</v>
      </c>
      <c r="CN95" s="734">
        <f t="shared" si="125"/>
        <v>2.3815328226725455E-2</v>
      </c>
      <c r="CO95" s="734">
        <f t="shared" si="125"/>
        <v>2.5857073872054048E-2</v>
      </c>
      <c r="CP95" s="734">
        <f t="shared" si="125"/>
        <v>2.5177744080249739E-2</v>
      </c>
      <c r="CQ95" s="734">
        <f t="shared" si="125"/>
        <v>2.463748115460257E-2</v>
      </c>
      <c r="CR95" s="771">
        <f t="shared" si="125"/>
        <v>2.4849338188412225E-2</v>
      </c>
    </row>
    <row r="96" spans="1:113" ht="12" customHeight="1">
      <c r="A96" s="1046" t="str">
        <f>+A55</f>
        <v>Interest and other expense, net</v>
      </c>
      <c r="F96" s="1030"/>
      <c r="G96" s="734"/>
      <c r="H96" s="734"/>
      <c r="I96" s="734"/>
      <c r="J96" s="734"/>
      <c r="K96" s="771"/>
      <c r="L96" s="734"/>
      <c r="M96" s="734"/>
      <c r="N96" s="734"/>
      <c r="O96" s="734"/>
      <c r="P96" s="771"/>
      <c r="Q96" s="734"/>
      <c r="R96" s="734"/>
      <c r="S96" s="734"/>
      <c r="T96" s="734"/>
      <c r="U96" s="771"/>
      <c r="V96" s="734"/>
      <c r="W96" s="734"/>
      <c r="X96" s="734"/>
      <c r="Y96" s="734"/>
      <c r="Z96" s="771"/>
      <c r="AA96" s="734"/>
      <c r="AB96" s="734"/>
      <c r="AC96" s="734"/>
      <c r="AD96" s="734"/>
      <c r="AE96" s="771"/>
      <c r="AF96" s="734"/>
      <c r="AG96" s="734"/>
      <c r="AH96" s="734"/>
      <c r="AI96" s="734"/>
      <c r="AJ96" s="771"/>
      <c r="AK96" s="734"/>
      <c r="AL96" s="734"/>
      <c r="AM96" s="734"/>
      <c r="AN96" s="734"/>
      <c r="AO96" s="771">
        <f t="shared" ref="AO96:BD97" si="126">+AO55/AO$16</f>
        <v>-0.10360474536174188</v>
      </c>
      <c r="AP96" s="734">
        <f t="shared" si="126"/>
        <v>-0.17628205128205129</v>
      </c>
      <c r="AQ96" s="734">
        <f>+AQ55/AQ$16</f>
        <v>-0.22546419098143233</v>
      </c>
      <c r="AR96" s="734">
        <f t="shared" si="126"/>
        <v>-0.23629823886055248</v>
      </c>
      <c r="AS96" s="734">
        <f t="shared" si="126"/>
        <v>-0.23654572670896001</v>
      </c>
      <c r="AT96" s="771">
        <f t="shared" si="126"/>
        <v>-0.22141447778120107</v>
      </c>
      <c r="AU96" s="734">
        <f t="shared" si="126"/>
        <v>-0.23304942014340019</v>
      </c>
      <c r="AV96" s="734">
        <f t="shared" si="126"/>
        <v>-0.1993228791082538</v>
      </c>
      <c r="AW96" s="734">
        <f t="shared" si="126"/>
        <v>-0.20902463101057317</v>
      </c>
      <c r="AX96" s="734">
        <f t="shared" si="126"/>
        <v>-0.15928007478572312</v>
      </c>
      <c r="AY96" s="771">
        <f t="shared" si="126"/>
        <v>-0.19951215035715447</v>
      </c>
      <c r="AZ96" s="734">
        <f t="shared" si="126"/>
        <v>-5.5195938263404971E-2</v>
      </c>
      <c r="BA96" s="734">
        <f t="shared" si="126"/>
        <v>-6.8615764721180736E-2</v>
      </c>
      <c r="BB96" s="734">
        <f t="shared" si="126"/>
        <v>-7.3061684170533811E-2</v>
      </c>
      <c r="BC96" s="734">
        <f t="shared" si="126"/>
        <v>-7.7407746750056405E-2</v>
      </c>
      <c r="BD96" s="771">
        <f t="shared" si="126"/>
        <v>-7.0259326897991123E-2</v>
      </c>
      <c r="BE96" s="734">
        <f>+BE55/BE$16</f>
        <v>-9.6102406145366345E-2</v>
      </c>
      <c r="BF96" s="734">
        <f>+BF55/BF$16</f>
        <v>-0.11233164878388807</v>
      </c>
      <c r="BG96" s="734">
        <f>+BG55/BG$16</f>
        <v>-0.12899274074702988</v>
      </c>
      <c r="BH96" s="734">
        <f>+BH55/BH$16</f>
        <v>-0.13291432351968244</v>
      </c>
      <c r="BI96" s="771">
        <f t="shared" ref="BI96:CR97" si="127">+BI55/BI$14</f>
        <v>-0.11780011192628198</v>
      </c>
      <c r="BJ96" s="734">
        <f t="shared" ref="BJ96:BM97" si="128">+BJ55/BJ$16</f>
        <v>-0.16066699975018736</v>
      </c>
      <c r="BK96" s="734">
        <f t="shared" si="128"/>
        <v>-0.16100272575841704</v>
      </c>
      <c r="BL96" s="734">
        <f t="shared" si="128"/>
        <v>-0.15646647237725161</v>
      </c>
      <c r="BM96" s="734">
        <f t="shared" si="128"/>
        <v>-0.1677132705160651</v>
      </c>
      <c r="BN96" s="771">
        <f t="shared" si="127"/>
        <v>-0.16146773954620092</v>
      </c>
      <c r="BO96" s="734">
        <f>+BO55/BO$16</f>
        <v>-0.16785192143580108</v>
      </c>
      <c r="BP96" s="734">
        <f t="shared" ref="BP96:BR97" si="129">+BP55/BP$16</f>
        <v>-0.165251787216148</v>
      </c>
      <c r="BQ96" s="734">
        <f t="shared" si="129"/>
        <v>-0.16763707098348224</v>
      </c>
      <c r="BR96" s="734">
        <f t="shared" si="129"/>
        <v>-0.15324408231703324</v>
      </c>
      <c r="BS96" s="771">
        <f t="shared" si="127"/>
        <v>-0.16347698160898355</v>
      </c>
      <c r="BT96" s="734">
        <f>+BT55/BT$16</f>
        <v>-0.1314068540724723</v>
      </c>
      <c r="BU96" s="734">
        <f t="shared" si="127"/>
        <v>-0.14313234039903414</v>
      </c>
      <c r="BV96" s="734">
        <f t="shared" si="127"/>
        <v>-0.14086032040391766</v>
      </c>
      <c r="BW96" s="734">
        <f t="shared" si="127"/>
        <v>-0.13608996401372975</v>
      </c>
      <c r="BX96" s="771">
        <f t="shared" si="127"/>
        <v>-0.13784451032686015</v>
      </c>
      <c r="BY96" s="734">
        <f t="shared" si="127"/>
        <v>-0.13066958353000077</v>
      </c>
      <c r="BZ96" s="734">
        <f t="shared" si="127"/>
        <v>-0.13025308887815853</v>
      </c>
      <c r="CA96" s="734">
        <f t="shared" si="127"/>
        <v>-0.12585801292017942</v>
      </c>
      <c r="CB96" s="734">
        <f t="shared" si="127"/>
        <v>-0.12081375856576396</v>
      </c>
      <c r="CC96" s="771">
        <f t="shared" si="127"/>
        <v>-0.12685859475820957</v>
      </c>
      <c r="CD96" s="734">
        <f t="shared" si="127"/>
        <v>-0.11264849252223735</v>
      </c>
      <c r="CE96" s="734">
        <f t="shared" si="127"/>
        <v>-0.11464441557024799</v>
      </c>
      <c r="CF96" s="734">
        <f t="shared" si="127"/>
        <v>-0.11016068403558128</v>
      </c>
      <c r="CG96" s="734">
        <f t="shared" si="127"/>
        <v>-0.10517589714125011</v>
      </c>
      <c r="CH96" s="771">
        <f t="shared" si="127"/>
        <v>-0.11062143773298302</v>
      </c>
      <c r="CI96" s="734">
        <f t="shared" si="127"/>
        <v>-9.5810466645064429E-2</v>
      </c>
      <c r="CJ96" s="734">
        <f t="shared" si="127"/>
        <v>-9.8918057888781205E-2</v>
      </c>
      <c r="CK96" s="734">
        <f t="shared" si="127"/>
        <v>-9.4238407046531927E-2</v>
      </c>
      <c r="CL96" s="734">
        <f t="shared" si="127"/>
        <v>-8.959154236656329E-2</v>
      </c>
      <c r="CM96" s="771">
        <f t="shared" si="127"/>
        <v>-9.4602111634694508E-2</v>
      </c>
      <c r="CN96" s="734">
        <f t="shared" si="127"/>
        <v>-7.9763321406034746E-2</v>
      </c>
      <c r="CO96" s="734">
        <f t="shared" si="127"/>
        <v>-8.3752723408904148E-2</v>
      </c>
      <c r="CP96" s="734">
        <f t="shared" si="127"/>
        <v>-7.875779684011619E-2</v>
      </c>
      <c r="CQ96" s="734">
        <f t="shared" si="127"/>
        <v>-7.4465074731371109E-2</v>
      </c>
      <c r="CR96" s="771">
        <f t="shared" si="127"/>
        <v>-7.913774806898255E-2</v>
      </c>
    </row>
    <row r="97" spans="1:96" ht="12" customHeight="1">
      <c r="A97" s="1046" t="str">
        <f>+A56</f>
        <v>Other non-operating expenses</v>
      </c>
      <c r="F97" s="1030"/>
      <c r="G97" s="734"/>
      <c r="H97" s="734"/>
      <c r="I97" s="734"/>
      <c r="J97" s="734"/>
      <c r="K97" s="771"/>
      <c r="L97" s="734"/>
      <c r="M97" s="734"/>
      <c r="N97" s="734"/>
      <c r="O97" s="734"/>
      <c r="P97" s="771"/>
      <c r="Q97" s="734"/>
      <c r="R97" s="734"/>
      <c r="S97" s="734"/>
      <c r="T97" s="734"/>
      <c r="U97" s="771"/>
      <c r="V97" s="734"/>
      <c r="W97" s="734"/>
      <c r="X97" s="734"/>
      <c r="Y97" s="734"/>
      <c r="Z97" s="771"/>
      <c r="AA97" s="734"/>
      <c r="AB97" s="734"/>
      <c r="AC97" s="734"/>
      <c r="AD97" s="734"/>
      <c r="AE97" s="771"/>
      <c r="AF97" s="734"/>
      <c r="AG97" s="734"/>
      <c r="AH97" s="734"/>
      <c r="AI97" s="734"/>
      <c r="AJ97" s="771"/>
      <c r="AK97" s="734"/>
      <c r="AL97" s="734"/>
      <c r="AM97" s="734"/>
      <c r="AN97" s="734"/>
      <c r="AO97" s="771">
        <f>+AO56/AO$16</f>
        <v>-2.2881907687108304E-2</v>
      </c>
      <c r="AP97" s="734">
        <f t="shared" si="126"/>
        <v>0</v>
      </c>
      <c r="AQ97" s="734">
        <f t="shared" si="126"/>
        <v>0</v>
      </c>
      <c r="AR97" s="734">
        <f t="shared" si="126"/>
        <v>0</v>
      </c>
      <c r="AS97" s="734">
        <f t="shared" si="126"/>
        <v>0</v>
      </c>
      <c r="AT97" s="771">
        <f t="shared" si="126"/>
        <v>0</v>
      </c>
      <c r="AU97" s="734">
        <f t="shared" si="126"/>
        <v>0</v>
      </c>
      <c r="AV97" s="734">
        <f t="shared" si="126"/>
        <v>0</v>
      </c>
      <c r="AW97" s="734">
        <f t="shared" si="126"/>
        <v>0</v>
      </c>
      <c r="AX97" s="734">
        <f t="shared" si="126"/>
        <v>0.64116368387263922</v>
      </c>
      <c r="AY97" s="771">
        <f t="shared" si="126"/>
        <v>0.16851830472249116</v>
      </c>
      <c r="AZ97" s="734">
        <f t="shared" si="126"/>
        <v>-1.5276767722252869</v>
      </c>
      <c r="BA97" s="734">
        <f t="shared" si="126"/>
        <v>1.4195617780282166E-2</v>
      </c>
      <c r="BB97" s="734">
        <f t="shared" si="126"/>
        <v>-6.6772504002822336E-2</v>
      </c>
      <c r="BC97" s="734">
        <f t="shared" si="126"/>
        <v>0.50427571737773691</v>
      </c>
      <c r="BD97" s="771">
        <f t="shared" si="126"/>
        <v>-0.14251187059744327</v>
      </c>
      <c r="BE97" s="734">
        <f t="shared" ref="BE97" si="130">+BE56/BE$16</f>
        <v>4.9787693055910617E-2</v>
      </c>
      <c r="BF97" s="734">
        <f>+BF56/BF$16</f>
        <v>0.18970474744205734</v>
      </c>
      <c r="BG97" s="734">
        <f>+BG56/BG$16</f>
        <v>0.15250495776048709</v>
      </c>
      <c r="BH97" s="734">
        <f>+BH56/BH$16</f>
        <v>-7.7923796349201574E-2</v>
      </c>
      <c r="BI97" s="771">
        <f t="shared" si="127"/>
        <v>7.7669173508735603E-2</v>
      </c>
      <c r="BJ97" s="734">
        <f t="shared" si="128"/>
        <v>0.13252560579565326</v>
      </c>
      <c r="BK97" s="734">
        <f t="shared" si="128"/>
        <v>6.7361566806319717E-2</v>
      </c>
      <c r="BL97" s="734">
        <f t="shared" si="128"/>
        <v>6.733461589744566E-2</v>
      </c>
      <c r="BM97" s="734">
        <f t="shared" si="128"/>
        <v>-8.7649653831832319E-2</v>
      </c>
      <c r="BN97" s="771">
        <f t="shared" si="127"/>
        <v>4.5091513094236271E-2</v>
      </c>
      <c r="BO97" s="734">
        <f>+BO56/BO$16</f>
        <v>-1.6492131010895521E-2</v>
      </c>
      <c r="BP97" s="734">
        <f t="shared" si="129"/>
        <v>6.1415843145500429E-2</v>
      </c>
      <c r="BQ97" s="734">
        <f t="shared" si="129"/>
        <v>0.10631367248030067</v>
      </c>
      <c r="BR97" s="734">
        <f t="shared" si="129"/>
        <v>2.6978346585624646E-2</v>
      </c>
      <c r="BS97" s="771">
        <f t="shared" si="127"/>
        <v>4.458867050196811E-2</v>
      </c>
      <c r="BT97" s="734">
        <f>+BT56/BT$16</f>
        <v>5.9930541904200239E-2</v>
      </c>
      <c r="BU97" s="734">
        <f t="shared" si="127"/>
        <v>0</v>
      </c>
      <c r="BV97" s="734">
        <f t="shared" si="127"/>
        <v>0</v>
      </c>
      <c r="BW97" s="734">
        <f t="shared" si="127"/>
        <v>0</v>
      </c>
      <c r="BX97" s="771">
        <f t="shared" si="127"/>
        <v>1.5025252285043702E-2</v>
      </c>
      <c r="BY97" s="734">
        <f t="shared" si="127"/>
        <v>0</v>
      </c>
      <c r="BZ97" s="734">
        <f t="shared" si="127"/>
        <v>0</v>
      </c>
      <c r="CA97" s="734">
        <f t="shared" si="127"/>
        <v>0</v>
      </c>
      <c r="CB97" s="734">
        <f t="shared" si="127"/>
        <v>0</v>
      </c>
      <c r="CC97" s="771">
        <f t="shared" si="127"/>
        <v>0</v>
      </c>
      <c r="CD97" s="734">
        <f t="shared" si="127"/>
        <v>0</v>
      </c>
      <c r="CE97" s="734">
        <f t="shared" si="127"/>
        <v>0</v>
      </c>
      <c r="CF97" s="734">
        <f t="shared" si="127"/>
        <v>0</v>
      </c>
      <c r="CG97" s="734">
        <f t="shared" si="127"/>
        <v>0</v>
      </c>
      <c r="CH97" s="771">
        <f t="shared" si="127"/>
        <v>0</v>
      </c>
      <c r="CI97" s="734">
        <f t="shared" si="127"/>
        <v>0</v>
      </c>
      <c r="CJ97" s="734">
        <f t="shared" si="127"/>
        <v>0</v>
      </c>
      <c r="CK97" s="734">
        <f t="shared" si="127"/>
        <v>0</v>
      </c>
      <c r="CL97" s="734">
        <f t="shared" si="127"/>
        <v>0</v>
      </c>
      <c r="CM97" s="771">
        <f t="shared" si="127"/>
        <v>0</v>
      </c>
      <c r="CN97" s="734">
        <f t="shared" si="127"/>
        <v>0</v>
      </c>
      <c r="CO97" s="734">
        <f t="shared" si="127"/>
        <v>0</v>
      </c>
      <c r="CP97" s="734">
        <f t="shared" si="127"/>
        <v>0</v>
      </c>
      <c r="CQ97" s="734">
        <f t="shared" si="127"/>
        <v>0</v>
      </c>
      <c r="CR97" s="771">
        <f t="shared" si="127"/>
        <v>0</v>
      </c>
    </row>
    <row r="98" spans="1:96" ht="12" customHeight="1">
      <c r="A98" s="1046" t="str">
        <f>+A60</f>
        <v>GAAP Net Income / (Loss)</v>
      </c>
      <c r="F98" s="1030"/>
      <c r="G98" s="734"/>
      <c r="H98" s="734"/>
      <c r="I98" s="734"/>
      <c r="J98" s="734"/>
      <c r="K98" s="771"/>
      <c r="L98" s="734"/>
      <c r="M98" s="734"/>
      <c r="N98" s="734"/>
      <c r="O98" s="734"/>
      <c r="P98" s="771"/>
      <c r="Q98" s="734"/>
      <c r="R98" s="734"/>
      <c r="S98" s="734"/>
      <c r="T98" s="734"/>
      <c r="U98" s="771"/>
      <c r="V98" s="734"/>
      <c r="W98" s="734"/>
      <c r="X98" s="734"/>
      <c r="Y98" s="734"/>
      <c r="Z98" s="771"/>
      <c r="AA98" s="734"/>
      <c r="AB98" s="734"/>
      <c r="AC98" s="734"/>
      <c r="AD98" s="734"/>
      <c r="AE98" s="771"/>
      <c r="AF98" s="734"/>
      <c r="AG98" s="734"/>
      <c r="AH98" s="734"/>
      <c r="AI98" s="734"/>
      <c r="AJ98" s="771"/>
      <c r="AK98" s="734"/>
      <c r="AL98" s="734"/>
      <c r="AM98" s="734"/>
      <c r="AN98" s="734"/>
      <c r="AO98" s="771">
        <f>+AO60/AO$16</f>
        <v>-0.14968664112083577</v>
      </c>
      <c r="AP98" s="734">
        <f t="shared" ref="AP98:BE98" si="131">+AP60/AP$16</f>
        <v>-0.20833333333333334</v>
      </c>
      <c r="AQ98" s="734">
        <f t="shared" si="131"/>
        <v>-0.55702917771883276</v>
      </c>
      <c r="AR98" s="734">
        <f t="shared" si="131"/>
        <v>-0.31204888846116796</v>
      </c>
      <c r="AS98" s="734">
        <f t="shared" si="131"/>
        <v>-0.24271152612445637</v>
      </c>
      <c r="AT98" s="771">
        <f t="shared" si="131"/>
        <v>-0.33224954277585866</v>
      </c>
      <c r="AU98" s="734">
        <f t="shared" si="131"/>
        <v>-0.28574178335979966</v>
      </c>
      <c r="AV98" s="734">
        <f t="shared" si="131"/>
        <v>-0.21438087439040801</v>
      </c>
      <c r="AW98" s="734">
        <f t="shared" si="131"/>
        <v>-0.32191577169634067</v>
      </c>
      <c r="AX98" s="734">
        <f t="shared" si="131"/>
        <v>0.37489722594524</v>
      </c>
      <c r="AY98" s="771">
        <f t="shared" si="131"/>
        <v>-0.10382494249709157</v>
      </c>
      <c r="AZ98" s="734">
        <f t="shared" si="131"/>
        <v>-1.9065282734242195</v>
      </c>
      <c r="BA98" s="734">
        <f t="shared" si="131"/>
        <v>-0.25994235062092297</v>
      </c>
      <c r="BB98" s="734">
        <f t="shared" si="131"/>
        <v>-0.43616516051995979</v>
      </c>
      <c r="BC98" s="734">
        <f t="shared" si="131"/>
        <v>0.4496009773068288</v>
      </c>
      <c r="BD98" s="771">
        <f t="shared" si="131"/>
        <v>-0.39637672841116628</v>
      </c>
      <c r="BE98" s="734">
        <f t="shared" si="131"/>
        <v>-7.8693860245290861E-2</v>
      </c>
      <c r="BF98" s="734">
        <f>+BF60/BF$16</f>
        <v>-2.549136149767234</v>
      </c>
      <c r="BG98" s="734">
        <f>+BG60/BG$16</f>
        <v>3.3373157138265212E-2</v>
      </c>
      <c r="BH98" s="734">
        <f>+BH60/BH$16</f>
        <v>-1.825393197606231</v>
      </c>
      <c r="BI98" s="771">
        <f t="shared" ref="BI98:CR98" si="132">+BI60/BI$14</f>
        <v>-1.1042401662028622</v>
      </c>
      <c r="BJ98" s="734">
        <f>+BJ60/BJ$16</f>
        <v>-2.2538346240319762</v>
      </c>
      <c r="BK98" s="734">
        <f>+BK60/BK$16</f>
        <v>-0.24373454141638473</v>
      </c>
      <c r="BL98" s="734">
        <f>+BL60/BL$16</f>
        <v>-4.6986990228385306</v>
      </c>
      <c r="BM98" s="734">
        <f>+BM60/BM$16</f>
        <v>-0.28737953537100269</v>
      </c>
      <c r="BN98" s="771">
        <f t="shared" si="132"/>
        <v>-1.8675778578340063</v>
      </c>
      <c r="BO98" s="734">
        <f>+BO60/BO$16</f>
        <v>-0.28305868499566683</v>
      </c>
      <c r="BP98" s="734">
        <f>+BP60/BP$16</f>
        <v>-0.21586548570227077</v>
      </c>
      <c r="BQ98" s="734">
        <f>+BQ60/BQ$16</f>
        <v>-2.5165276449836806</v>
      </c>
      <c r="BR98" s="734">
        <f>+BR60/BR$16</f>
        <v>-1.7586030731343087</v>
      </c>
      <c r="BS98" s="771">
        <f t="shared" si="132"/>
        <v>-1.1943382130303708</v>
      </c>
      <c r="BT98" s="734">
        <f>+BT60/BT$16</f>
        <v>-0.10171679444335235</v>
      </c>
      <c r="BU98" s="734">
        <f t="shared" si="132"/>
        <v>-0.14265649710037792</v>
      </c>
      <c r="BV98" s="734">
        <f t="shared" si="132"/>
        <v>-0.14076218527228307</v>
      </c>
      <c r="BW98" s="734">
        <f t="shared" si="132"/>
        <v>-9.3742698091198937E-2</v>
      </c>
      <c r="BX98" s="771">
        <f t="shared" si="132"/>
        <v>-0.11953929069351833</v>
      </c>
      <c r="BY98" s="734">
        <f t="shared" si="132"/>
        <v>-0.10498886544146986</v>
      </c>
      <c r="BZ98" s="734">
        <f t="shared" si="132"/>
        <v>-0.1383246569196592</v>
      </c>
      <c r="CA98" s="734">
        <f t="shared" si="132"/>
        <v>-0.12622071839241855</v>
      </c>
      <c r="CB98" s="734">
        <f t="shared" si="132"/>
        <v>-6.919810357827394E-2</v>
      </c>
      <c r="CC98" s="771">
        <f t="shared" si="132"/>
        <v>-0.10935950727030554</v>
      </c>
      <c r="CD98" s="734">
        <f t="shared" si="132"/>
        <v>-2.4833385135667123E-2</v>
      </c>
      <c r="CE98" s="734">
        <f t="shared" si="132"/>
        <v>-7.2454737082847331E-2</v>
      </c>
      <c r="CF98" s="734">
        <f t="shared" si="132"/>
        <v>-6.0372722039802998E-2</v>
      </c>
      <c r="CG98" s="734">
        <f t="shared" si="132"/>
        <v>-5.450176174465575E-3</v>
      </c>
      <c r="CH98" s="771">
        <f t="shared" si="132"/>
        <v>-4.0367759014162882E-2</v>
      </c>
      <c r="CI98" s="734">
        <f t="shared" si="132"/>
        <v>1.1398797798693095E-2</v>
      </c>
      <c r="CJ98" s="734">
        <f t="shared" si="132"/>
        <v>-4.8595411994325585E-2</v>
      </c>
      <c r="CK98" s="734">
        <f t="shared" si="132"/>
        <v>-3.3718670206009348E-2</v>
      </c>
      <c r="CL98" s="734">
        <f t="shared" si="132"/>
        <v>2.111536940554249E-2</v>
      </c>
      <c r="CM98" s="771">
        <f t="shared" si="132"/>
        <v>-1.1851542773129288E-2</v>
      </c>
      <c r="CN98" s="734">
        <f t="shared" si="132"/>
        <v>4.7149897796162119E-2</v>
      </c>
      <c r="CO98" s="734">
        <f t="shared" si="132"/>
        <v>-2.5896425991613826E-2</v>
      </c>
      <c r="CP98" s="734">
        <f t="shared" si="132"/>
        <v>-7.2707146874614638E-3</v>
      </c>
      <c r="CQ98" s="734">
        <f t="shared" si="132"/>
        <v>4.678203934892048E-2</v>
      </c>
      <c r="CR98" s="771">
        <f t="shared" si="132"/>
        <v>1.6079581327399603E-2</v>
      </c>
    </row>
    <row r="99" spans="1:96" ht="12" customHeight="1">
      <c r="A99" s="1047" t="str">
        <f>+A73</f>
        <v>Non-GAAP Net loss attributable E2open</v>
      </c>
      <c r="B99" s="956"/>
      <c r="C99" s="956"/>
      <c r="D99" s="956"/>
      <c r="E99" s="956"/>
      <c r="F99" s="1043"/>
      <c r="G99" s="780"/>
      <c r="H99" s="780"/>
      <c r="I99" s="780"/>
      <c r="J99" s="780"/>
      <c r="K99" s="1044"/>
      <c r="L99" s="780"/>
      <c r="M99" s="780"/>
      <c r="N99" s="780"/>
      <c r="O99" s="780"/>
      <c r="P99" s="1044"/>
      <c r="Q99" s="780"/>
      <c r="R99" s="780"/>
      <c r="S99" s="780"/>
      <c r="T99" s="780"/>
      <c r="U99" s="1044"/>
      <c r="V99" s="780"/>
      <c r="W99" s="780"/>
      <c r="X99" s="780"/>
      <c r="Y99" s="780"/>
      <c r="Z99" s="1044"/>
      <c r="AA99" s="780"/>
      <c r="AB99" s="780"/>
      <c r="AC99" s="780"/>
      <c r="AD99" s="780"/>
      <c r="AE99" s="1044"/>
      <c r="AF99" s="780"/>
      <c r="AG99" s="780"/>
      <c r="AH99" s="780"/>
      <c r="AI99" s="780"/>
      <c r="AJ99" s="1044"/>
      <c r="AK99" s="780"/>
      <c r="AL99" s="780"/>
      <c r="AM99" s="780"/>
      <c r="AN99" s="780"/>
      <c r="AO99" s="1044"/>
      <c r="AP99" s="780"/>
      <c r="AQ99" s="780"/>
      <c r="AR99" s="780"/>
      <c r="AS99" s="780"/>
      <c r="AT99" s="1044">
        <f>+AT73/AT$16</f>
        <v>-2.1713787520239204E-2</v>
      </c>
      <c r="AU99" s="780">
        <f t="shared" ref="AU99:BE99" si="133">+AU73/AU$16</f>
        <v>4.2880515855829977E-2</v>
      </c>
      <c r="AV99" s="780">
        <f t="shared" si="133"/>
        <v>5.8920273292836362E-2</v>
      </c>
      <c r="AW99" s="780">
        <f t="shared" si="133"/>
        <v>6.1283762086559342E-2</v>
      </c>
      <c r="AX99" s="780">
        <f t="shared" si="133"/>
        <v>8.6060346672373028E-2</v>
      </c>
      <c r="AY99" s="1044">
        <f t="shared" si="133"/>
        <v>6.2694954841345213E-2</v>
      </c>
      <c r="AZ99" s="780">
        <f t="shared" si="133"/>
        <v>0.16587916108478087</v>
      </c>
      <c r="BA99" s="780">
        <f t="shared" si="133"/>
        <v>0.18339091047008085</v>
      </c>
      <c r="BB99" s="780">
        <f t="shared" si="133"/>
        <v>0.15015305707074816</v>
      </c>
      <c r="BC99" s="780">
        <f t="shared" si="133"/>
        <v>0.17885353676187452</v>
      </c>
      <c r="BD99" s="1044">
        <f t="shared" si="133"/>
        <v>0.16870144951734928</v>
      </c>
      <c r="BE99" s="780">
        <f t="shared" si="133"/>
        <v>0.13830890192728565</v>
      </c>
      <c r="BF99" s="780">
        <f>+BF73/BF$16</f>
        <v>0.10664766362120039</v>
      </c>
      <c r="BG99" s="780">
        <f>+BG73/BG$16</f>
        <v>0.13161140861043225</v>
      </c>
      <c r="BH99" s="780">
        <f>+BH73/BH$16</f>
        <v>0.14372188975430797</v>
      </c>
      <c r="BI99" s="1044">
        <f t="shared" ref="BI99:BS99" si="134">+BI73/BI$14</f>
        <v>0.13019565634031721</v>
      </c>
      <c r="BJ99" s="780">
        <f>+BJ73/BJ$16</f>
        <v>9.9115163627279582E-2</v>
      </c>
      <c r="BK99" s="780">
        <f>+BK73/BK$16</f>
        <v>0.10649437181363883</v>
      </c>
      <c r="BL99" s="780">
        <f>+BL73/BL$16</f>
        <v>0.10353568639402662</v>
      </c>
      <c r="BM99" s="780">
        <f>+BM73/BM$16</f>
        <v>0.10220373748019862</v>
      </c>
      <c r="BN99" s="1044">
        <f t="shared" si="134"/>
        <v>0.10282661522896416</v>
      </c>
      <c r="BO99" s="780">
        <f>+BO73/BO$16</f>
        <v>8.6099111555076352E-2</v>
      </c>
      <c r="BP99" s="780">
        <f>+BP73/BP$16</f>
        <v>0.10894738225399496</v>
      </c>
      <c r="BQ99" s="780">
        <f>+BQ73/BQ$16</f>
        <v>0.10862154231644201</v>
      </c>
      <c r="BR99" s="780">
        <f>+BR73/BR$16</f>
        <v>0.13248405140229777</v>
      </c>
      <c r="BS99" s="1044">
        <f t="shared" si="134"/>
        <v>0.10909433788391412</v>
      </c>
      <c r="BT99" s="780">
        <f>+BT73/BT$16</f>
        <v>0.11370368914225812</v>
      </c>
      <c r="BU99" s="780">
        <f t="shared" ref="BU99:CR99" si="135">+BU73/BU$14</f>
        <v>0.10454601561952868</v>
      </c>
      <c r="BV99" s="780">
        <f t="shared" si="135"/>
        <v>9.268877556954716E-2</v>
      </c>
      <c r="BW99" s="780">
        <f t="shared" si="135"/>
        <v>0.12026469847388557</v>
      </c>
      <c r="BX99" s="1044">
        <f t="shared" si="135"/>
        <v>0.10786983814198135</v>
      </c>
      <c r="BY99" s="780">
        <f t="shared" si="135"/>
        <v>0.11940373804892383</v>
      </c>
      <c r="BZ99" s="780">
        <f t="shared" si="135"/>
        <v>0.10530109541431647</v>
      </c>
      <c r="CA99" s="780">
        <f t="shared" si="135"/>
        <v>0.10010942313915044</v>
      </c>
      <c r="CB99" s="780">
        <f t="shared" si="135"/>
        <v>0.13472781750317203</v>
      </c>
      <c r="CC99" s="1044">
        <f t="shared" si="135"/>
        <v>0.11503112842271261</v>
      </c>
      <c r="CD99" s="780">
        <f t="shared" si="135"/>
        <v>0.1438868429583639</v>
      </c>
      <c r="CE99" s="780">
        <f t="shared" si="135"/>
        <v>0.12038399920049966</v>
      </c>
      <c r="CF99" s="780">
        <f t="shared" si="135"/>
        <v>0.11532355772719598</v>
      </c>
      <c r="CG99" s="780">
        <f t="shared" si="135"/>
        <v>0.14906991844174308</v>
      </c>
      <c r="CH99" s="1044">
        <f t="shared" si="135"/>
        <v>0.13236961870396396</v>
      </c>
      <c r="CI99" s="780">
        <f t="shared" si="135"/>
        <v>0.16532840855668077</v>
      </c>
      <c r="CJ99" s="780">
        <f t="shared" si="135"/>
        <v>0.13441353008022131</v>
      </c>
      <c r="CK99" s="780">
        <f t="shared" si="135"/>
        <v>0.13118664701174973</v>
      </c>
      <c r="CL99" s="780">
        <f t="shared" si="135"/>
        <v>0.1649472028699569</v>
      </c>
      <c r="CM99" s="1044">
        <f t="shared" si="135"/>
        <v>0.14928940479429847</v>
      </c>
      <c r="CN99" s="780">
        <f t="shared" si="135"/>
        <v>0.18669126019566032</v>
      </c>
      <c r="CO99" s="780">
        <f t="shared" si="135"/>
        <v>0.14780916060673804</v>
      </c>
      <c r="CP99" s="780">
        <f t="shared" si="135"/>
        <v>0.14691974659126669</v>
      </c>
      <c r="CQ99" s="780">
        <f t="shared" si="135"/>
        <v>0.18016770033427099</v>
      </c>
      <c r="CR99" s="1044">
        <f t="shared" si="135"/>
        <v>0.1658914738856527</v>
      </c>
    </row>
    <row r="100" spans="1:96" ht="12" customHeight="1">
      <c r="A100" s="1047"/>
      <c r="B100" s="956"/>
      <c r="C100" s="956"/>
      <c r="D100" s="956"/>
      <c r="E100" s="956"/>
      <c r="F100" s="1043"/>
      <c r="G100" s="780"/>
      <c r="H100" s="780"/>
      <c r="I100" s="780"/>
      <c r="J100" s="780"/>
      <c r="K100" s="1044"/>
      <c r="L100" s="780"/>
      <c r="M100" s="780"/>
      <c r="N100" s="780"/>
      <c r="O100" s="780"/>
      <c r="P100" s="1044"/>
      <c r="Q100" s="780"/>
      <c r="R100" s="780"/>
      <c r="S100" s="780"/>
      <c r="T100" s="780"/>
      <c r="U100" s="1044"/>
      <c r="V100" s="780"/>
      <c r="W100" s="780"/>
      <c r="X100" s="780"/>
      <c r="Y100" s="780"/>
      <c r="Z100" s="1044"/>
      <c r="AA100" s="780"/>
      <c r="AB100" s="780"/>
      <c r="AC100" s="780"/>
      <c r="AD100" s="780"/>
      <c r="AE100" s="1044"/>
      <c r="AF100" s="780"/>
      <c r="AG100" s="780"/>
      <c r="AH100" s="780"/>
      <c r="AI100" s="780"/>
      <c r="AJ100" s="1044"/>
      <c r="AK100" s="780"/>
      <c r="AL100" s="780"/>
      <c r="AM100" s="780"/>
      <c r="AN100" s="780"/>
      <c r="AO100" s="1044"/>
      <c r="AP100" s="780"/>
      <c r="AQ100" s="780"/>
      <c r="AR100" s="780"/>
      <c r="AS100" s="780"/>
      <c r="AT100" s="1044"/>
      <c r="AU100" s="780"/>
      <c r="AV100" s="780"/>
      <c r="AW100" s="780"/>
      <c r="AX100" s="780"/>
      <c r="AY100" s="1044"/>
      <c r="AZ100" s="780"/>
      <c r="BA100" s="780"/>
      <c r="BB100" s="780"/>
      <c r="BC100" s="780"/>
      <c r="BD100" s="1044"/>
      <c r="BE100" s="780"/>
      <c r="BF100" s="780"/>
      <c r="BG100" s="780"/>
      <c r="BH100" s="780"/>
      <c r="BI100" s="1044"/>
      <c r="BJ100" s="780"/>
      <c r="BK100" s="780"/>
      <c r="BL100" s="780"/>
      <c r="BM100" s="780"/>
      <c r="BN100" s="1044"/>
      <c r="BO100" s="780"/>
      <c r="BP100" s="780"/>
      <c r="BQ100" s="780"/>
      <c r="BR100" s="780"/>
      <c r="BS100" s="1044"/>
      <c r="BT100" s="780"/>
      <c r="BU100" s="780"/>
      <c r="BV100" s="780"/>
      <c r="BW100" s="780"/>
      <c r="BX100" s="1044"/>
      <c r="BY100" s="780"/>
      <c r="BZ100" s="780"/>
      <c r="CA100" s="780"/>
      <c r="CB100" s="780"/>
      <c r="CC100" s="1044"/>
      <c r="CD100" s="780"/>
      <c r="CE100" s="780"/>
      <c r="CF100" s="780"/>
      <c r="CG100" s="780"/>
      <c r="CH100" s="1044"/>
      <c r="CI100" s="780"/>
      <c r="CJ100" s="780"/>
      <c r="CK100" s="780"/>
      <c r="CL100" s="780"/>
      <c r="CM100" s="1044"/>
      <c r="CN100" s="780"/>
      <c r="CO100" s="780"/>
      <c r="CP100" s="780"/>
      <c r="CQ100" s="780"/>
      <c r="CR100" s="1044"/>
    </row>
    <row r="101" spans="1:96" ht="12" customHeight="1">
      <c r="A101" s="1046" t="s">
        <v>1009</v>
      </c>
      <c r="B101" s="956"/>
      <c r="C101" s="956"/>
      <c r="D101" s="956"/>
      <c r="E101" s="956"/>
      <c r="F101" s="1043"/>
      <c r="G101" s="780"/>
      <c r="H101" s="780"/>
      <c r="I101" s="780"/>
      <c r="J101" s="780"/>
      <c r="K101" s="1044"/>
      <c r="L101" s="780"/>
      <c r="M101" s="780"/>
      <c r="N101" s="780"/>
      <c r="O101" s="780"/>
      <c r="P101" s="1044"/>
      <c r="Q101" s="734"/>
      <c r="R101" s="734"/>
      <c r="S101" s="734"/>
      <c r="T101" s="734"/>
      <c r="U101" s="771"/>
      <c r="V101" s="734"/>
      <c r="W101" s="734"/>
      <c r="X101" s="734"/>
      <c r="Y101" s="734"/>
      <c r="Z101" s="771"/>
      <c r="AA101" s="734"/>
      <c r="AB101" s="734"/>
      <c r="AC101" s="734"/>
      <c r="AD101" s="734"/>
      <c r="AE101" s="771"/>
      <c r="AF101" s="734"/>
      <c r="AG101" s="734"/>
      <c r="AH101" s="734"/>
      <c r="AI101" s="734"/>
      <c r="AJ101" s="771"/>
      <c r="AK101" s="734"/>
      <c r="AL101" s="734"/>
      <c r="AM101" s="734"/>
      <c r="AN101" s="734"/>
      <c r="AO101" s="771">
        <f>+AO17/AO12</f>
        <v>0.21829152401161203</v>
      </c>
      <c r="AP101" s="734">
        <f>+AP17/AP12</f>
        <v>0.24291497975708504</v>
      </c>
      <c r="AQ101" s="734">
        <f t="shared" ref="AQ101:BR102" si="136">+AQ17/AQ12</f>
        <v>0.24834437086092717</v>
      </c>
      <c r="AR101" s="734">
        <f t="shared" si="136"/>
        <v>0.24911144104017638</v>
      </c>
      <c r="AS101" s="734">
        <f t="shared" si="136"/>
        <v>0.22965925925925926</v>
      </c>
      <c r="AT101" s="771">
        <f t="shared" si="136"/>
        <v>0.24228525991778052</v>
      </c>
      <c r="AU101" s="734">
        <f t="shared" si="136"/>
        <v>0.20312051031549908</v>
      </c>
      <c r="AV101" s="734">
        <f t="shared" si="136"/>
        <v>0.21525313246903743</v>
      </c>
      <c r="AW101" s="734">
        <f t="shared" si="136"/>
        <v>0.22121806348935688</v>
      </c>
      <c r="AX101" s="734">
        <f t="shared" si="136"/>
        <v>0.29098455509095678</v>
      </c>
      <c r="AY101" s="771">
        <f t="shared" si="136"/>
        <v>0.23162688442211052</v>
      </c>
      <c r="AZ101" s="734">
        <f t="shared" si="136"/>
        <v>0.323470627424854</v>
      </c>
      <c r="BA101" s="734">
        <f t="shared" si="136"/>
        <v>0.26319967598217897</v>
      </c>
      <c r="BB101" s="734">
        <f t="shared" si="136"/>
        <v>0.28197889108059349</v>
      </c>
      <c r="BC101" s="734">
        <f t="shared" si="136"/>
        <v>0.26039687748264317</v>
      </c>
      <c r="BD101" s="771">
        <f t="shared" si="136"/>
        <v>0.27738635957226138</v>
      </c>
      <c r="BE101" s="734">
        <f t="shared" si="136"/>
        <v>0.2557681768006978</v>
      </c>
      <c r="BF101" s="734">
        <f t="shared" si="136"/>
        <v>0.27580705206615963</v>
      </c>
      <c r="BG101" s="734">
        <f t="shared" si="136"/>
        <v>0.26638444885976098</v>
      </c>
      <c r="BH101" s="734">
        <f t="shared" si="136"/>
        <v>0.25637747647711995</v>
      </c>
      <c r="BI101" s="771">
        <f t="shared" si="136"/>
        <v>0.26356062596164664</v>
      </c>
      <c r="BJ101" s="734">
        <f t="shared" si="136"/>
        <v>0.27089093645063489</v>
      </c>
      <c r="BK101" s="734">
        <f t="shared" si="136"/>
        <v>0.27298232072082768</v>
      </c>
      <c r="BL101" s="734">
        <f t="shared" si="136"/>
        <v>0.27627259036144575</v>
      </c>
      <c r="BM101" s="734">
        <f t="shared" si="136"/>
        <v>0.26789475642886384</v>
      </c>
      <c r="BN101" s="771">
        <f t="shared" si="136"/>
        <v>0.27199734720338603</v>
      </c>
      <c r="BO101" s="734">
        <f t="shared" si="136"/>
        <v>0.28232778302030376</v>
      </c>
      <c r="BP101" s="734">
        <f t="shared" si="136"/>
        <v>0.27605944281859296</v>
      </c>
      <c r="BQ101" s="734">
        <f t="shared" si="136"/>
        <v>0.27</v>
      </c>
      <c r="BR101" s="734">
        <f t="shared" si="136"/>
        <v>0.27528026526515237</v>
      </c>
      <c r="BS101" s="771">
        <f>+BS17/BS12</f>
        <v>0.27590831088836615</v>
      </c>
      <c r="BT101" s="734">
        <f t="shared" ref="BT101:BT102" si="137">+BT17/BT12</f>
        <v>0.2888913976066832</v>
      </c>
      <c r="BU101" s="734">
        <f t="shared" ref="BU101:BW102" si="138">1-BU103</f>
        <v>0.27749999999999997</v>
      </c>
      <c r="BV101" s="734">
        <f t="shared" si="138"/>
        <v>0.27749999999999997</v>
      </c>
      <c r="BW101" s="734">
        <f t="shared" si="138"/>
        <v>0.27749999999999997</v>
      </c>
      <c r="BX101" s="771">
        <f>+BX17/BX12</f>
        <v>0.28034814199075947</v>
      </c>
      <c r="BY101" s="734">
        <f t="shared" ref="BY101:CB102" si="139">1-BY103</f>
        <v>0.27500000000000002</v>
      </c>
      <c r="BZ101" s="734">
        <f t="shared" si="139"/>
        <v>0.27500000000000002</v>
      </c>
      <c r="CA101" s="734">
        <f t="shared" si="139"/>
        <v>0.27500000000000002</v>
      </c>
      <c r="CB101" s="734">
        <f t="shared" si="139"/>
        <v>0.27500000000000002</v>
      </c>
      <c r="CC101" s="771">
        <f>+CC17/CC12</f>
        <v>0.27499999999999997</v>
      </c>
      <c r="CD101" s="734">
        <f t="shared" ref="CD101:CG102" si="140">1-CD103</f>
        <v>0.27500000000000002</v>
      </c>
      <c r="CE101" s="734">
        <f t="shared" si="140"/>
        <v>0.27500000000000002</v>
      </c>
      <c r="CF101" s="734">
        <f t="shared" si="140"/>
        <v>0.27500000000000002</v>
      </c>
      <c r="CG101" s="734">
        <f t="shared" si="140"/>
        <v>0.27500000000000002</v>
      </c>
      <c r="CH101" s="771">
        <f>+CH17/CH12</f>
        <v>0.27500000000000002</v>
      </c>
      <c r="CI101" s="734">
        <f t="shared" ref="CI101:CL102" si="141">1-CI103</f>
        <v>0.27200000000000002</v>
      </c>
      <c r="CJ101" s="734">
        <f t="shared" si="141"/>
        <v>0.27200000000000002</v>
      </c>
      <c r="CK101" s="734">
        <f t="shared" si="141"/>
        <v>0.27200000000000002</v>
      </c>
      <c r="CL101" s="734">
        <f t="shared" si="141"/>
        <v>0.27200000000000002</v>
      </c>
      <c r="CM101" s="771">
        <f>+CM17/CM12</f>
        <v>0.27199999999999996</v>
      </c>
      <c r="CN101" s="734">
        <f t="shared" ref="CN101:CQ102" si="142">1-CN103</f>
        <v>0.27</v>
      </c>
      <c r="CO101" s="734">
        <f t="shared" si="142"/>
        <v>0.27</v>
      </c>
      <c r="CP101" s="734">
        <f t="shared" si="142"/>
        <v>0.27</v>
      </c>
      <c r="CQ101" s="734">
        <f t="shared" si="142"/>
        <v>0.27</v>
      </c>
      <c r="CR101" s="771">
        <f>+CR17/CR12</f>
        <v>0.27</v>
      </c>
    </row>
    <row r="102" spans="1:96" ht="12" customHeight="1">
      <c r="A102" s="1046" t="s">
        <v>1010</v>
      </c>
      <c r="B102" s="956"/>
      <c r="C102" s="956"/>
      <c r="D102" s="956"/>
      <c r="E102" s="956"/>
      <c r="F102" s="1043"/>
      <c r="G102" s="780"/>
      <c r="H102" s="780"/>
      <c r="I102" s="780"/>
      <c r="J102" s="780"/>
      <c r="K102" s="1044"/>
      <c r="L102" s="780"/>
      <c r="M102" s="780"/>
      <c r="N102" s="780"/>
      <c r="O102" s="780"/>
      <c r="P102" s="1044"/>
      <c r="Q102" s="734"/>
      <c r="R102" s="734"/>
      <c r="S102" s="734"/>
      <c r="T102" s="734"/>
      <c r="U102" s="771"/>
      <c r="V102" s="734"/>
      <c r="W102" s="734"/>
      <c r="X102" s="734"/>
      <c r="Y102" s="734"/>
      <c r="Z102" s="771"/>
      <c r="AA102" s="734"/>
      <c r="AB102" s="734"/>
      <c r="AC102" s="734"/>
      <c r="AD102" s="734"/>
      <c r="AE102" s="771"/>
      <c r="AF102" s="734"/>
      <c r="AG102" s="734"/>
      <c r="AH102" s="734"/>
      <c r="AI102" s="734"/>
      <c r="AJ102" s="771"/>
      <c r="AK102" s="734"/>
      <c r="AL102" s="734"/>
      <c r="AM102" s="734"/>
      <c r="AN102" s="734"/>
      <c r="AO102" s="771">
        <f>+AO18/AO13</f>
        <v>0.66577680617156787</v>
      </c>
      <c r="AP102" s="734">
        <f>+AP18/AP13</f>
        <v>0.61538461538461542</v>
      </c>
      <c r="AQ102" s="734">
        <f t="shared" si="136"/>
        <v>0.66666666666666663</v>
      </c>
      <c r="AR102" s="734">
        <f t="shared" si="136"/>
        <v>0.72773150118562646</v>
      </c>
      <c r="AS102" s="734">
        <f t="shared" si="136"/>
        <v>0.74637159649754115</v>
      </c>
      <c r="AT102" s="771">
        <f t="shared" si="136"/>
        <v>0.69393498143027765</v>
      </c>
      <c r="AU102" s="734">
        <f t="shared" si="136"/>
        <v>0.82063609467455634</v>
      </c>
      <c r="AV102" s="734">
        <f t="shared" si="136"/>
        <v>0.80973243623846025</v>
      </c>
      <c r="AW102" s="734">
        <f t="shared" si="136"/>
        <v>0.82775224337929521</v>
      </c>
      <c r="AX102" s="734">
        <f t="shared" si="136"/>
        <v>0.74164039804685089</v>
      </c>
      <c r="AY102" s="771">
        <f t="shared" si="136"/>
        <v>0.79714529792838307</v>
      </c>
      <c r="AZ102" s="734">
        <f t="shared" si="136"/>
        <v>0.66304845354083575</v>
      </c>
      <c r="BA102" s="734">
        <f t="shared" si="136"/>
        <v>0.67060046471811219</v>
      </c>
      <c r="BB102" s="734">
        <f t="shared" si="136"/>
        <v>0.58558918522958081</v>
      </c>
      <c r="BC102" s="734">
        <f t="shared" si="136"/>
        <v>0.61409573529930506</v>
      </c>
      <c r="BD102" s="771">
        <f t="shared" si="136"/>
        <v>0.62316586877561675</v>
      </c>
      <c r="BE102" s="734">
        <f t="shared" si="136"/>
        <v>0.66958552247518976</v>
      </c>
      <c r="BF102" s="734">
        <f t="shared" si="136"/>
        <v>0.7703665462054724</v>
      </c>
      <c r="BG102" s="734">
        <f t="shared" si="136"/>
        <v>0.68036255789929689</v>
      </c>
      <c r="BH102" s="734">
        <f t="shared" si="136"/>
        <v>0.66354631174047718</v>
      </c>
      <c r="BI102" s="771">
        <f t="shared" si="136"/>
        <v>0.69535946342485855</v>
      </c>
      <c r="BJ102" s="734">
        <f t="shared" si="136"/>
        <v>0.77439822342070819</v>
      </c>
      <c r="BK102" s="734">
        <f t="shared" si="136"/>
        <v>0.7511997979287699</v>
      </c>
      <c r="BL102" s="734">
        <f t="shared" si="136"/>
        <v>0.71433777381868246</v>
      </c>
      <c r="BM102" s="734">
        <f t="shared" si="136"/>
        <v>0.71532331700838381</v>
      </c>
      <c r="BN102" s="771">
        <f t="shared" si="136"/>
        <v>0.73902947975696076</v>
      </c>
      <c r="BO102" s="734">
        <f t="shared" si="136"/>
        <v>0.84781618502960665</v>
      </c>
      <c r="BP102" s="734">
        <f t="shared" si="136"/>
        <v>0.80103697242816296</v>
      </c>
      <c r="BQ102" s="734">
        <f t="shared" si="136"/>
        <v>0.84182141948613576</v>
      </c>
      <c r="BR102" s="734">
        <f t="shared" si="136"/>
        <v>0.8077646221860868</v>
      </c>
      <c r="BS102" s="771">
        <f>+BS18/BS13</f>
        <v>0.82434466323842959</v>
      </c>
      <c r="BT102" s="734">
        <f t="shared" si="137"/>
        <v>0.85349544072948325</v>
      </c>
      <c r="BU102" s="734">
        <f t="shared" si="138"/>
        <v>0.82000000000000006</v>
      </c>
      <c r="BV102" s="734">
        <f t="shared" si="138"/>
        <v>0.82000000000000006</v>
      </c>
      <c r="BW102" s="734">
        <f t="shared" si="138"/>
        <v>0.82000000000000006</v>
      </c>
      <c r="BX102" s="771">
        <f>+BX18/BX13</f>
        <v>0.82855554856826552</v>
      </c>
      <c r="BY102" s="734">
        <f t="shared" si="139"/>
        <v>0.83849544072948323</v>
      </c>
      <c r="BZ102" s="734">
        <f t="shared" si="139"/>
        <v>0.81499999999999995</v>
      </c>
      <c r="CA102" s="734">
        <f t="shared" si="139"/>
        <v>0.81499999999999995</v>
      </c>
      <c r="CB102" s="734">
        <f t="shared" si="139"/>
        <v>0.81</v>
      </c>
      <c r="CC102" s="771">
        <f>+CC18/CC13</f>
        <v>0.81975359450788632</v>
      </c>
      <c r="CD102" s="734">
        <f t="shared" si="140"/>
        <v>0.83349544072948323</v>
      </c>
      <c r="CE102" s="734">
        <f t="shared" si="140"/>
        <v>0.81</v>
      </c>
      <c r="CF102" s="734">
        <f t="shared" si="140"/>
        <v>0.81</v>
      </c>
      <c r="CG102" s="734">
        <f t="shared" si="140"/>
        <v>0.80499999999999994</v>
      </c>
      <c r="CH102" s="771">
        <f>+CH18/CH13</f>
        <v>0.81475359450788643</v>
      </c>
      <c r="CI102" s="734">
        <f t="shared" si="141"/>
        <v>0.82849544072948322</v>
      </c>
      <c r="CJ102" s="734">
        <f t="shared" si="141"/>
        <v>0.80499999999999994</v>
      </c>
      <c r="CK102" s="734">
        <f t="shared" si="141"/>
        <v>0.80499999999999994</v>
      </c>
      <c r="CL102" s="734">
        <f t="shared" si="141"/>
        <v>0.8</v>
      </c>
      <c r="CM102" s="771">
        <f>+CM18/CM13</f>
        <v>0.80975359450788642</v>
      </c>
      <c r="CN102" s="734">
        <f t="shared" si="142"/>
        <v>0.82349544072948322</v>
      </c>
      <c r="CO102" s="734">
        <f t="shared" si="142"/>
        <v>0.8</v>
      </c>
      <c r="CP102" s="734">
        <f t="shared" si="142"/>
        <v>0.8</v>
      </c>
      <c r="CQ102" s="734">
        <f t="shared" si="142"/>
        <v>0.79499999999999993</v>
      </c>
      <c r="CR102" s="771">
        <f>+CR18/CR13</f>
        <v>0.80475359450788642</v>
      </c>
    </row>
    <row r="103" spans="1:96" ht="12" customHeight="1">
      <c r="A103" s="1047" t="s">
        <v>1011</v>
      </c>
      <c r="B103" s="956"/>
      <c r="C103" s="956"/>
      <c r="D103" s="956"/>
      <c r="E103" s="956"/>
      <c r="F103" s="1043"/>
      <c r="G103" s="780"/>
      <c r="H103" s="780"/>
      <c r="I103" s="780"/>
      <c r="J103" s="780"/>
      <c r="K103" s="1044"/>
      <c r="L103" s="780"/>
      <c r="M103" s="780"/>
      <c r="N103" s="780"/>
      <c r="O103" s="780"/>
      <c r="P103" s="1044"/>
      <c r="Q103" s="780"/>
      <c r="R103" s="780"/>
      <c r="S103" s="780"/>
      <c r="T103" s="780"/>
      <c r="U103" s="1044"/>
      <c r="V103" s="780"/>
      <c r="W103" s="780"/>
      <c r="X103" s="780"/>
      <c r="Y103" s="780"/>
      <c r="Z103" s="1044"/>
      <c r="AA103" s="780"/>
      <c r="AB103" s="780"/>
      <c r="AC103" s="780"/>
      <c r="AD103" s="780"/>
      <c r="AE103" s="1044"/>
      <c r="AF103" s="780"/>
      <c r="AG103" s="780"/>
      <c r="AH103" s="780"/>
      <c r="AI103" s="780"/>
      <c r="AJ103" s="1044"/>
      <c r="AK103" s="780"/>
      <c r="AL103" s="780"/>
      <c r="AM103" s="780"/>
      <c r="AN103" s="780"/>
      <c r="AO103" s="1044">
        <f>1-AO101</f>
        <v>0.781708475988388</v>
      </c>
      <c r="AP103" s="780">
        <f t="shared" ref="AP103:BR104" si="143">1-AP101</f>
        <v>0.75708502024291491</v>
      </c>
      <c r="AQ103" s="780">
        <f t="shared" si="143"/>
        <v>0.7516556291390728</v>
      </c>
      <c r="AR103" s="780">
        <f t="shared" si="143"/>
        <v>0.75088855895982365</v>
      </c>
      <c r="AS103" s="780">
        <f t="shared" si="143"/>
        <v>0.77034074074074077</v>
      </c>
      <c r="AT103" s="1044">
        <f t="shared" si="143"/>
        <v>0.75771474008221951</v>
      </c>
      <c r="AU103" s="780">
        <f t="shared" si="143"/>
        <v>0.79687948968450095</v>
      </c>
      <c r="AV103" s="780">
        <f t="shared" si="143"/>
        <v>0.78474686753096257</v>
      </c>
      <c r="AW103" s="780">
        <f t="shared" si="143"/>
        <v>0.77878193651064309</v>
      </c>
      <c r="AX103" s="780">
        <f t="shared" si="143"/>
        <v>0.70901544490904322</v>
      </c>
      <c r="AY103" s="1044">
        <f t="shared" si="143"/>
        <v>0.76837311557788945</v>
      </c>
      <c r="AZ103" s="780">
        <f t="shared" si="143"/>
        <v>0.676529372575146</v>
      </c>
      <c r="BA103" s="780">
        <f t="shared" si="143"/>
        <v>0.73680032401782103</v>
      </c>
      <c r="BB103" s="780">
        <f t="shared" si="143"/>
        <v>0.71802110891940651</v>
      </c>
      <c r="BC103" s="780">
        <f t="shared" si="143"/>
        <v>0.73960312251735683</v>
      </c>
      <c r="BD103" s="1044">
        <f t="shared" si="143"/>
        <v>0.72261364042773857</v>
      </c>
      <c r="BE103" s="780">
        <f t="shared" si="143"/>
        <v>0.74423182319930214</v>
      </c>
      <c r="BF103" s="780">
        <f t="shared" si="143"/>
        <v>0.72419294793384037</v>
      </c>
      <c r="BG103" s="780">
        <f t="shared" si="143"/>
        <v>0.73361555114023902</v>
      </c>
      <c r="BH103" s="780">
        <f t="shared" si="143"/>
        <v>0.74362252352288005</v>
      </c>
      <c r="BI103" s="1044">
        <f t="shared" si="143"/>
        <v>0.73643937403835336</v>
      </c>
      <c r="BJ103" s="780">
        <f t="shared" si="143"/>
        <v>0.72910906354936511</v>
      </c>
      <c r="BK103" s="780">
        <f t="shared" si="143"/>
        <v>0.72701767927917227</v>
      </c>
      <c r="BL103" s="780">
        <f t="shared" si="143"/>
        <v>0.7237274096385542</v>
      </c>
      <c r="BM103" s="780">
        <f t="shared" si="143"/>
        <v>0.73210524357113616</v>
      </c>
      <c r="BN103" s="1044">
        <f t="shared" si="143"/>
        <v>0.72800265279661391</v>
      </c>
      <c r="BO103" s="780">
        <f t="shared" si="143"/>
        <v>0.7176722169796963</v>
      </c>
      <c r="BP103" s="780">
        <f t="shared" si="143"/>
        <v>0.72394055718140704</v>
      </c>
      <c r="BQ103" s="780">
        <f t="shared" si="143"/>
        <v>0.73</v>
      </c>
      <c r="BR103" s="780">
        <f t="shared" si="143"/>
        <v>0.72471973473484763</v>
      </c>
      <c r="BS103" s="1044">
        <f>1-BS101</f>
        <v>0.7240916891116338</v>
      </c>
      <c r="BT103" s="780">
        <f t="shared" ref="BT103:BT104" si="144">1-BT101</f>
        <v>0.71110860239331686</v>
      </c>
      <c r="BU103" s="1048">
        <v>0.72250000000000003</v>
      </c>
      <c r="BV103" s="1048">
        <v>0.72250000000000003</v>
      </c>
      <c r="BW103" s="1048">
        <v>0.72250000000000003</v>
      </c>
      <c r="BX103" s="1044">
        <f>1-BX101</f>
        <v>0.71965185800924059</v>
      </c>
      <c r="BY103" s="1048">
        <v>0.72499999999999998</v>
      </c>
      <c r="BZ103" s="1048">
        <f>+BY103</f>
        <v>0.72499999999999998</v>
      </c>
      <c r="CA103" s="1048">
        <f>+BZ103</f>
        <v>0.72499999999999998</v>
      </c>
      <c r="CB103" s="1048">
        <f>+CA103</f>
        <v>0.72499999999999998</v>
      </c>
      <c r="CC103" s="1044">
        <f>1-CC101</f>
        <v>0.72500000000000009</v>
      </c>
      <c r="CD103" s="1048">
        <f>+CB103</f>
        <v>0.72499999999999998</v>
      </c>
      <c r="CE103" s="1048">
        <f>+CD103</f>
        <v>0.72499999999999998</v>
      </c>
      <c r="CF103" s="1048">
        <f>+CE103</f>
        <v>0.72499999999999998</v>
      </c>
      <c r="CG103" s="1048">
        <f>+CF103</f>
        <v>0.72499999999999998</v>
      </c>
      <c r="CH103" s="1044">
        <f>1-CH101</f>
        <v>0.72499999999999998</v>
      </c>
      <c r="CI103" s="1048">
        <v>0.72799999999999998</v>
      </c>
      <c r="CJ103" s="1048">
        <v>0.72799999999999998</v>
      </c>
      <c r="CK103" s="1048">
        <f>+CJ103</f>
        <v>0.72799999999999998</v>
      </c>
      <c r="CL103" s="1048">
        <f>+CK103</f>
        <v>0.72799999999999998</v>
      </c>
      <c r="CM103" s="1044">
        <f>1-CM101</f>
        <v>0.72799999999999998</v>
      </c>
      <c r="CN103" s="1048">
        <v>0.73</v>
      </c>
      <c r="CO103" s="1048">
        <f>+CN103</f>
        <v>0.73</v>
      </c>
      <c r="CP103" s="1048">
        <f>+CO103</f>
        <v>0.73</v>
      </c>
      <c r="CQ103" s="1048">
        <f>+CP103</f>
        <v>0.73</v>
      </c>
      <c r="CR103" s="1044">
        <f>1-CR101</f>
        <v>0.73</v>
      </c>
    </row>
    <row r="104" spans="1:96" ht="12" customHeight="1">
      <c r="A104" s="1047" t="s">
        <v>1012</v>
      </c>
      <c r="B104" s="956"/>
      <c r="C104" s="956"/>
      <c r="D104" s="956"/>
      <c r="E104" s="956"/>
      <c r="F104" s="1043"/>
      <c r="G104" s="780"/>
      <c r="H104" s="780"/>
      <c r="I104" s="780"/>
      <c r="J104" s="780"/>
      <c r="K104" s="1044"/>
      <c r="L104" s="780"/>
      <c r="M104" s="780"/>
      <c r="N104" s="780"/>
      <c r="O104" s="780"/>
      <c r="P104" s="1044"/>
      <c r="Q104" s="780"/>
      <c r="R104" s="780"/>
      <c r="S104" s="780"/>
      <c r="T104" s="780"/>
      <c r="U104" s="1044"/>
      <c r="V104" s="780"/>
      <c r="W104" s="780"/>
      <c r="X104" s="780"/>
      <c r="Y104" s="780"/>
      <c r="Z104" s="1044"/>
      <c r="AA104" s="780"/>
      <c r="AB104" s="780"/>
      <c r="AC104" s="780"/>
      <c r="AD104" s="780"/>
      <c r="AE104" s="1044"/>
      <c r="AF104" s="780"/>
      <c r="AG104" s="780"/>
      <c r="AH104" s="780"/>
      <c r="AI104" s="780"/>
      <c r="AJ104" s="1044"/>
      <c r="AK104" s="780"/>
      <c r="AL104" s="780"/>
      <c r="AM104" s="780"/>
      <c r="AN104" s="780"/>
      <c r="AO104" s="1044">
        <f>1-AO102</f>
        <v>0.33422319382843213</v>
      </c>
      <c r="AP104" s="780">
        <f t="shared" si="143"/>
        <v>0.38461538461538458</v>
      </c>
      <c r="AQ104" s="780">
        <f t="shared" si="143"/>
        <v>0.33333333333333337</v>
      </c>
      <c r="AR104" s="780">
        <f t="shared" si="143"/>
        <v>0.27226849881437354</v>
      </c>
      <c r="AS104" s="780">
        <f t="shared" si="143"/>
        <v>0.25362840350245885</v>
      </c>
      <c r="AT104" s="1044">
        <f t="shared" si="143"/>
        <v>0.30606501856972235</v>
      </c>
      <c r="AU104" s="780">
        <f t="shared" si="143"/>
        <v>0.17936390532544366</v>
      </c>
      <c r="AV104" s="780">
        <f t="shared" si="143"/>
        <v>0.19026756376153975</v>
      </c>
      <c r="AW104" s="780">
        <f t="shared" si="143"/>
        <v>0.17224775662070479</v>
      </c>
      <c r="AX104" s="780">
        <f t="shared" si="143"/>
        <v>0.25835960195314911</v>
      </c>
      <c r="AY104" s="1044">
        <f t="shared" si="143"/>
        <v>0.20285470207161693</v>
      </c>
      <c r="AZ104" s="780">
        <f t="shared" si="143"/>
        <v>0.33695154645916425</v>
      </c>
      <c r="BA104" s="780">
        <f t="shared" si="143"/>
        <v>0.32939953528188781</v>
      </c>
      <c r="BB104" s="780">
        <f t="shared" si="143"/>
        <v>0.41441081477041919</v>
      </c>
      <c r="BC104" s="780">
        <f t="shared" si="143"/>
        <v>0.38590426470069494</v>
      </c>
      <c r="BD104" s="1044">
        <f t="shared" si="143"/>
        <v>0.37683413122438325</v>
      </c>
      <c r="BE104" s="780">
        <f t="shared" si="143"/>
        <v>0.33041447752481024</v>
      </c>
      <c r="BF104" s="780">
        <f t="shared" si="143"/>
        <v>0.2296334537945276</v>
      </c>
      <c r="BG104" s="780">
        <f t="shared" si="143"/>
        <v>0.31963744210070311</v>
      </c>
      <c r="BH104" s="780">
        <f t="shared" si="143"/>
        <v>0.33645368825952282</v>
      </c>
      <c r="BI104" s="1044">
        <f t="shared" si="143"/>
        <v>0.30464053657514145</v>
      </c>
      <c r="BJ104" s="780">
        <f t="shared" si="143"/>
        <v>0.22560177657929181</v>
      </c>
      <c r="BK104" s="780">
        <f t="shared" si="143"/>
        <v>0.2488002020712301</v>
      </c>
      <c r="BL104" s="780">
        <f t="shared" si="143"/>
        <v>0.28566222618131754</v>
      </c>
      <c r="BM104" s="780">
        <f t="shared" si="143"/>
        <v>0.28467668299161619</v>
      </c>
      <c r="BN104" s="1044">
        <f t="shared" si="143"/>
        <v>0.26097052024303924</v>
      </c>
      <c r="BO104" s="780">
        <f t="shared" si="143"/>
        <v>0.15218381497039335</v>
      </c>
      <c r="BP104" s="780">
        <f t="shared" si="143"/>
        <v>0.19896302757183704</v>
      </c>
      <c r="BQ104" s="780">
        <f t="shared" si="143"/>
        <v>0.15817858051386424</v>
      </c>
      <c r="BR104" s="780">
        <f t="shared" si="143"/>
        <v>0.1922353778139132</v>
      </c>
      <c r="BS104" s="1044">
        <f>1-BS102</f>
        <v>0.17565533676157041</v>
      </c>
      <c r="BT104" s="780">
        <f t="shared" si="144"/>
        <v>0.14650455927051675</v>
      </c>
      <c r="BU104" s="1048">
        <v>0.18</v>
      </c>
      <c r="BV104" s="1048">
        <v>0.18</v>
      </c>
      <c r="BW104" s="1048">
        <v>0.18</v>
      </c>
      <c r="BX104" s="1044">
        <f>1-BX102</f>
        <v>0.17144445143173448</v>
      </c>
      <c r="BY104" s="1048">
        <f>+BT104+1.5%</f>
        <v>0.16150455927051677</v>
      </c>
      <c r="BZ104" s="1048">
        <v>0.185</v>
      </c>
      <c r="CA104" s="1048">
        <v>0.185</v>
      </c>
      <c r="CB104" s="1048">
        <v>0.19</v>
      </c>
      <c r="CC104" s="1044">
        <f>1-CC102</f>
        <v>0.18024640549211368</v>
      </c>
      <c r="CD104" s="1048">
        <f>+BY104+0.5%</f>
        <v>0.16650455927051677</v>
      </c>
      <c r="CE104" s="1048">
        <f>+BZ104+0.5%</f>
        <v>0.19</v>
      </c>
      <c r="CF104" s="1048">
        <f>+CA104+0.5%</f>
        <v>0.19</v>
      </c>
      <c r="CG104" s="1048">
        <f>+CB104+0.5%</f>
        <v>0.19500000000000001</v>
      </c>
      <c r="CH104" s="1044">
        <f>1-CH102</f>
        <v>0.18524640549211357</v>
      </c>
      <c r="CI104" s="1048">
        <f>+CD104+0.5%</f>
        <v>0.17150455927051678</v>
      </c>
      <c r="CJ104" s="1048">
        <f>+CE104+0.5%</f>
        <v>0.19500000000000001</v>
      </c>
      <c r="CK104" s="1048">
        <f>+CF104+0.5%</f>
        <v>0.19500000000000001</v>
      </c>
      <c r="CL104" s="1048">
        <f>+CG104+0.5%</f>
        <v>0.2</v>
      </c>
      <c r="CM104" s="1044">
        <f>1-CM102</f>
        <v>0.19024640549211358</v>
      </c>
      <c r="CN104" s="1048">
        <f>+CI104+0.5%</f>
        <v>0.17650455927051678</v>
      </c>
      <c r="CO104" s="1048">
        <f>+CJ104+0.5%</f>
        <v>0.2</v>
      </c>
      <c r="CP104" s="1048">
        <f>+CK104+0.5%</f>
        <v>0.2</v>
      </c>
      <c r="CQ104" s="1048">
        <f>+CL104+0.5%</f>
        <v>0.20500000000000002</v>
      </c>
      <c r="CR104" s="1044">
        <f>1-CR102</f>
        <v>0.19524640549211358</v>
      </c>
    </row>
    <row r="105" spans="1:96" ht="12" customHeight="1" thickBot="1">
      <c r="A105" s="1041"/>
      <c r="F105" s="1030"/>
      <c r="K105" s="1030"/>
      <c r="P105" s="1030"/>
      <c r="U105" s="1030"/>
      <c r="Z105" s="1030"/>
      <c r="AE105" s="1030"/>
      <c r="AJ105" s="1030"/>
      <c r="AO105" s="1030"/>
      <c r="AT105" s="1030"/>
      <c r="AY105" s="1030"/>
      <c r="BD105" s="1030"/>
      <c r="BI105" s="1030"/>
      <c r="BN105" s="1030"/>
      <c r="BS105" s="1030"/>
      <c r="BX105" s="1030"/>
      <c r="CC105" s="1030"/>
      <c r="CH105" s="1030"/>
      <c r="CM105" s="1030"/>
      <c r="CR105" s="1030"/>
    </row>
    <row r="106" spans="1:96" ht="12" customHeight="1" thickBot="1">
      <c r="A106" s="1038" t="s">
        <v>1013</v>
      </c>
      <c r="B106" s="1039"/>
      <c r="C106" s="1039"/>
      <c r="D106" s="1039"/>
      <c r="E106" s="1039"/>
      <c r="F106" s="1040"/>
      <c r="G106" s="1039"/>
      <c r="H106" s="1039"/>
      <c r="I106" s="1039"/>
      <c r="J106" s="1039"/>
      <c r="K106" s="1040"/>
      <c r="L106" s="1039"/>
      <c r="M106" s="1039"/>
      <c r="N106" s="1039"/>
      <c r="O106" s="1039"/>
      <c r="P106" s="1040"/>
      <c r="Q106" s="1039"/>
      <c r="R106" s="1039"/>
      <c r="S106" s="1039"/>
      <c r="T106" s="1039"/>
      <c r="U106" s="1040"/>
      <c r="V106" s="1039"/>
      <c r="W106" s="1039"/>
      <c r="X106" s="1039"/>
      <c r="Y106" s="1039"/>
      <c r="Z106" s="1040"/>
      <c r="AA106" s="1039"/>
      <c r="AB106" s="1039"/>
      <c r="AC106" s="1039"/>
      <c r="AD106" s="1039"/>
      <c r="AE106" s="1040"/>
      <c r="AF106" s="1039"/>
      <c r="AG106" s="1039"/>
      <c r="AH106" s="1039"/>
      <c r="AI106" s="1039"/>
      <c r="AJ106" s="1040"/>
      <c r="AK106" s="1039"/>
      <c r="AL106" s="1039"/>
      <c r="AM106" s="1039"/>
      <c r="AN106" s="1039"/>
      <c r="AO106" s="1040"/>
      <c r="AP106" s="1039"/>
      <c r="AQ106" s="1039"/>
      <c r="AR106" s="1039"/>
      <c r="AS106" s="1039"/>
      <c r="AT106" s="1040"/>
      <c r="AU106" s="1039"/>
      <c r="AV106" s="1039"/>
      <c r="AW106" s="1039"/>
      <c r="AX106" s="1039"/>
      <c r="AY106" s="1040"/>
      <c r="AZ106" s="1039"/>
      <c r="BA106" s="1039"/>
      <c r="BB106" s="1039"/>
      <c r="BC106" s="1039"/>
      <c r="BD106" s="1040"/>
      <c r="BE106" s="1039"/>
      <c r="BF106" s="1039"/>
      <c r="BG106" s="1039"/>
      <c r="BH106" s="1039"/>
      <c r="BI106" s="1040"/>
      <c r="BJ106" s="1039"/>
      <c r="BK106" s="1039"/>
      <c r="BL106" s="1039"/>
      <c r="BM106" s="1039"/>
      <c r="BN106" s="1040"/>
      <c r="BO106" s="1039"/>
      <c r="BP106" s="1039"/>
      <c r="BQ106" s="1039"/>
      <c r="BR106" s="1039"/>
      <c r="BS106" s="1040"/>
      <c r="BT106" s="1039"/>
      <c r="BU106" s="1039"/>
      <c r="BV106" s="1039"/>
      <c r="BW106" s="1039"/>
      <c r="BX106" s="1040"/>
      <c r="BY106" s="1039"/>
      <c r="BZ106" s="1039"/>
      <c r="CA106" s="1039"/>
      <c r="CB106" s="1039"/>
      <c r="CC106" s="1040"/>
      <c r="CD106" s="1039"/>
      <c r="CE106" s="1039"/>
      <c r="CF106" s="1039"/>
      <c r="CG106" s="1039"/>
      <c r="CH106" s="1040"/>
      <c r="CI106" s="1039"/>
      <c r="CJ106" s="1039"/>
      <c r="CK106" s="1039"/>
      <c r="CL106" s="1039"/>
      <c r="CM106" s="1040"/>
      <c r="CN106" s="1039"/>
      <c r="CO106" s="1039"/>
      <c r="CP106" s="1039"/>
      <c r="CQ106" s="1039"/>
      <c r="CR106" s="1040"/>
    </row>
    <row r="107" spans="1:96" ht="12" customHeight="1">
      <c r="A107" s="1041" t="str">
        <f>+A10</f>
        <v>Billings</v>
      </c>
      <c r="F107" s="1030"/>
      <c r="G107" s="734"/>
      <c r="H107" s="734"/>
      <c r="I107" s="734"/>
      <c r="J107" s="734"/>
      <c r="K107" s="771"/>
      <c r="L107" s="780"/>
      <c r="M107" s="780"/>
      <c r="N107" s="780"/>
      <c r="O107" s="780"/>
      <c r="P107" s="1044"/>
      <c r="Q107" s="780"/>
      <c r="R107" s="780"/>
      <c r="S107" s="780"/>
      <c r="T107" s="780"/>
      <c r="U107" s="1044"/>
      <c r="V107" s="780"/>
      <c r="W107" s="780"/>
      <c r="X107" s="780"/>
      <c r="Y107" s="780"/>
      <c r="Z107" s="1044"/>
      <c r="AA107" s="780"/>
      <c r="AB107" s="780"/>
      <c r="AC107" s="780"/>
      <c r="AD107" s="780"/>
      <c r="AE107" s="1044"/>
      <c r="AF107" s="780"/>
      <c r="AG107" s="780"/>
      <c r="AH107" s="780"/>
      <c r="AI107" s="780"/>
      <c r="AJ107" s="1044"/>
      <c r="AK107" s="780"/>
      <c r="AL107" s="780"/>
      <c r="AM107" s="780"/>
      <c r="AN107" s="780"/>
      <c r="AO107" s="1044"/>
      <c r="AP107" s="780"/>
      <c r="AQ107" s="780"/>
      <c r="AR107" s="780"/>
      <c r="AS107" s="780"/>
      <c r="AT107" s="1044"/>
      <c r="AU107" s="780"/>
      <c r="AV107" s="780"/>
      <c r="AW107" s="780"/>
      <c r="AX107" s="780"/>
      <c r="AY107" s="1044">
        <f t="shared" ref="AY107:CR107" si="145">+AY10/AT10-1</f>
        <v>-0.26139864076889041</v>
      </c>
      <c r="AZ107" s="780">
        <f t="shared" si="145"/>
        <v>0.13531131095213489</v>
      </c>
      <c r="BA107" s="780">
        <f t="shared" si="145"/>
        <v>0.35028476886832038</v>
      </c>
      <c r="BB107" s="780">
        <f t="shared" si="145"/>
        <v>2.6159641955285484</v>
      </c>
      <c r="BC107" s="780">
        <f t="shared" si="145"/>
        <v>0.98143691625939455</v>
      </c>
      <c r="BD107" s="1044">
        <f t="shared" si="145"/>
        <v>0.91476286923506889</v>
      </c>
      <c r="BE107" s="780">
        <f t="shared" si="145"/>
        <v>0.94808854708508439</v>
      </c>
      <c r="BF107" s="780">
        <f t="shared" si="145"/>
        <v>0.81488633668733312</v>
      </c>
      <c r="BG107" s="780">
        <f t="shared" si="145"/>
        <v>-8.5022426616703894E-2</v>
      </c>
      <c r="BH107" s="780">
        <f t="shared" si="145"/>
        <v>5.1968133202784816E-2</v>
      </c>
      <c r="BI107" s="1044">
        <f t="shared" si="145"/>
        <v>0.26329188790588454</v>
      </c>
      <c r="BJ107" s="780">
        <f t="shared" si="145"/>
        <v>-7.5805099640375628E-2</v>
      </c>
      <c r="BK107" s="780">
        <f t="shared" si="145"/>
        <v>-7.5396677244726651E-2</v>
      </c>
      <c r="BL107" s="780">
        <f t="shared" si="145"/>
        <v>1.4855263566132093E-2</v>
      </c>
      <c r="BM107" s="780">
        <f t="shared" si="145"/>
        <v>-1.0365382267974121E-2</v>
      </c>
      <c r="BN107" s="1044">
        <f t="shared" si="145"/>
        <v>-3.4475617972638428E-2</v>
      </c>
      <c r="BO107" s="780">
        <f t="shared" si="145"/>
        <v>-8.7464708377828604E-2</v>
      </c>
      <c r="BP107" s="780">
        <f t="shared" si="145"/>
        <v>-8.5535657803530341E-2</v>
      </c>
      <c r="BQ107" s="780">
        <f t="shared" si="145"/>
        <v>3.4913084152149887E-2</v>
      </c>
      <c r="BR107" s="780">
        <f t="shared" si="145"/>
        <v>-7.0568101224187663E-2</v>
      </c>
      <c r="BS107" s="1044">
        <f t="shared" si="145"/>
        <v>-5.0803651633879343E-2</v>
      </c>
      <c r="BT107" s="780">
        <f t="shared" si="145"/>
        <v>0.12597787752484746</v>
      </c>
      <c r="BU107" s="780">
        <f t="shared" si="145"/>
        <v>-3.9476938542716833E-2</v>
      </c>
      <c r="BV107" s="780">
        <f t="shared" si="145"/>
        <v>-1.0419499110830066E-2</v>
      </c>
      <c r="BW107" s="780">
        <f t="shared" si="145"/>
        <v>-2.6334857642095311E-2</v>
      </c>
      <c r="BX107" s="1044">
        <f t="shared" si="145"/>
        <v>6.2653907906520256E-3</v>
      </c>
      <c r="BY107" s="780">
        <f t="shared" si="145"/>
        <v>-7.418585063747074E-2</v>
      </c>
      <c r="BZ107" s="780">
        <f t="shared" si="145"/>
        <v>5.070181396909379E-2</v>
      </c>
      <c r="CA107" s="780">
        <f t="shared" si="145"/>
        <v>4.0741473470621514E-2</v>
      </c>
      <c r="CB107" s="780">
        <f t="shared" si="145"/>
        <v>7.147696542374371E-2</v>
      </c>
      <c r="CC107" s="1044">
        <f t="shared" si="145"/>
        <v>2.5393331629193439E-2</v>
      </c>
      <c r="CD107" s="780">
        <f t="shared" si="145"/>
        <v>6.3595447768783897E-2</v>
      </c>
      <c r="CE107" s="780">
        <f t="shared" si="145"/>
        <v>3.7992538651819618E-2</v>
      </c>
      <c r="CF107" s="780">
        <f t="shared" si="145"/>
        <v>4.1874797035087008E-2</v>
      </c>
      <c r="CG107" s="780">
        <f t="shared" si="145"/>
        <v>3.9504891069293446E-2</v>
      </c>
      <c r="CH107" s="1044">
        <f t="shared" si="145"/>
        <v>4.4803099304182137E-2</v>
      </c>
      <c r="CI107" s="780">
        <f t="shared" si="145"/>
        <v>6.6854383734848533E-2</v>
      </c>
      <c r="CJ107" s="780">
        <f t="shared" si="145"/>
        <v>3.9358968551777007E-2</v>
      </c>
      <c r="CK107" s="780">
        <f t="shared" si="145"/>
        <v>4.2880765434402113E-2</v>
      </c>
      <c r="CL107" s="780">
        <f t="shared" si="145"/>
        <v>4.3110517279402849E-2</v>
      </c>
      <c r="CM107" s="1044">
        <f t="shared" si="145"/>
        <v>4.7224422081808548E-2</v>
      </c>
      <c r="CN107" s="780">
        <f t="shared" si="145"/>
        <v>6.5885226174553502E-2</v>
      </c>
      <c r="CO107" s="780">
        <f t="shared" si="145"/>
        <v>3.8372119952130301E-2</v>
      </c>
      <c r="CP107" s="780">
        <f t="shared" si="145"/>
        <v>4.4013303865118258E-2</v>
      </c>
      <c r="CQ107" s="780">
        <f t="shared" si="145"/>
        <v>4.1638626950963431E-2</v>
      </c>
      <c r="CR107" s="1044">
        <f t="shared" si="145"/>
        <v>4.6779498879003789E-2</v>
      </c>
    </row>
    <row r="108" spans="1:96" ht="12" customHeight="1">
      <c r="A108" s="1041" t="str">
        <f>+A14</f>
        <v>Total GAAP Revenues</v>
      </c>
      <c r="F108" s="1030"/>
      <c r="G108" s="734"/>
      <c r="H108" s="734"/>
      <c r="I108" s="734"/>
      <c r="J108" s="734"/>
      <c r="K108" s="771"/>
      <c r="L108" s="780"/>
      <c r="M108" s="780"/>
      <c r="N108" s="780"/>
      <c r="O108" s="780"/>
      <c r="P108" s="1044"/>
      <c r="Q108" s="780"/>
      <c r="R108" s="780"/>
      <c r="S108" s="780"/>
      <c r="T108" s="780"/>
      <c r="U108" s="1044"/>
      <c r="V108" s="780"/>
      <c r="W108" s="780"/>
      <c r="X108" s="780"/>
      <c r="Y108" s="780"/>
      <c r="Z108" s="1044"/>
      <c r="AA108" s="780"/>
      <c r="AB108" s="780"/>
      <c r="AC108" s="780"/>
      <c r="AD108" s="780"/>
      <c r="AE108" s="1044"/>
      <c r="AF108" s="780"/>
      <c r="AG108" s="780"/>
      <c r="AH108" s="780"/>
      <c r="AI108" s="780"/>
      <c r="AJ108" s="1044"/>
      <c r="AK108" s="780"/>
      <c r="AL108" s="780"/>
      <c r="AM108" s="780"/>
      <c r="AN108" s="780"/>
      <c r="AO108" s="1044"/>
      <c r="AP108" s="780"/>
      <c r="AQ108" s="780"/>
      <c r="AR108" s="780"/>
      <c r="AS108" s="780"/>
      <c r="AT108" s="1044">
        <f t="shared" ref="AT108:CR108" si="146">+AT14/AO14-1</f>
        <v>0.5163587747941174</v>
      </c>
      <c r="AU108" s="780">
        <f t="shared" si="146"/>
        <v>0.33211538461538481</v>
      </c>
      <c r="AV108" s="780">
        <f t="shared" si="146"/>
        <v>8.5106100795755868E-2</v>
      </c>
      <c r="AW108" s="780">
        <f t="shared" si="146"/>
        <v>1.1464247906842306E-2</v>
      </c>
      <c r="AX108" s="780">
        <f t="shared" si="146"/>
        <v>-3.7826407204124779E-2</v>
      </c>
      <c r="AY108" s="1044">
        <f t="shared" si="146"/>
        <v>8.16448269758967E-2</v>
      </c>
      <c r="AZ108" s="780">
        <f t="shared" si="146"/>
        <v>-0.20207160386891887</v>
      </c>
      <c r="BA108" s="780">
        <f t="shared" si="146"/>
        <v>-4.5687326594717526E-2</v>
      </c>
      <c r="BB108" s="780">
        <f t="shared" si="146"/>
        <v>0.62940497853260569</v>
      </c>
      <c r="BC108" s="780">
        <f t="shared" si="146"/>
        <v>0.77988640572910173</v>
      </c>
      <c r="BD108" s="1044">
        <f t="shared" si="146"/>
        <v>0.28953189580984917</v>
      </c>
      <c r="BE108" s="780">
        <f t="shared" si="146"/>
        <v>1.4180348877531022</v>
      </c>
      <c r="BF108" s="780">
        <f t="shared" si="146"/>
        <v>1.0578644706002898</v>
      </c>
      <c r="BG108" s="780">
        <f t="shared" si="146"/>
        <v>0.20358096962088124</v>
      </c>
      <c r="BH108" s="780">
        <f t="shared" si="146"/>
        <v>0.15339257594361588</v>
      </c>
      <c r="BI108" s="1044">
        <f t="shared" si="146"/>
        <v>0.53260049675604693</v>
      </c>
      <c r="BJ108" s="780">
        <f t="shared" si="146"/>
        <v>-1.627374813724769E-3</v>
      </c>
      <c r="BK108" s="780">
        <f t="shared" si="146"/>
        <v>-1.3617466205282813E-2</v>
      </c>
      <c r="BL108" s="780">
        <f t="shared" si="146"/>
        <v>-4.4853329128586195E-2</v>
      </c>
      <c r="BM108" s="780">
        <f t="shared" si="146"/>
        <v>-4.7009292394671331E-2</v>
      </c>
      <c r="BN108" s="1044">
        <f t="shared" si="146"/>
        <v>-2.7078494054874502E-2</v>
      </c>
      <c r="BO108" s="780">
        <f t="shared" si="146"/>
        <v>-5.5939295528353639E-2</v>
      </c>
      <c r="BP108" s="780">
        <f t="shared" si="146"/>
        <v>-3.9725405077986942E-2</v>
      </c>
      <c r="BQ108" s="780">
        <f t="shared" si="146"/>
        <v>-3.7092770021016297E-2</v>
      </c>
      <c r="BR108" s="780">
        <f t="shared" si="146"/>
        <v>-3.642181395906563E-2</v>
      </c>
      <c r="BS108" s="1044">
        <f t="shared" si="146"/>
        <v>-4.2338398308103153E-2</v>
      </c>
      <c r="BT108" s="780">
        <f t="shared" si="146"/>
        <v>9.5724482843024816E-3</v>
      </c>
      <c r="BU108" s="780">
        <f t="shared" si="146"/>
        <v>-1.0994302197224526E-2</v>
      </c>
      <c r="BV108" s="780">
        <f t="shared" si="146"/>
        <v>-1.0523490817975212E-3</v>
      </c>
      <c r="BW108" s="780">
        <f t="shared" si="146"/>
        <v>9.2116742425234488E-3</v>
      </c>
      <c r="BX108" s="1044">
        <f t="shared" si="146"/>
        <v>1.6794492568554809E-3</v>
      </c>
      <c r="BY108" s="780">
        <f t="shared" si="146"/>
        <v>2.2577775113033161E-2</v>
      </c>
      <c r="BZ108" s="780">
        <f t="shared" si="146"/>
        <v>1.7390109563539813E-2</v>
      </c>
      <c r="CA108" s="780">
        <f t="shared" si="146"/>
        <v>2.524175313936583E-2</v>
      </c>
      <c r="CB108" s="780">
        <f t="shared" si="146"/>
        <v>2.9762775496704919E-2</v>
      </c>
      <c r="CC108" s="1044">
        <f t="shared" si="146"/>
        <v>2.3776766077486577E-2</v>
      </c>
      <c r="CD108" s="780">
        <f t="shared" si="146"/>
        <v>5.7805962000762712E-2</v>
      </c>
      <c r="CE108" s="780">
        <f t="shared" si="146"/>
        <v>3.728806411835639E-2</v>
      </c>
      <c r="CF108" s="780">
        <f t="shared" si="146"/>
        <v>4.0558935425054621E-2</v>
      </c>
      <c r="CG108" s="780">
        <f t="shared" si="146"/>
        <v>4.0671754782240388E-2</v>
      </c>
      <c r="CH108" s="1044">
        <f t="shared" si="146"/>
        <v>4.4102856817957781E-2</v>
      </c>
      <c r="CI108" s="780">
        <f t="shared" si="146"/>
        <v>6.0564242340964025E-2</v>
      </c>
      <c r="CJ108" s="780">
        <f t="shared" si="146"/>
        <v>3.8418292935046505E-2</v>
      </c>
      <c r="CK108" s="780">
        <f t="shared" si="146"/>
        <v>4.1999775660850114E-2</v>
      </c>
      <c r="CL108" s="780">
        <f t="shared" si="146"/>
        <v>4.211990320213288E-2</v>
      </c>
      <c r="CM108" s="1044">
        <f t="shared" si="146"/>
        <v>4.5865797217628179E-2</v>
      </c>
      <c r="CN108" s="780">
        <f t="shared" si="146"/>
        <v>6.1248087297814724E-2</v>
      </c>
      <c r="CO108" s="780">
        <f t="shared" si="146"/>
        <v>3.7448646723882373E-2</v>
      </c>
      <c r="CP108" s="780">
        <f t="shared" si="146"/>
        <v>4.3563675088868825E-2</v>
      </c>
      <c r="CQ108" s="780">
        <f t="shared" si="146"/>
        <v>4.3691496748641478E-2</v>
      </c>
      <c r="CR108" s="1044">
        <f t="shared" si="146"/>
        <v>4.6663432084442569E-2</v>
      </c>
    </row>
    <row r="109" spans="1:96" ht="12" customHeight="1">
      <c r="A109" s="1041" t="s">
        <v>959</v>
      </c>
      <c r="F109" s="1030"/>
      <c r="G109" s="734"/>
      <c r="H109" s="734"/>
      <c r="I109" s="734"/>
      <c r="J109" s="734"/>
      <c r="K109" s="771"/>
      <c r="L109" s="780"/>
      <c r="M109" s="780"/>
      <c r="N109" s="780"/>
      <c r="O109" s="780"/>
      <c r="P109" s="1044"/>
      <c r="Q109" s="780"/>
      <c r="R109" s="780"/>
      <c r="S109" s="780"/>
      <c r="T109" s="780"/>
      <c r="U109" s="1044"/>
      <c r="V109" s="780"/>
      <c r="W109" s="780"/>
      <c r="X109" s="780"/>
      <c r="Y109" s="780"/>
      <c r="Z109" s="1044"/>
      <c r="AA109" s="780"/>
      <c r="AB109" s="780"/>
      <c r="AC109" s="780"/>
      <c r="AD109" s="780"/>
      <c r="AE109" s="1044"/>
      <c r="AF109" s="780"/>
      <c r="AG109" s="780"/>
      <c r="AH109" s="780"/>
      <c r="AI109" s="780"/>
      <c r="AJ109" s="1044"/>
      <c r="AK109" s="780"/>
      <c r="AL109" s="780"/>
      <c r="AM109" s="780"/>
      <c r="AN109" s="780"/>
      <c r="AO109" s="1044"/>
      <c r="AP109" s="780"/>
      <c r="AQ109" s="780"/>
      <c r="AR109" s="780"/>
      <c r="AS109" s="780"/>
      <c r="AT109" s="1044">
        <f>+AT16/AO16-1</f>
        <v>0.5163587747941174</v>
      </c>
      <c r="AU109" s="780">
        <f t="shared" ref="AU109:CR109" si="147">+AU16/AP16-1</f>
        <v>0.33211538461538481</v>
      </c>
      <c r="AV109" s="780">
        <f t="shared" si="147"/>
        <v>8.5106100795755868E-2</v>
      </c>
      <c r="AW109" s="780">
        <f t="shared" si="147"/>
        <v>1.1464247906842306E-2</v>
      </c>
      <c r="AX109" s="780">
        <f t="shared" si="147"/>
        <v>5.4803145864518399E-2</v>
      </c>
      <c r="AY109" s="1044">
        <f t="shared" si="147"/>
        <v>0.10720021501006216</v>
      </c>
      <c r="AZ109" s="780">
        <f t="shared" si="147"/>
        <v>6.8632404600355912E-2</v>
      </c>
      <c r="BA109" s="780">
        <f t="shared" si="147"/>
        <v>0.12790740310693383</v>
      </c>
      <c r="BB109" s="780">
        <f t="shared" si="147"/>
        <v>0.75302386983979752</v>
      </c>
      <c r="BC109" s="780">
        <f t="shared" si="147"/>
        <v>0.6963969950555835</v>
      </c>
      <c r="BD109" s="1044">
        <f t="shared" si="147"/>
        <v>0.41833106874002768</v>
      </c>
      <c r="BE109" s="780">
        <f t="shared" si="147"/>
        <v>0.8055027074491441</v>
      </c>
      <c r="BF109" s="780">
        <f t="shared" si="147"/>
        <v>0.74114128432413673</v>
      </c>
      <c r="BG109" s="780">
        <f t="shared" si="147"/>
        <v>0.11870742760997599</v>
      </c>
      <c r="BH109" s="780">
        <f t="shared" si="147"/>
        <v>0.10388532579107368</v>
      </c>
      <c r="BI109" s="1044">
        <f t="shared" si="147"/>
        <v>0.36126271849726077</v>
      </c>
      <c r="BJ109" s="780">
        <f t="shared" si="147"/>
        <v>-1.627374813724769E-3</v>
      </c>
      <c r="BK109" s="780">
        <f t="shared" si="147"/>
        <v>-1.3617466205282591E-2</v>
      </c>
      <c r="BL109" s="780">
        <f t="shared" si="147"/>
        <v>-4.4853329128586306E-2</v>
      </c>
      <c r="BM109" s="780">
        <f t="shared" si="147"/>
        <v>-4.7009292394670998E-2</v>
      </c>
      <c r="BN109" s="1044">
        <f t="shared" si="147"/>
        <v>-2.7078494054874502E-2</v>
      </c>
      <c r="BO109" s="780">
        <f t="shared" si="147"/>
        <v>-5.5939295528353639E-2</v>
      </c>
      <c r="BP109" s="780">
        <f t="shared" si="147"/>
        <v>-3.9725405077986942E-2</v>
      </c>
      <c r="BQ109" s="780">
        <f t="shared" si="147"/>
        <v>-3.7092770021016297E-2</v>
      </c>
      <c r="BR109" s="780">
        <f t="shared" si="147"/>
        <v>-3.6421813959065741E-2</v>
      </c>
      <c r="BS109" s="1044">
        <f t="shared" si="147"/>
        <v>-4.2338398308103153E-2</v>
      </c>
      <c r="BT109" s="780">
        <f t="shared" si="147"/>
        <v>9.5724482843024816E-3</v>
      </c>
      <c r="BU109" s="780">
        <f t="shared" si="147"/>
        <v>-1.0994302197224526E-2</v>
      </c>
      <c r="BV109" s="780">
        <f t="shared" si="147"/>
        <v>-1.0523490817975212E-3</v>
      </c>
      <c r="BW109" s="780">
        <f t="shared" si="147"/>
        <v>9.2116742425234488E-3</v>
      </c>
      <c r="BX109" s="1044">
        <f t="shared" si="147"/>
        <v>1.6794492568554809E-3</v>
      </c>
      <c r="BY109" s="780">
        <f t="shared" si="147"/>
        <v>2.2577775113033161E-2</v>
      </c>
      <c r="BZ109" s="780">
        <f t="shared" si="147"/>
        <v>1.7390109563539813E-2</v>
      </c>
      <c r="CA109" s="780">
        <f t="shared" si="147"/>
        <v>2.524175313936583E-2</v>
      </c>
      <c r="CB109" s="780">
        <f t="shared" si="147"/>
        <v>2.9762775496704919E-2</v>
      </c>
      <c r="CC109" s="1044">
        <f t="shared" si="147"/>
        <v>2.3776766077486577E-2</v>
      </c>
      <c r="CD109" s="780">
        <f t="shared" si="147"/>
        <v>5.7805962000762712E-2</v>
      </c>
      <c r="CE109" s="780">
        <f t="shared" si="147"/>
        <v>3.728806411835639E-2</v>
      </c>
      <c r="CF109" s="780">
        <f t="shared" si="147"/>
        <v>4.0558935425054621E-2</v>
      </c>
      <c r="CG109" s="780">
        <f t="shared" si="147"/>
        <v>4.0671754782240388E-2</v>
      </c>
      <c r="CH109" s="1044">
        <f t="shared" si="147"/>
        <v>4.4102856817957781E-2</v>
      </c>
      <c r="CI109" s="780">
        <f t="shared" si="147"/>
        <v>6.0564242340964025E-2</v>
      </c>
      <c r="CJ109" s="780">
        <f t="shared" si="147"/>
        <v>3.8418292935046505E-2</v>
      </c>
      <c r="CK109" s="780">
        <f t="shared" si="147"/>
        <v>4.1999775660850114E-2</v>
      </c>
      <c r="CL109" s="780">
        <f t="shared" si="147"/>
        <v>4.211990320213288E-2</v>
      </c>
      <c r="CM109" s="1044">
        <f t="shared" si="147"/>
        <v>4.5865797217628179E-2</v>
      </c>
      <c r="CN109" s="780">
        <f t="shared" si="147"/>
        <v>6.1248087297814724E-2</v>
      </c>
      <c r="CO109" s="780">
        <f t="shared" si="147"/>
        <v>3.7448646723882373E-2</v>
      </c>
      <c r="CP109" s="780">
        <f t="shared" si="147"/>
        <v>4.3563675088868825E-2</v>
      </c>
      <c r="CQ109" s="780">
        <f t="shared" si="147"/>
        <v>4.3691496748641478E-2</v>
      </c>
      <c r="CR109" s="1044">
        <f t="shared" si="147"/>
        <v>4.6663432084442569E-2</v>
      </c>
    </row>
    <row r="110" spans="1:96" ht="12" customHeight="1">
      <c r="A110" s="1041" t="str">
        <f t="shared" ref="A110:A116" si="148">+A85</f>
        <v>Cost of Revenues - Non-GAAP</v>
      </c>
      <c r="F110" s="1030"/>
      <c r="G110" s="734"/>
      <c r="H110" s="734"/>
      <c r="I110" s="734"/>
      <c r="J110" s="734"/>
      <c r="K110" s="771"/>
      <c r="L110" s="734"/>
      <c r="M110" s="734"/>
      <c r="N110" s="734"/>
      <c r="O110" s="734"/>
      <c r="P110" s="771"/>
      <c r="Q110" s="734"/>
      <c r="R110" s="734"/>
      <c r="S110" s="734"/>
      <c r="T110" s="734"/>
      <c r="U110" s="771"/>
      <c r="V110" s="734"/>
      <c r="W110" s="734"/>
      <c r="X110" s="734"/>
      <c r="Y110" s="734"/>
      <c r="Z110" s="771"/>
      <c r="AA110" s="734"/>
      <c r="AB110" s="734"/>
      <c r="AC110" s="734"/>
      <c r="AD110" s="734"/>
      <c r="AE110" s="771"/>
      <c r="AF110" s="734"/>
      <c r="AG110" s="734"/>
      <c r="AH110" s="734"/>
      <c r="AI110" s="734"/>
      <c r="AJ110" s="771"/>
      <c r="AK110" s="734"/>
      <c r="AL110" s="734"/>
      <c r="AM110" s="734"/>
      <c r="AN110" s="734"/>
      <c r="AO110" s="771"/>
      <c r="AP110" s="734"/>
      <c r="AQ110" s="734"/>
      <c r="AR110" s="734"/>
      <c r="AS110" s="734"/>
      <c r="AT110" s="771">
        <f t="shared" ref="AT110:CR111" si="149">+AT26/AO26-1</f>
        <v>0.56284828700497891</v>
      </c>
      <c r="AU110" s="734">
        <f t="shared" si="149"/>
        <v>0.24359360473490566</v>
      </c>
      <c r="AV110" s="734">
        <f t="shared" si="149"/>
        <v>1.06854031114334E-2</v>
      </c>
      <c r="AW110" s="734">
        <f t="shared" si="149"/>
        <v>-9.6905726121082392E-2</v>
      </c>
      <c r="AX110" s="734">
        <f t="shared" si="149"/>
        <v>-7.900512070226906E-4</v>
      </c>
      <c r="AY110" s="771">
        <f t="shared" si="149"/>
        <v>2.3873070796367024E-2</v>
      </c>
      <c r="AZ110" s="734">
        <f t="shared" si="149"/>
        <v>-1.4951775260076849E-2</v>
      </c>
      <c r="BA110" s="734">
        <f t="shared" si="149"/>
        <v>3.5005784309525056E-2</v>
      </c>
      <c r="BB110" s="734">
        <f t="shared" si="149"/>
        <v>0.80712555924968177</v>
      </c>
      <c r="BC110" s="734">
        <f t="shared" si="149"/>
        <v>0.70149545117332379</v>
      </c>
      <c r="BD110" s="771">
        <f t="shared" si="149"/>
        <v>0.39247444774151008</v>
      </c>
      <c r="BE110" s="734">
        <f t="shared" si="149"/>
        <v>1.1006499059346675</v>
      </c>
      <c r="BF110" s="734">
        <f t="shared" si="149"/>
        <v>1.2280592813379694</v>
      </c>
      <c r="BG110" s="734">
        <f t="shared" si="149"/>
        <v>0.16535307879255901</v>
      </c>
      <c r="BH110" s="734">
        <f t="shared" si="149"/>
        <v>0.13874291484039758</v>
      </c>
      <c r="BI110" s="771">
        <f t="shared" si="149"/>
        <v>0.50857578358540301</v>
      </c>
      <c r="BJ110" s="734">
        <f t="shared" si="149"/>
        <v>1.2049664156319917E-2</v>
      </c>
      <c r="BK110" s="734">
        <f t="shared" si="149"/>
        <v>-9.0392226082755656E-2</v>
      </c>
      <c r="BL110" s="734">
        <f t="shared" si="149"/>
        <v>-6.7651587502679744E-2</v>
      </c>
      <c r="BM110" s="734">
        <f t="shared" si="149"/>
        <v>-4.2178022288051675E-2</v>
      </c>
      <c r="BN110" s="771">
        <f t="shared" si="149"/>
        <v>-4.8248733329736671E-2</v>
      </c>
      <c r="BO110" s="734">
        <f t="shared" si="149"/>
        <v>-2.2364345762439064E-2</v>
      </c>
      <c r="BP110" s="734">
        <f t="shared" si="149"/>
        <v>-3.6052782090040036E-2</v>
      </c>
      <c r="BQ110" s="734">
        <f t="shared" si="149"/>
        <v>-1.0556902751066355E-2</v>
      </c>
      <c r="BR110" s="734">
        <f t="shared" si="149"/>
        <v>2.0681674731747757E-2</v>
      </c>
      <c r="BS110" s="771">
        <f t="shared" si="149"/>
        <v>-1.2363175362288814E-2</v>
      </c>
      <c r="BT110" s="734">
        <f t="shared" si="149"/>
        <v>3.3161900843448056E-2</v>
      </c>
      <c r="BU110" s="734">
        <f t="shared" si="149"/>
        <v>-7.4364792614364239E-3</v>
      </c>
      <c r="BV110" s="734">
        <f t="shared" si="149"/>
        <v>-3.3976573103753349E-3</v>
      </c>
      <c r="BW110" s="734">
        <f t="shared" si="149"/>
        <v>-1.233917754660363E-2</v>
      </c>
      <c r="BX110" s="771">
        <f t="shared" si="149"/>
        <v>2.6175484291153239E-3</v>
      </c>
      <c r="BY110" s="734">
        <f t="shared" si="149"/>
        <v>-1.8174193602976896E-2</v>
      </c>
      <c r="BZ110" s="734">
        <f t="shared" si="149"/>
        <v>1.0504142424967222E-2</v>
      </c>
      <c r="CA110" s="734">
        <f t="shared" si="149"/>
        <v>1.7798477263335055E-2</v>
      </c>
      <c r="CB110" s="734">
        <f t="shared" si="149"/>
        <v>2.0083664271266066E-2</v>
      </c>
      <c r="CC110" s="771">
        <f t="shared" si="149"/>
        <v>7.187866253276276E-3</v>
      </c>
      <c r="CD110" s="734">
        <f t="shared" si="149"/>
        <v>3.5936806713862568E-2</v>
      </c>
      <c r="CE110" s="734">
        <f t="shared" si="149"/>
        <v>1.9072527359642821E-2</v>
      </c>
      <c r="CF110" s="734">
        <f t="shared" si="149"/>
        <v>2.2735909275231281E-2</v>
      </c>
      <c r="CG110" s="734">
        <f t="shared" si="149"/>
        <v>2.3733261585777043E-2</v>
      </c>
      <c r="CH110" s="771">
        <f t="shared" si="149"/>
        <v>2.5455303149463981E-2</v>
      </c>
      <c r="CI110" s="734">
        <f t="shared" si="149"/>
        <v>5.0169949692882021E-2</v>
      </c>
      <c r="CJ110" s="734">
        <f t="shared" si="149"/>
        <v>3.2522101404078851E-2</v>
      </c>
      <c r="CK110" s="734">
        <f t="shared" si="149"/>
        <v>3.6147375693814432E-2</v>
      </c>
      <c r="CL110" s="734">
        <f t="shared" si="149"/>
        <v>3.6742522414659584E-2</v>
      </c>
      <c r="CM110" s="771">
        <f t="shared" si="149"/>
        <v>3.9025651923115579E-2</v>
      </c>
      <c r="CN110" s="734">
        <f t="shared" si="149"/>
        <v>5.1251660419269651E-2</v>
      </c>
      <c r="CO110" s="734">
        <f t="shared" si="149"/>
        <v>3.1948593451361473E-2</v>
      </c>
      <c r="CP110" s="734">
        <f t="shared" si="149"/>
        <v>3.7648326256101816E-2</v>
      </c>
      <c r="CQ110" s="734">
        <f t="shared" si="149"/>
        <v>3.8177563401850856E-2</v>
      </c>
      <c r="CR110" s="771">
        <f t="shared" si="149"/>
        <v>3.9943804409738215E-2</v>
      </c>
    </row>
    <row r="111" spans="1:96" ht="12" customHeight="1">
      <c r="A111" s="1042" t="str">
        <f t="shared" si="148"/>
        <v>Gross Profit - Non-GAAP</v>
      </c>
      <c r="B111" s="956"/>
      <c r="C111" s="956"/>
      <c r="D111" s="956"/>
      <c r="E111" s="956"/>
      <c r="F111" s="1043"/>
      <c r="G111" s="780"/>
      <c r="H111" s="780"/>
      <c r="I111" s="780"/>
      <c r="J111" s="780"/>
      <c r="K111" s="1044"/>
      <c r="L111" s="780"/>
      <c r="M111" s="780"/>
      <c r="N111" s="780"/>
      <c r="O111" s="780"/>
      <c r="P111" s="1044"/>
      <c r="Q111" s="780"/>
      <c r="R111" s="780"/>
      <c r="S111" s="780"/>
      <c r="T111" s="780"/>
      <c r="U111" s="1044"/>
      <c r="V111" s="780"/>
      <c r="W111" s="780"/>
      <c r="X111" s="780"/>
      <c r="Y111" s="780"/>
      <c r="Z111" s="1044"/>
      <c r="AA111" s="780"/>
      <c r="AB111" s="780"/>
      <c r="AC111" s="780"/>
      <c r="AD111" s="780"/>
      <c r="AE111" s="1044"/>
      <c r="AF111" s="780"/>
      <c r="AG111" s="780"/>
      <c r="AH111" s="780"/>
      <c r="AI111" s="780"/>
      <c r="AJ111" s="1044"/>
      <c r="AK111" s="780"/>
      <c r="AL111" s="780"/>
      <c r="AM111" s="780"/>
      <c r="AN111" s="780"/>
      <c r="AO111" s="1044"/>
      <c r="AP111" s="780"/>
      <c r="AQ111" s="780"/>
      <c r="AR111" s="780"/>
      <c r="AS111" s="780"/>
      <c r="AT111" s="1044">
        <f t="shared" si="149"/>
        <v>0.49629677061322064</v>
      </c>
      <c r="AU111" s="780">
        <f t="shared" si="149"/>
        <v>0.37114026935132882</v>
      </c>
      <c r="AV111" s="780">
        <f t="shared" si="149"/>
        <v>0.11796053166117804</v>
      </c>
      <c r="AW111" s="780">
        <f t="shared" si="149"/>
        <v>6.3529872708734114E-2</v>
      </c>
      <c r="AX111" s="780">
        <f t="shared" si="149"/>
        <v>7.9143019417433624E-2</v>
      </c>
      <c r="AY111" s="1044">
        <f t="shared" si="149"/>
        <v>0.14475842688615326</v>
      </c>
      <c r="AZ111" s="780">
        <f t="shared" si="149"/>
        <v>0.10205284518617064</v>
      </c>
      <c r="BA111" s="780">
        <f t="shared" si="149"/>
        <v>0.16498512261021236</v>
      </c>
      <c r="BB111" s="780">
        <f t="shared" si="149"/>
        <v>0.73095214173281087</v>
      </c>
      <c r="BC111" s="780">
        <f t="shared" si="149"/>
        <v>0.69433012536406391</v>
      </c>
      <c r="BD111" s="1044">
        <f t="shared" si="149"/>
        <v>0.42875478187187688</v>
      </c>
      <c r="BE111" s="780">
        <f t="shared" si="149"/>
        <v>0.70001986522210857</v>
      </c>
      <c r="BF111" s="780">
        <f t="shared" si="149"/>
        <v>0.56849073775063852</v>
      </c>
      <c r="BG111" s="780">
        <f t="shared" si="149"/>
        <v>9.8840077779605462E-2</v>
      </c>
      <c r="BH111" s="780">
        <f t="shared" si="149"/>
        <v>8.9694603002587137E-2</v>
      </c>
      <c r="BI111" s="1044">
        <f t="shared" si="149"/>
        <v>0.30338365646540333</v>
      </c>
      <c r="BJ111" s="780">
        <f t="shared" si="149"/>
        <v>-7.6673468103657383E-3</v>
      </c>
      <c r="BK111" s="780">
        <f t="shared" si="149"/>
        <v>2.5052641429975209E-2</v>
      </c>
      <c r="BL111" s="780">
        <f t="shared" si="149"/>
        <v>-3.4555314915570623E-2</v>
      </c>
      <c r="BM111" s="780">
        <f t="shared" si="149"/>
        <v>-4.9064659385127274E-2</v>
      </c>
      <c r="BN111" s="1044">
        <f t="shared" si="149"/>
        <v>-1.7451275165389912E-2</v>
      </c>
      <c r="BO111" s="780">
        <f t="shared" si="149"/>
        <v>-7.1061069946919297E-2</v>
      </c>
      <c r="BP111" s="780">
        <f t="shared" si="149"/>
        <v>-4.1366906474820109E-2</v>
      </c>
      <c r="BQ111" s="780">
        <f t="shared" si="149"/>
        <v>-4.8668168264013545E-2</v>
      </c>
      <c r="BR111" s="780">
        <f t="shared" si="149"/>
        <v>-6.0891281024891608E-2</v>
      </c>
      <c r="BS111" s="1044">
        <f t="shared" si="149"/>
        <v>-5.5542439445188774E-2</v>
      </c>
      <c r="BT111" s="780">
        <f t="shared" si="149"/>
        <v>-1.6089241660410813E-3</v>
      </c>
      <c r="BU111" s="780">
        <f t="shared" si="149"/>
        <v>-1.2593308132051617E-2</v>
      </c>
      <c r="BV111" s="780">
        <f t="shared" si="149"/>
        <v>1.1699303682499718E-5</v>
      </c>
      <c r="BW111" s="780">
        <f t="shared" si="149"/>
        <v>1.9248600972672003E-2</v>
      </c>
      <c r="BX111" s="1044">
        <f t="shared" si="149"/>
        <v>1.2473256161074087E-3</v>
      </c>
      <c r="BY111" s="780">
        <f t="shared" si="149"/>
        <v>4.256688880658599E-2</v>
      </c>
      <c r="BZ111" s="780">
        <f t="shared" si="149"/>
        <v>2.0501058871756017E-2</v>
      </c>
      <c r="CA111" s="780">
        <f t="shared" si="149"/>
        <v>2.8607197294873599E-2</v>
      </c>
      <c r="CB111" s="780">
        <f t="shared" si="149"/>
        <v>3.4130945146840563E-2</v>
      </c>
      <c r="CC111" s="1044">
        <f t="shared" si="149"/>
        <v>3.1428692596043861E-2</v>
      </c>
      <c r="CD111" s="780">
        <f t="shared" si="149"/>
        <v>6.7907964401004106E-2</v>
      </c>
      <c r="CE111" s="780">
        <f t="shared" si="149"/>
        <v>4.5436881784252536E-2</v>
      </c>
      <c r="CF111" s="780">
        <f t="shared" si="149"/>
        <v>4.8532856906129185E-2</v>
      </c>
      <c r="CG111" s="780">
        <f t="shared" si="149"/>
        <v>4.8212235770749734E-2</v>
      </c>
      <c r="CH111" s="1044">
        <f t="shared" si="149"/>
        <v>5.2502219774439363E-2</v>
      </c>
      <c r="CI111" s="780">
        <f t="shared" si="149"/>
        <v>6.5221924376355211E-2</v>
      </c>
      <c r="CJ111" s="780">
        <f t="shared" si="149"/>
        <v>4.0989467044065142E-2</v>
      </c>
      <c r="CK111" s="780">
        <f t="shared" si="149"/>
        <v>4.4553687905893646E-2</v>
      </c>
      <c r="CL111" s="780">
        <f t="shared" si="149"/>
        <v>4.4457839402133326E-2</v>
      </c>
      <c r="CM111" s="1044">
        <f t="shared" si="149"/>
        <v>4.8867609460964134E-2</v>
      </c>
      <c r="CN111" s="780">
        <f t="shared" si="149"/>
        <v>6.5664190166243586E-2</v>
      </c>
      <c r="CO111" s="780">
        <f t="shared" si="149"/>
        <v>3.982756663319531E-2</v>
      </c>
      <c r="CP111" s="780">
        <f t="shared" si="149"/>
        <v>4.6124283078521566E-2</v>
      </c>
      <c r="CQ111" s="780">
        <f t="shared" si="149"/>
        <v>4.607109353671679E-2</v>
      </c>
      <c r="CR111" s="1044">
        <f t="shared" si="149"/>
        <v>4.9584683955551823E-2</v>
      </c>
    </row>
    <row r="112" spans="1:96" ht="12" customHeight="1">
      <c r="A112" s="1041" t="str">
        <f t="shared" si="148"/>
        <v>Research and development - Non-GAAP</v>
      </c>
      <c r="F112" s="1030"/>
      <c r="G112" s="734"/>
      <c r="H112" s="734"/>
      <c r="I112" s="734"/>
      <c r="J112" s="734"/>
      <c r="K112" s="771"/>
      <c r="L112" s="734"/>
      <c r="M112" s="734"/>
      <c r="N112" s="734"/>
      <c r="O112" s="734"/>
      <c r="P112" s="771"/>
      <c r="Q112" s="734"/>
      <c r="R112" s="734"/>
      <c r="S112" s="734"/>
      <c r="T112" s="734"/>
      <c r="U112" s="771"/>
      <c r="V112" s="734"/>
      <c r="W112" s="734"/>
      <c r="X112" s="734"/>
      <c r="Y112" s="734"/>
      <c r="Z112" s="771"/>
      <c r="AA112" s="734"/>
      <c r="AB112" s="734"/>
      <c r="AC112" s="734"/>
      <c r="AD112" s="734"/>
      <c r="AE112" s="771"/>
      <c r="AF112" s="734"/>
      <c r="AG112" s="734"/>
      <c r="AH112" s="734"/>
      <c r="AI112" s="734"/>
      <c r="AJ112" s="771"/>
      <c r="AK112" s="734"/>
      <c r="AL112" s="734"/>
      <c r="AM112" s="734"/>
      <c r="AN112" s="734"/>
      <c r="AO112" s="771"/>
      <c r="AP112" s="734"/>
      <c r="AQ112" s="734"/>
      <c r="AR112" s="734"/>
      <c r="AS112" s="734"/>
      <c r="AT112" s="771">
        <f t="shared" ref="AT112:CR112" si="150">+AT33/AO33-1</f>
        <v>0.47047501366347433</v>
      </c>
      <c r="AU112" s="734">
        <f t="shared" si="150"/>
        <v>0.11246153846153839</v>
      </c>
      <c r="AV112" s="734">
        <f t="shared" si="150"/>
        <v>-5.1133333333333253E-2</v>
      </c>
      <c r="AW112" s="734">
        <f t="shared" si="150"/>
        <v>-0.17974029026382277</v>
      </c>
      <c r="AX112" s="734">
        <f t="shared" si="150"/>
        <v>-5.9004922018620731E-2</v>
      </c>
      <c r="AY112" s="771">
        <f t="shared" si="150"/>
        <v>-5.4280727836850562E-2</v>
      </c>
      <c r="AZ112" s="734">
        <f t="shared" si="150"/>
        <v>-6.6450006914672843E-2</v>
      </c>
      <c r="BA112" s="734">
        <f t="shared" si="150"/>
        <v>-1.580833274783966E-2</v>
      </c>
      <c r="BB112" s="734">
        <f t="shared" si="150"/>
        <v>0.59742120343839566</v>
      </c>
      <c r="BC112" s="734">
        <f t="shared" si="150"/>
        <v>0.25352911520040355</v>
      </c>
      <c r="BD112" s="771">
        <f t="shared" si="150"/>
        <v>0.19098474104198337</v>
      </c>
      <c r="BE112" s="734">
        <f t="shared" si="150"/>
        <v>0.46374342641285815</v>
      </c>
      <c r="BF112" s="734">
        <f t="shared" si="150"/>
        <v>0.53390919474585985</v>
      </c>
      <c r="BG112" s="734">
        <f t="shared" si="150"/>
        <v>-6.1031390134529184E-2</v>
      </c>
      <c r="BH112" s="734">
        <f t="shared" si="150"/>
        <v>2.026041928510347E-2</v>
      </c>
      <c r="BI112" s="771">
        <f t="shared" si="150"/>
        <v>0.18338593974175033</v>
      </c>
      <c r="BJ112" s="734">
        <f t="shared" si="150"/>
        <v>6.5985224167594225E-2</v>
      </c>
      <c r="BK112" s="734">
        <f t="shared" si="150"/>
        <v>-0.11830409084562765</v>
      </c>
      <c r="BL112" s="734">
        <f t="shared" si="150"/>
        <v>-0.10516261521562631</v>
      </c>
      <c r="BM112" s="734">
        <f t="shared" si="150"/>
        <v>-3.557701783778433E-2</v>
      </c>
      <c r="BN112" s="771">
        <f t="shared" si="150"/>
        <v>-5.0459494192672372E-2</v>
      </c>
      <c r="BO112" s="734">
        <f t="shared" si="150"/>
        <v>-0.13144403303902019</v>
      </c>
      <c r="BP112" s="734">
        <f t="shared" si="150"/>
        <v>-3.5154394299287461E-2</v>
      </c>
      <c r="BQ112" s="734">
        <f t="shared" si="150"/>
        <v>-8.4218391418049987E-2</v>
      </c>
      <c r="BR112" s="734">
        <f t="shared" si="150"/>
        <v>-7.9296954833435462E-2</v>
      </c>
      <c r="BS112" s="771">
        <f t="shared" si="150"/>
        <v>-8.3822778345250204E-2</v>
      </c>
      <c r="BT112" s="734">
        <f t="shared" si="150"/>
        <v>-4.0607749904356005E-2</v>
      </c>
      <c r="BU112" s="734">
        <f t="shared" si="150"/>
        <v>-1.2495213086056722E-3</v>
      </c>
      <c r="BV112" s="734">
        <f t="shared" si="150"/>
        <v>0.10649842065388437</v>
      </c>
      <c r="BW112" s="734">
        <f t="shared" si="150"/>
        <v>9.5774842175360586E-2</v>
      </c>
      <c r="BX112" s="771">
        <f t="shared" si="150"/>
        <v>3.8846478377813298E-2</v>
      </c>
      <c r="BY112" s="734">
        <f t="shared" si="150"/>
        <v>0.11361536000000005</v>
      </c>
      <c r="BZ112" s="734">
        <f t="shared" si="150"/>
        <v>8.1491840000000204E-2</v>
      </c>
      <c r="CA112" s="734">
        <f t="shared" si="150"/>
        <v>5.029496E-2</v>
      </c>
      <c r="CB112" s="734">
        <f t="shared" si="150"/>
        <v>1.9997990000000021E-2</v>
      </c>
      <c r="CC112" s="771">
        <f t="shared" si="150"/>
        <v>6.4821206858072911E-2</v>
      </c>
      <c r="CD112" s="734">
        <f t="shared" si="150"/>
        <v>4.5755514999999969E-2</v>
      </c>
      <c r="CE112" s="734">
        <f t="shared" si="150"/>
        <v>5.093252249999991E-2</v>
      </c>
      <c r="CF112" s="734">
        <f t="shared" si="150"/>
        <v>5.6135158749999858E-2</v>
      </c>
      <c r="CG112" s="734">
        <f t="shared" si="150"/>
        <v>6.1363550624999652E-2</v>
      </c>
      <c r="CH112" s="771">
        <f t="shared" si="150"/>
        <v>5.3611395952853913E-2</v>
      </c>
      <c r="CI112" s="734">
        <f t="shared" si="150"/>
        <v>5.8749354687499533E-2</v>
      </c>
      <c r="CJ112" s="734">
        <f t="shared" si="150"/>
        <v>5.6141597656249598E-2</v>
      </c>
      <c r="CK112" s="734">
        <f t="shared" si="150"/>
        <v>5.3540263671874699E-2</v>
      </c>
      <c r="CL112" s="734">
        <f t="shared" si="150"/>
        <v>5.0945336914062223E-2</v>
      </c>
      <c r="CM112" s="771">
        <f t="shared" si="150"/>
        <v>5.4795728722894621E-2</v>
      </c>
      <c r="CN112" s="734">
        <f t="shared" si="150"/>
        <v>5.0945336914062223E-2</v>
      </c>
      <c r="CO112" s="734">
        <f t="shared" si="150"/>
        <v>5.0945336914062223E-2</v>
      </c>
      <c r="CP112" s="734">
        <f t="shared" si="150"/>
        <v>5.0945336914062223E-2</v>
      </c>
      <c r="CQ112" s="734">
        <f t="shared" si="150"/>
        <v>5.0945336914062223E-2</v>
      </c>
      <c r="CR112" s="771">
        <f t="shared" si="150"/>
        <v>5.0945336914062223E-2</v>
      </c>
    </row>
    <row r="113" spans="1:96" ht="12" customHeight="1">
      <c r="A113" s="1041" t="str">
        <f t="shared" si="148"/>
        <v>Sales &amp; Marketing - Non-GAAP</v>
      </c>
      <c r="F113" s="1030"/>
      <c r="G113" s="734"/>
      <c r="H113" s="734"/>
      <c r="I113" s="734"/>
      <c r="J113" s="734"/>
      <c r="K113" s="771"/>
      <c r="L113" s="734"/>
      <c r="M113" s="734"/>
      <c r="N113" s="734"/>
      <c r="O113" s="734"/>
      <c r="P113" s="771"/>
      <c r="Q113" s="734"/>
      <c r="R113" s="734"/>
      <c r="S113" s="734"/>
      <c r="T113" s="734"/>
      <c r="U113" s="771"/>
      <c r="V113" s="734"/>
      <c r="W113" s="734"/>
      <c r="X113" s="734"/>
      <c r="Y113" s="734"/>
      <c r="Z113" s="771"/>
      <c r="AA113" s="734"/>
      <c r="AB113" s="734"/>
      <c r="AC113" s="734"/>
      <c r="AD113" s="734"/>
      <c r="AE113" s="771"/>
      <c r="AF113" s="734"/>
      <c r="AG113" s="734"/>
      <c r="AH113" s="734"/>
      <c r="AI113" s="734"/>
      <c r="AJ113" s="771"/>
      <c r="AK113" s="734"/>
      <c r="AL113" s="734"/>
      <c r="AM113" s="734"/>
      <c r="AN113" s="734"/>
      <c r="AO113" s="771"/>
      <c r="AP113" s="734"/>
      <c r="AQ113" s="734"/>
      <c r="AR113" s="734"/>
      <c r="AS113" s="734"/>
      <c r="AT113" s="771">
        <f t="shared" ref="AT113:BT113" si="151">+AT39/AO39-1</f>
        <v>0.60662370747789551</v>
      </c>
      <c r="AU113" s="734">
        <f t="shared" si="151"/>
        <v>0.10172727272727267</v>
      </c>
      <c r="AV113" s="734">
        <f t="shared" si="151"/>
        <v>-9.1769230769230714E-2</v>
      </c>
      <c r="AW113" s="734">
        <f t="shared" si="151"/>
        <v>-7.7068214804063451E-2</v>
      </c>
      <c r="AX113" s="734">
        <f t="shared" si="151"/>
        <v>-0.21737756714060019</v>
      </c>
      <c r="AY113" s="771">
        <f t="shared" si="151"/>
        <v>-8.5365171159406561E-2</v>
      </c>
      <c r="AZ113" s="734">
        <f t="shared" si="151"/>
        <v>-3.3418598894298324E-2</v>
      </c>
      <c r="BA113" s="734">
        <f t="shared" si="151"/>
        <v>-0.12136867959684949</v>
      </c>
      <c r="BB113" s="734">
        <f t="shared" si="151"/>
        <v>0.34069822299103625</v>
      </c>
      <c r="BC113" s="734">
        <f t="shared" si="151"/>
        <v>0.40298748486071823</v>
      </c>
      <c r="BD113" s="771">
        <f t="shared" si="151"/>
        <v>0.15268514552611712</v>
      </c>
      <c r="BE113" s="734">
        <f t="shared" si="151"/>
        <v>0.92547379204370861</v>
      </c>
      <c r="BF113" s="734">
        <f t="shared" si="151"/>
        <v>1.0479082321187589</v>
      </c>
      <c r="BG113" s="734">
        <f t="shared" si="151"/>
        <v>0.11125447187848225</v>
      </c>
      <c r="BH113" s="734">
        <f t="shared" si="151"/>
        <v>8.2642725598526701E-2</v>
      </c>
      <c r="BI113" s="771">
        <f>+BI39/BD39-1</f>
        <v>0.44315668406617714</v>
      </c>
      <c r="BJ113" s="734">
        <f t="shared" si="151"/>
        <v>-0.18607847483928175</v>
      </c>
      <c r="BK113" s="734">
        <f t="shared" si="151"/>
        <v>-7.9736408566721706E-2</v>
      </c>
      <c r="BL113" s="734">
        <f t="shared" si="151"/>
        <v>7.5733586658222496E-2</v>
      </c>
      <c r="BM113" s="734">
        <f t="shared" si="151"/>
        <v>7.6015309376993523E-2</v>
      </c>
      <c r="BN113" s="771">
        <f>+BN39/BI39-1</f>
        <v>-3.7101520353114426E-2</v>
      </c>
      <c r="BO113" s="734">
        <f t="shared" si="151"/>
        <v>-3.377274212877257E-3</v>
      </c>
      <c r="BP113" s="734">
        <f t="shared" si="151"/>
        <v>-0.10362641297120356</v>
      </c>
      <c r="BQ113" s="734">
        <f t="shared" si="151"/>
        <v>-3.69916106559387E-2</v>
      </c>
      <c r="BR113" s="734">
        <f t="shared" si="151"/>
        <v>-0.25135856140697566</v>
      </c>
      <c r="BS113" s="771">
        <f>+BS39/BN39-1</f>
        <v>-0.10097537372348275</v>
      </c>
      <c r="BT113" s="734">
        <f t="shared" si="151"/>
        <v>-5.0448185395715051E-2</v>
      </c>
      <c r="BU113" s="1045">
        <v>0.11</v>
      </c>
      <c r="BV113" s="1045">
        <v>0.09</v>
      </c>
      <c r="BW113" s="1045">
        <v>0.09</v>
      </c>
      <c r="BX113" s="771">
        <f>+BX39/BS39-1</f>
        <v>5.8569202878024029E-2</v>
      </c>
      <c r="BY113" s="1045">
        <v>7.0000000000000007E-2</v>
      </c>
      <c r="BZ113" s="1045">
        <v>7.0000000000000007E-2</v>
      </c>
      <c r="CA113" s="1045">
        <v>7.0000000000000007E-2</v>
      </c>
      <c r="CB113" s="1045">
        <v>0.06</v>
      </c>
      <c r="CC113" s="771">
        <f>+CC39/BX39-1</f>
        <v>6.7789934120265238E-2</v>
      </c>
      <c r="CD113" s="1045">
        <v>0.05</v>
      </c>
      <c r="CE113" s="1045">
        <v>0.05</v>
      </c>
      <c r="CF113" s="1045">
        <v>0.05</v>
      </c>
      <c r="CG113" s="1045">
        <v>0.05</v>
      </c>
      <c r="CH113" s="771">
        <f>+CH39/CC39-1</f>
        <v>5.0000000000000044E-2</v>
      </c>
      <c r="CI113" s="1045">
        <v>3.5000000000000003E-2</v>
      </c>
      <c r="CJ113" s="1045">
        <v>3.5000000000000003E-2</v>
      </c>
      <c r="CK113" s="1045">
        <v>3.5000000000000003E-2</v>
      </c>
      <c r="CL113" s="1045">
        <v>3.5000000000000003E-2</v>
      </c>
      <c r="CM113" s="771">
        <f>+CM39/CH39-1</f>
        <v>3.499999999999992E-2</v>
      </c>
      <c r="CN113" s="1045">
        <f>+CI113-0.001</f>
        <v>3.4000000000000002E-2</v>
      </c>
      <c r="CO113" s="1045">
        <f t="shared" ref="CO113:CQ113" si="152">+CJ113-0.001</f>
        <v>3.4000000000000002E-2</v>
      </c>
      <c r="CP113" s="1045">
        <f t="shared" si="152"/>
        <v>3.4000000000000002E-2</v>
      </c>
      <c r="CQ113" s="1045">
        <f t="shared" si="152"/>
        <v>3.4000000000000002E-2</v>
      </c>
      <c r="CR113" s="771">
        <f>+CR39/CM39-1</f>
        <v>3.400000000000003E-2</v>
      </c>
    </row>
    <row r="114" spans="1:96" ht="12" customHeight="1">
      <c r="A114" s="1041" t="str">
        <f t="shared" si="148"/>
        <v>General and administrative - Non-GAAP</v>
      </c>
      <c r="F114" s="1030"/>
      <c r="G114" s="734"/>
      <c r="H114" s="734"/>
      <c r="I114" s="734"/>
      <c r="J114" s="734"/>
      <c r="K114" s="771"/>
      <c r="L114" s="734"/>
      <c r="M114" s="734"/>
      <c r="N114" s="734"/>
      <c r="O114" s="734"/>
      <c r="P114" s="771"/>
      <c r="Q114" s="734"/>
      <c r="R114" s="734"/>
      <c r="S114" s="734"/>
      <c r="T114" s="734"/>
      <c r="U114" s="771"/>
      <c r="V114" s="734"/>
      <c r="W114" s="734"/>
      <c r="X114" s="734"/>
      <c r="Y114" s="734"/>
      <c r="Z114" s="771"/>
      <c r="AA114" s="734"/>
      <c r="AB114" s="734"/>
      <c r="AC114" s="734"/>
      <c r="AD114" s="734"/>
      <c r="AE114" s="771"/>
      <c r="AF114" s="734"/>
      <c r="AG114" s="734"/>
      <c r="AH114" s="734"/>
      <c r="AI114" s="734"/>
      <c r="AJ114" s="771"/>
      <c r="AK114" s="734"/>
      <c r="AL114" s="734"/>
      <c r="AM114" s="734"/>
      <c r="AN114" s="734"/>
      <c r="AO114" s="771"/>
      <c r="AP114" s="734"/>
      <c r="AQ114" s="734"/>
      <c r="AR114" s="734"/>
      <c r="AS114" s="734"/>
      <c r="AT114" s="771">
        <f t="shared" ref="AT114:CR114" si="153">+AT45/AO45-1</f>
        <v>0.84364653079243612</v>
      </c>
      <c r="AU114" s="734">
        <f t="shared" si="153"/>
        <v>0.12969861158144202</v>
      </c>
      <c r="AV114" s="734">
        <f t="shared" si="153"/>
        <v>-0.23026537296073002</v>
      </c>
      <c r="AW114" s="734">
        <f t="shared" si="153"/>
        <v>-0.23828474778629005</v>
      </c>
      <c r="AX114" s="734">
        <f t="shared" si="153"/>
        <v>0.25504975067215119</v>
      </c>
      <c r="AY114" s="771">
        <f t="shared" si="153"/>
        <v>-5.2679889851139694E-2</v>
      </c>
      <c r="AZ114" s="734">
        <f t="shared" si="153"/>
        <v>0.89020212401507459</v>
      </c>
      <c r="BA114" s="734">
        <f t="shared" si="153"/>
        <v>0.62939398759344689</v>
      </c>
      <c r="BB114" s="734">
        <f t="shared" si="153"/>
        <v>2.7885057471264361</v>
      </c>
      <c r="BC114" s="734">
        <f t="shared" si="153"/>
        <v>1.3254723890435063</v>
      </c>
      <c r="BD114" s="771">
        <f t="shared" si="153"/>
        <v>1.328980073303283</v>
      </c>
      <c r="BE114" s="734">
        <f t="shared" si="153"/>
        <v>0.58894426823742663</v>
      </c>
      <c r="BF114" s="734">
        <f t="shared" si="153"/>
        <v>0.54744240531042632</v>
      </c>
      <c r="BG114" s="734">
        <f t="shared" si="153"/>
        <v>-3.3539276257722461E-2</v>
      </c>
      <c r="BH114" s="734">
        <f t="shared" si="153"/>
        <v>2.0030234315945528E-2</v>
      </c>
      <c r="BI114" s="771">
        <f t="shared" si="153"/>
        <v>0.21375468046234736</v>
      </c>
      <c r="BJ114" s="734">
        <f t="shared" si="153"/>
        <v>-1.8307288696247759E-2</v>
      </c>
      <c r="BK114" s="734">
        <f t="shared" si="153"/>
        <v>-5.8289174867524385E-2</v>
      </c>
      <c r="BL114" s="734">
        <f t="shared" si="153"/>
        <v>-0.13327625570776291</v>
      </c>
      <c r="BM114" s="734">
        <f t="shared" si="153"/>
        <v>-1.2164999382487274E-2</v>
      </c>
      <c r="BN114" s="771">
        <f t="shared" si="153"/>
        <v>-5.6289120715350305E-2</v>
      </c>
      <c r="BO114" s="734">
        <f t="shared" si="153"/>
        <v>-0.11491314704002742</v>
      </c>
      <c r="BP114" s="734">
        <f t="shared" si="153"/>
        <v>-4.0058949624866558E-2</v>
      </c>
      <c r="BQ114" s="734">
        <f t="shared" si="153"/>
        <v>-8.0605861047086114E-2</v>
      </c>
      <c r="BR114" s="734">
        <f t="shared" si="153"/>
        <v>-8.2577983371881047E-2</v>
      </c>
      <c r="BS114" s="771">
        <f t="shared" si="153"/>
        <v>-8.0871089493548709E-2</v>
      </c>
      <c r="BT114" s="734">
        <f t="shared" si="153"/>
        <v>-3.9382999671810914E-4</v>
      </c>
      <c r="BU114" s="734">
        <f t="shared" si="153"/>
        <v>7.3362875087230162E-2</v>
      </c>
      <c r="BV114" s="734">
        <f t="shared" si="153"/>
        <v>0.11275001074421676</v>
      </c>
      <c r="BW114" s="734">
        <f t="shared" si="153"/>
        <v>6.9123325769965271E-2</v>
      </c>
      <c r="BX114" s="771">
        <f t="shared" si="153"/>
        <v>6.2435085203257801E-2</v>
      </c>
      <c r="BY114" s="734">
        <f t="shared" si="153"/>
        <v>4.0604010000000024E-2</v>
      </c>
      <c r="BZ114" s="734">
        <f t="shared" si="153"/>
        <v>4.0604010000000024E-2</v>
      </c>
      <c r="CA114" s="734">
        <f t="shared" si="153"/>
        <v>4.0604009999999802E-2</v>
      </c>
      <c r="CB114" s="734">
        <f t="shared" si="153"/>
        <v>3.8543407999999779E-2</v>
      </c>
      <c r="CC114" s="771">
        <f t="shared" si="153"/>
        <v>4.0081145312201638E-2</v>
      </c>
      <c r="CD114" s="734">
        <f t="shared" si="153"/>
        <v>4.3684711999999681E-2</v>
      </c>
      <c r="CE114" s="734">
        <f t="shared" si="153"/>
        <v>4.885146799999962E-2</v>
      </c>
      <c r="CF114" s="734">
        <f t="shared" si="153"/>
        <v>5.4043801999999586E-2</v>
      </c>
      <c r="CG114" s="734">
        <f t="shared" si="153"/>
        <v>6.136355062499943E-2</v>
      </c>
      <c r="CH114" s="771">
        <f t="shared" si="153"/>
        <v>5.2053654459875087E-2</v>
      </c>
      <c r="CI114" s="734">
        <f t="shared" si="153"/>
        <v>5.8749354687499533E-2</v>
      </c>
      <c r="CJ114" s="734">
        <f t="shared" si="153"/>
        <v>5.6141597656249598E-2</v>
      </c>
      <c r="CK114" s="734">
        <f t="shared" si="153"/>
        <v>5.3540263671874699E-2</v>
      </c>
      <c r="CL114" s="734">
        <f t="shared" si="153"/>
        <v>5.0945336914062223E-2</v>
      </c>
      <c r="CM114" s="771">
        <f t="shared" si="153"/>
        <v>5.4795728722894399E-2</v>
      </c>
      <c r="CN114" s="734">
        <f t="shared" si="153"/>
        <v>5.0945336914062445E-2</v>
      </c>
      <c r="CO114" s="734">
        <f t="shared" si="153"/>
        <v>5.0945336914062445E-2</v>
      </c>
      <c r="CP114" s="734">
        <f t="shared" si="153"/>
        <v>5.0945336914062445E-2</v>
      </c>
      <c r="CQ114" s="734">
        <f t="shared" si="153"/>
        <v>5.0945336914062445E-2</v>
      </c>
      <c r="CR114" s="771">
        <f t="shared" si="153"/>
        <v>5.0945336914062445E-2</v>
      </c>
    </row>
    <row r="115" spans="1:96" ht="12" customHeight="1">
      <c r="A115" s="1041" t="str">
        <f t="shared" si="148"/>
        <v>Non-GAAP Operating expenses</v>
      </c>
      <c r="F115" s="1030"/>
      <c r="G115" s="734"/>
      <c r="H115" s="734"/>
      <c r="I115" s="734"/>
      <c r="J115" s="734"/>
      <c r="K115" s="771"/>
      <c r="L115" s="734"/>
      <c r="M115" s="734"/>
      <c r="N115" s="734"/>
      <c r="O115" s="734"/>
      <c r="P115" s="771"/>
      <c r="Q115" s="734"/>
      <c r="R115" s="734"/>
      <c r="S115" s="734"/>
      <c r="T115" s="734"/>
      <c r="U115" s="771"/>
      <c r="V115" s="734"/>
      <c r="W115" s="734"/>
      <c r="X115" s="734"/>
      <c r="Y115" s="734"/>
      <c r="Z115" s="771"/>
      <c r="AA115" s="734"/>
      <c r="AB115" s="734"/>
      <c r="AC115" s="734"/>
      <c r="AD115" s="734"/>
      <c r="AE115" s="771"/>
      <c r="AF115" s="734"/>
      <c r="AG115" s="734"/>
      <c r="AH115" s="734"/>
      <c r="AI115" s="734"/>
      <c r="AJ115" s="771"/>
      <c r="AK115" s="734"/>
      <c r="AL115" s="734"/>
      <c r="AM115" s="734"/>
      <c r="AN115" s="734"/>
      <c r="AO115" s="771"/>
      <c r="AP115" s="734"/>
      <c r="AQ115" s="734"/>
      <c r="AR115" s="734"/>
      <c r="AS115" s="734"/>
      <c r="AT115" s="771">
        <f t="shared" ref="AT115:CR115" si="154">+(AT39+AT45+AT33)/(AO45+AO39+AO33)-1</f>
        <v>0.5784543851570656</v>
      </c>
      <c r="AU115" s="734">
        <f t="shared" si="154"/>
        <v>0.11146728835786091</v>
      </c>
      <c r="AV115" s="734">
        <f t="shared" si="154"/>
        <v>-0.10619267164808432</v>
      </c>
      <c r="AW115" s="734">
        <f t="shared" si="154"/>
        <v>-0.15150330190428329</v>
      </c>
      <c r="AX115" s="734">
        <f t="shared" si="154"/>
        <v>-7.9932201389412594E-2</v>
      </c>
      <c r="AY115" s="771">
        <f t="shared" si="154"/>
        <v>-6.5851263661202197E-2</v>
      </c>
      <c r="AZ115" s="734">
        <f t="shared" si="154"/>
        <v>0.1181714426725069</v>
      </c>
      <c r="BA115" s="734">
        <f t="shared" si="154"/>
        <v>7.1117022922015494E-2</v>
      </c>
      <c r="BB115" s="734">
        <f t="shared" si="154"/>
        <v>0.82687601309474612</v>
      </c>
      <c r="BC115" s="734">
        <f t="shared" si="154"/>
        <v>0.51490877993158546</v>
      </c>
      <c r="BD115" s="771">
        <f t="shared" si="154"/>
        <v>0.38243112522755163</v>
      </c>
      <c r="BE115" s="734">
        <f t="shared" si="154"/>
        <v>0.65106206896551733</v>
      </c>
      <c r="BF115" s="734">
        <f t="shared" si="154"/>
        <v>0.69190781493675324</v>
      </c>
      <c r="BG115" s="734">
        <f t="shared" si="154"/>
        <v>-1.2526313958139967E-3</v>
      </c>
      <c r="BH115" s="734">
        <f t="shared" si="154"/>
        <v>4.0588600568277178E-2</v>
      </c>
      <c r="BI115" s="771">
        <f t="shared" si="154"/>
        <v>0.27352367519201293</v>
      </c>
      <c r="BJ115" s="734">
        <f t="shared" si="154"/>
        <v>-5.3700021720606173E-2</v>
      </c>
      <c r="BK115" s="734">
        <f t="shared" si="154"/>
        <v>-8.8078656288406498E-2</v>
      </c>
      <c r="BL115" s="734">
        <f t="shared" si="154"/>
        <v>-5.4035222185447873E-2</v>
      </c>
      <c r="BM115" s="734">
        <f t="shared" si="154"/>
        <v>9.2405063291141065E-3</v>
      </c>
      <c r="BN115" s="771">
        <f t="shared" si="154"/>
        <v>-4.7438371217693009E-2</v>
      </c>
      <c r="BO115" s="734">
        <f t="shared" si="154"/>
        <v>-8.490915832406376E-2</v>
      </c>
      <c r="BP115" s="734">
        <f t="shared" si="154"/>
        <v>-6.1582809224318691E-2</v>
      </c>
      <c r="BQ115" s="734">
        <f t="shared" si="154"/>
        <v>-6.5481999815855008E-2</v>
      </c>
      <c r="BR115" s="734">
        <f t="shared" si="154"/>
        <v>-0.14264213147945726</v>
      </c>
      <c r="BS115" s="771">
        <f t="shared" si="154"/>
        <v>-8.9091957833924429E-2</v>
      </c>
      <c r="BT115" s="734">
        <f t="shared" si="154"/>
        <v>-3.2260554140618902E-2</v>
      </c>
      <c r="BU115" s="734">
        <f t="shared" si="154"/>
        <v>5.8965971197191491E-2</v>
      </c>
      <c r="BV115" s="734">
        <f t="shared" si="154"/>
        <v>0.10183686969201378</v>
      </c>
      <c r="BW115" s="734">
        <f t="shared" si="154"/>
        <v>8.5771715464995069E-2</v>
      </c>
      <c r="BX115" s="771">
        <f t="shared" si="154"/>
        <v>5.263483870243979E-2</v>
      </c>
      <c r="BY115" s="734">
        <f t="shared" si="154"/>
        <v>7.6339271427745325E-2</v>
      </c>
      <c r="BZ115" s="734">
        <f t="shared" si="154"/>
        <v>6.5435101444471844E-2</v>
      </c>
      <c r="CA115" s="734">
        <f t="shared" si="154"/>
        <v>5.5142338563467064E-2</v>
      </c>
      <c r="CB115" s="734">
        <f t="shared" si="154"/>
        <v>3.8316702569037853E-2</v>
      </c>
      <c r="CC115" s="771">
        <f t="shared" si="154"/>
        <v>5.8625878087055217E-2</v>
      </c>
      <c r="CD115" s="734">
        <f t="shared" si="154"/>
        <v>4.6609169717848342E-2</v>
      </c>
      <c r="CE115" s="734">
        <f t="shared" si="154"/>
        <v>5.0000502253754409E-2</v>
      </c>
      <c r="CF115" s="734">
        <f t="shared" si="154"/>
        <v>5.3181579861915518E-2</v>
      </c>
      <c r="CG115" s="734">
        <f t="shared" si="154"/>
        <v>5.7675274809672938E-2</v>
      </c>
      <c r="CH115" s="771">
        <f t="shared" si="154"/>
        <v>5.1873565969666746E-2</v>
      </c>
      <c r="CI115" s="734">
        <f t="shared" si="154"/>
        <v>5.054502517818249E-2</v>
      </c>
      <c r="CJ115" s="734">
        <f t="shared" si="154"/>
        <v>4.8361930498140637E-2</v>
      </c>
      <c r="CK115" s="734">
        <f t="shared" si="154"/>
        <v>4.6368027831942271E-2</v>
      </c>
      <c r="CL115" s="734">
        <f t="shared" si="154"/>
        <v>4.5807503878692479E-2</v>
      </c>
      <c r="CM115" s="771">
        <f t="shared" si="154"/>
        <v>4.7739625862977864E-2</v>
      </c>
      <c r="CN115" s="734">
        <f t="shared" si="154"/>
        <v>4.5178108285667484E-2</v>
      </c>
      <c r="CO115" s="734">
        <f t="shared" si="154"/>
        <v>4.4789281377363155E-2</v>
      </c>
      <c r="CP115" s="734">
        <f t="shared" si="154"/>
        <v>4.4461310845074875E-2</v>
      </c>
      <c r="CQ115" s="734">
        <f t="shared" si="154"/>
        <v>4.5541713298166142E-2</v>
      </c>
      <c r="CR115" s="771">
        <f t="shared" si="154"/>
        <v>4.497868643695635E-2</v>
      </c>
    </row>
    <row r="116" spans="1:96" s="1054" customFormat="1" ht="12" customHeight="1">
      <c r="A116" s="1049" t="str">
        <f t="shared" si="148"/>
        <v>Non-GAAP Operating Income (Loss)</v>
      </c>
      <c r="B116" s="1050"/>
      <c r="C116" s="1050"/>
      <c r="D116" s="1050"/>
      <c r="E116" s="1050"/>
      <c r="F116" s="1051"/>
      <c r="G116" s="1052"/>
      <c r="H116" s="1052"/>
      <c r="I116" s="1052"/>
      <c r="J116" s="1052"/>
      <c r="K116" s="1053"/>
      <c r="L116" s="1052"/>
      <c r="M116" s="1052"/>
      <c r="N116" s="1052"/>
      <c r="O116" s="1052"/>
      <c r="P116" s="1053"/>
      <c r="Q116" s="1052"/>
      <c r="R116" s="1052"/>
      <c r="S116" s="1052"/>
      <c r="T116" s="1052"/>
      <c r="U116" s="1053"/>
      <c r="V116" s="1052"/>
      <c r="W116" s="1052"/>
      <c r="X116" s="1052"/>
      <c r="Y116" s="1052"/>
      <c r="Z116" s="1053"/>
      <c r="AA116" s="1052"/>
      <c r="AB116" s="1052"/>
      <c r="AC116" s="1052"/>
      <c r="AD116" s="1052"/>
      <c r="AE116" s="1053"/>
      <c r="AF116" s="1052"/>
      <c r="AG116" s="1052"/>
      <c r="AH116" s="1052"/>
      <c r="AI116" s="1052"/>
      <c r="AJ116" s="1053"/>
      <c r="AK116" s="1052"/>
      <c r="AL116" s="1052"/>
      <c r="AM116" s="1052"/>
      <c r="AN116" s="1052"/>
      <c r="AO116" s="1053"/>
      <c r="AP116" s="1052"/>
      <c r="AQ116" s="1052"/>
      <c r="AR116" s="1052"/>
      <c r="AS116" s="1052"/>
      <c r="AT116" s="1053">
        <f t="shared" ref="AT116:CR116" si="155">+IF(AND(AT64&gt;0,AO64&gt;0),AT64/AO64-1,"NM")</f>
        <v>0.354292037116124</v>
      </c>
      <c r="AU116" s="1052">
        <f t="shared" si="155"/>
        <v>0.90678925035360769</v>
      </c>
      <c r="AV116" s="1052">
        <f t="shared" si="155"/>
        <v>0.62026022304832562</v>
      </c>
      <c r="AW116" s="1052">
        <f t="shared" si="155"/>
        <v>0.48165627724355486</v>
      </c>
      <c r="AX116" s="1052">
        <f t="shared" si="155"/>
        <v>0.37623453199527113</v>
      </c>
      <c r="AY116" s="1053">
        <f t="shared" si="155"/>
        <v>0.5690389163620726</v>
      </c>
      <c r="AZ116" s="1052">
        <f t="shared" si="155"/>
        <v>8.2671908612120149E-2</v>
      </c>
      <c r="BA116" s="1052">
        <f t="shared" si="155"/>
        <v>0.28102175825016307</v>
      </c>
      <c r="BB116" s="1052">
        <f t="shared" si="155"/>
        <v>0.62413732082817197</v>
      </c>
      <c r="BC116" s="1052">
        <f t="shared" si="155"/>
        <v>0.91835136674260021</v>
      </c>
      <c r="BD116" s="1053">
        <f t="shared" si="155"/>
        <v>0.4843144778191919</v>
      </c>
      <c r="BE116" s="1052">
        <f t="shared" si="155"/>
        <v>0.76081669007570807</v>
      </c>
      <c r="BF116" s="1052">
        <f t="shared" si="155"/>
        <v>0.44092537313432789</v>
      </c>
      <c r="BG116" s="1052">
        <f t="shared" si="155"/>
        <v>0.22421006755284423</v>
      </c>
      <c r="BH116" s="1052">
        <f t="shared" si="155"/>
        <v>0.13811273145571201</v>
      </c>
      <c r="BI116" s="1053">
        <f t="shared" si="155"/>
        <v>0.33673890164267406</v>
      </c>
      <c r="BJ116" s="1052">
        <f t="shared" si="155"/>
        <v>4.593385214007828E-2</v>
      </c>
      <c r="BK116" s="1052">
        <f t="shared" si="155"/>
        <v>0.16235420853100191</v>
      </c>
      <c r="BL116" s="1052">
        <f t="shared" si="155"/>
        <v>-1.4649602164509723E-2</v>
      </c>
      <c r="BM116" s="1052">
        <f t="shared" si="155"/>
        <v>-0.10162694401878036</v>
      </c>
      <c r="BN116" s="1053">
        <f t="shared" si="155"/>
        <v>1.4461858631994451E-2</v>
      </c>
      <c r="BO116" s="1052">
        <f t="shared" si="155"/>
        <v>-5.6472163836238209E-2</v>
      </c>
      <c r="BP116" s="1052">
        <f t="shared" si="155"/>
        <v>-2.2118058030939913E-2</v>
      </c>
      <c r="BQ116" s="1052">
        <f t="shared" si="155"/>
        <v>-3.2173567454295782E-2</v>
      </c>
      <c r="BR116" s="1052">
        <f t="shared" si="155"/>
        <v>2.1902446105829032E-2</v>
      </c>
      <c r="BS116" s="1053">
        <f t="shared" si="155"/>
        <v>-2.201667476047664E-2</v>
      </c>
      <c r="BT116" s="1052">
        <f t="shared" si="155"/>
        <v>2.9709216362740376E-2</v>
      </c>
      <c r="BU116" s="1052">
        <f t="shared" si="155"/>
        <v>-7.7979658942051833E-2</v>
      </c>
      <c r="BV116" s="1052">
        <f t="shared" si="155"/>
        <v>-9.644234777121119E-2</v>
      </c>
      <c r="BW116" s="1052">
        <f t="shared" si="155"/>
        <v>-3.7275078836573328E-2</v>
      </c>
      <c r="BX116" s="1053">
        <f t="shared" si="155"/>
        <v>-4.6581871310354628E-2</v>
      </c>
      <c r="BY116" s="1052">
        <f t="shared" si="155"/>
        <v>1.0136814852938603E-2</v>
      </c>
      <c r="BZ116" s="1052">
        <f t="shared" si="155"/>
        <v>-2.6655069024192457E-2</v>
      </c>
      <c r="CA116" s="1052">
        <f t="shared" si="155"/>
        <v>-2.0440495547292548E-3</v>
      </c>
      <c r="CB116" s="1052">
        <f t="shared" si="155"/>
        <v>3.0119801459714157E-2</v>
      </c>
      <c r="CC116" s="1053">
        <f t="shared" si="155"/>
        <v>3.4804962346557389E-3</v>
      </c>
      <c r="CD116" s="1052">
        <f t="shared" si="155"/>
        <v>8.97006248409975E-2</v>
      </c>
      <c r="CE116" s="1052">
        <f t="shared" si="155"/>
        <v>4.0194454765899001E-2</v>
      </c>
      <c r="CF116" s="1052">
        <f t="shared" si="155"/>
        <v>4.2855318453600688E-2</v>
      </c>
      <c r="CG116" s="1052">
        <f t="shared" si="155"/>
        <v>3.9071800025348935E-2</v>
      </c>
      <c r="CH116" s="1053">
        <f t="shared" si="155"/>
        <v>5.3183734024642382E-2</v>
      </c>
      <c r="CI116" s="1052">
        <f t="shared" si="155"/>
        <v>7.9645298607720072E-2</v>
      </c>
      <c r="CJ116" s="1052">
        <f t="shared" si="155"/>
        <v>3.2440562363907688E-2</v>
      </c>
      <c r="CK116" s="1052">
        <f t="shared" si="155"/>
        <v>4.2315872437602042E-2</v>
      </c>
      <c r="CL116" s="1052">
        <f t="shared" si="155"/>
        <v>4.3130845646573546E-2</v>
      </c>
      <c r="CM116" s="1053">
        <f t="shared" si="155"/>
        <v>5.0088918512191327E-2</v>
      </c>
      <c r="CN116" s="1052">
        <f t="shared" si="155"/>
        <v>8.5253766215652504E-2</v>
      </c>
      <c r="CO116" s="1052">
        <f t="shared" si="155"/>
        <v>3.398537468279228E-2</v>
      </c>
      <c r="CP116" s="1052">
        <f t="shared" si="155"/>
        <v>4.8183374937555978E-2</v>
      </c>
      <c r="CQ116" s="1052">
        <f t="shared" si="155"/>
        <v>4.6592917180514393E-2</v>
      </c>
      <c r="CR116" s="1053">
        <f t="shared" si="155"/>
        <v>5.4560608484655715E-2</v>
      </c>
    </row>
    <row r="117" spans="1:96" s="1054" customFormat="1" ht="12" customHeight="1">
      <c r="A117" s="1016" t="s">
        <v>993</v>
      </c>
      <c r="B117" s="1050"/>
      <c r="C117" s="1050"/>
      <c r="D117" s="1050"/>
      <c r="E117" s="1050"/>
      <c r="F117" s="1051"/>
      <c r="G117" s="1052"/>
      <c r="H117" s="1052"/>
      <c r="I117" s="1052"/>
      <c r="J117" s="1052"/>
      <c r="K117" s="1053"/>
      <c r="L117" s="1052"/>
      <c r="M117" s="1052"/>
      <c r="N117" s="1052"/>
      <c r="O117" s="1052"/>
      <c r="P117" s="1053"/>
      <c r="Q117" s="1052"/>
      <c r="R117" s="1052"/>
      <c r="S117" s="1052"/>
      <c r="T117" s="1052"/>
      <c r="U117" s="1053"/>
      <c r="V117" s="1052"/>
      <c r="W117" s="1052"/>
      <c r="X117" s="1052"/>
      <c r="Y117" s="1052"/>
      <c r="Z117" s="1053"/>
      <c r="AA117" s="1052"/>
      <c r="AB117" s="1052"/>
      <c r="AC117" s="1052"/>
      <c r="AD117" s="1052"/>
      <c r="AE117" s="1053"/>
      <c r="AF117" s="1052"/>
      <c r="AG117" s="1052"/>
      <c r="AH117" s="1052"/>
      <c r="AI117" s="1052"/>
      <c r="AJ117" s="1053"/>
      <c r="AK117" s="1052"/>
      <c r="AL117" s="1052"/>
      <c r="AM117" s="1052"/>
      <c r="AN117" s="1052"/>
      <c r="AO117" s="1053"/>
      <c r="AP117" s="1052"/>
      <c r="AQ117" s="1052"/>
      <c r="AR117" s="1052"/>
      <c r="AS117" s="1052"/>
      <c r="AT117" s="1053">
        <f t="shared" ref="AT117:CR117" si="156">+IF(AND(AT67&gt;0,AO67&gt;0),AT67/AO67-1,"NM")</f>
        <v>0.45202432151861216</v>
      </c>
      <c r="AU117" s="1052">
        <f t="shared" si="156"/>
        <v>0.94910720740258925</v>
      </c>
      <c r="AV117" s="1052">
        <f t="shared" si="156"/>
        <v>0.65167687740794422</v>
      </c>
      <c r="AW117" s="1052">
        <f t="shared" si="156"/>
        <v>0.5058992824926849</v>
      </c>
      <c r="AX117" s="1052">
        <f t="shared" si="156"/>
        <v>0.39724613806607834</v>
      </c>
      <c r="AY117" s="1053">
        <f t="shared" si="156"/>
        <v>0.5971519033514745</v>
      </c>
      <c r="AZ117" s="1052">
        <f t="shared" si="156"/>
        <v>8.2671908612120149E-2</v>
      </c>
      <c r="BA117" s="1052">
        <f t="shared" si="156"/>
        <v>0.28102175825016307</v>
      </c>
      <c r="BB117" s="1052">
        <f t="shared" si="156"/>
        <v>0.62413732082817197</v>
      </c>
      <c r="BC117" s="1052">
        <f t="shared" si="156"/>
        <v>0.91835136674260021</v>
      </c>
      <c r="BD117" s="1053">
        <f t="shared" si="156"/>
        <v>0.4843144778191919</v>
      </c>
      <c r="BE117" s="1052">
        <f t="shared" si="156"/>
        <v>0.76081669007570807</v>
      </c>
      <c r="BF117" s="1052">
        <f t="shared" si="156"/>
        <v>0.44319402985074596</v>
      </c>
      <c r="BG117" s="1052">
        <f t="shared" si="156"/>
        <v>0.22368707779472707</v>
      </c>
      <c r="BH117" s="1052">
        <f t="shared" si="156"/>
        <v>0.13811273145571201</v>
      </c>
      <c r="BI117" s="1053">
        <f t="shared" si="156"/>
        <v>0.3370589430018649</v>
      </c>
      <c r="BJ117" s="1052">
        <f t="shared" si="156"/>
        <v>4.593385214007828E-2</v>
      </c>
      <c r="BK117" s="1052">
        <f t="shared" si="156"/>
        <v>0.16052702339338532</v>
      </c>
      <c r="BL117" s="1052">
        <f t="shared" si="156"/>
        <v>-1.4228474757367882E-2</v>
      </c>
      <c r="BM117" s="1052">
        <f t="shared" si="156"/>
        <v>-0.10162694401878036</v>
      </c>
      <c r="BN117" s="1053">
        <f t="shared" si="156"/>
        <v>1.4219034817993359E-2</v>
      </c>
      <c r="BO117" s="1052">
        <f t="shared" si="156"/>
        <v>-5.6472163836238209E-2</v>
      </c>
      <c r="BP117" s="1052">
        <f t="shared" si="156"/>
        <v>-2.2118058030939913E-2</v>
      </c>
      <c r="BQ117" s="1052">
        <f t="shared" si="156"/>
        <v>-3.2173567454295782E-2</v>
      </c>
      <c r="BR117" s="1052">
        <f t="shared" si="156"/>
        <v>2.1902446105829032E-2</v>
      </c>
      <c r="BS117" s="1053">
        <f t="shared" si="156"/>
        <v>-2.201667476047664E-2</v>
      </c>
      <c r="BT117" s="1052">
        <f t="shared" si="156"/>
        <v>2.9709216362740376E-2</v>
      </c>
      <c r="BU117" s="1052">
        <f t="shared" si="156"/>
        <v>-7.7979658942051833E-2</v>
      </c>
      <c r="BV117" s="1052">
        <f t="shared" si="156"/>
        <v>-9.644234777121119E-2</v>
      </c>
      <c r="BW117" s="1052">
        <f t="shared" si="156"/>
        <v>-3.7275078836573328E-2</v>
      </c>
      <c r="BX117" s="1053">
        <f t="shared" si="156"/>
        <v>-4.6581871310354628E-2</v>
      </c>
      <c r="BY117" s="1052">
        <f t="shared" si="156"/>
        <v>1.0136814852938603E-2</v>
      </c>
      <c r="BZ117" s="1052">
        <f t="shared" si="156"/>
        <v>-2.6655069024192457E-2</v>
      </c>
      <c r="CA117" s="1052">
        <f t="shared" si="156"/>
        <v>-2.0440495547292548E-3</v>
      </c>
      <c r="CB117" s="1052">
        <f t="shared" si="156"/>
        <v>3.0119801459714157E-2</v>
      </c>
      <c r="CC117" s="1053">
        <f t="shared" si="156"/>
        <v>3.4804962346557389E-3</v>
      </c>
      <c r="CD117" s="1052">
        <f t="shared" si="156"/>
        <v>8.97006248409975E-2</v>
      </c>
      <c r="CE117" s="1052">
        <f t="shared" si="156"/>
        <v>4.0194454765899001E-2</v>
      </c>
      <c r="CF117" s="1052">
        <f t="shared" si="156"/>
        <v>4.2855318453600688E-2</v>
      </c>
      <c r="CG117" s="1052">
        <f t="shared" si="156"/>
        <v>3.9071800025348935E-2</v>
      </c>
      <c r="CH117" s="1053">
        <f t="shared" si="156"/>
        <v>5.3183734024642382E-2</v>
      </c>
      <c r="CI117" s="1052">
        <f t="shared" si="156"/>
        <v>7.9645298607720072E-2</v>
      </c>
      <c r="CJ117" s="1052">
        <f t="shared" si="156"/>
        <v>3.2440562363907688E-2</v>
      </c>
      <c r="CK117" s="1052">
        <f t="shared" si="156"/>
        <v>4.2315872437602042E-2</v>
      </c>
      <c r="CL117" s="1052">
        <f t="shared" si="156"/>
        <v>4.3130845646573546E-2</v>
      </c>
      <c r="CM117" s="1053">
        <f t="shared" si="156"/>
        <v>5.0088918512191327E-2</v>
      </c>
      <c r="CN117" s="1052">
        <f t="shared" si="156"/>
        <v>8.5253766215652504E-2</v>
      </c>
      <c r="CO117" s="1052">
        <f t="shared" si="156"/>
        <v>3.398537468279228E-2</v>
      </c>
      <c r="CP117" s="1052">
        <f t="shared" si="156"/>
        <v>4.8183374937555978E-2</v>
      </c>
      <c r="CQ117" s="1052">
        <f t="shared" si="156"/>
        <v>4.6592917180514393E-2</v>
      </c>
      <c r="CR117" s="1053">
        <f t="shared" si="156"/>
        <v>5.4560608484655715E-2</v>
      </c>
    </row>
    <row r="118" spans="1:96" ht="12" customHeight="1">
      <c r="A118" s="1041" t="str">
        <f t="shared" ref="A118:A124" si="157">+A93</f>
        <v>Share-based compensation</v>
      </c>
      <c r="F118" s="1030"/>
      <c r="G118" s="734"/>
      <c r="H118" s="734"/>
      <c r="I118" s="734"/>
      <c r="J118" s="734"/>
      <c r="K118" s="771"/>
      <c r="L118" s="734"/>
      <c r="M118" s="734"/>
      <c r="N118" s="734"/>
      <c r="O118" s="734"/>
      <c r="P118" s="771"/>
      <c r="Q118" s="734"/>
      <c r="R118" s="734"/>
      <c r="S118" s="734"/>
      <c r="T118" s="734"/>
      <c r="U118" s="771"/>
      <c r="V118" s="734"/>
      <c r="W118" s="734"/>
      <c r="X118" s="734"/>
      <c r="Y118" s="734"/>
      <c r="Z118" s="771"/>
      <c r="AA118" s="734"/>
      <c r="AB118" s="734"/>
      <c r="AC118" s="734"/>
      <c r="AD118" s="734"/>
      <c r="AE118" s="771"/>
      <c r="AF118" s="734"/>
      <c r="AG118" s="734"/>
      <c r="AH118" s="734"/>
      <c r="AI118" s="734"/>
      <c r="AJ118" s="771"/>
      <c r="AK118" s="734"/>
      <c r="AL118" s="734"/>
      <c r="AM118" s="734"/>
      <c r="AN118" s="734"/>
      <c r="AO118" s="771"/>
      <c r="AP118" s="734"/>
      <c r="AQ118" s="734"/>
      <c r="AR118" s="734"/>
      <c r="AS118" s="734"/>
      <c r="AT118" s="771">
        <f>+AT51/AO51-1</f>
        <v>1.3471711976487879</v>
      </c>
      <c r="AU118" s="734">
        <f t="shared" ref="AU118:CR118" si="158">+AU51/AP51-1</f>
        <v>0.14250000000000007</v>
      </c>
      <c r="AV118" s="734">
        <f t="shared" si="158"/>
        <v>-0.7964</v>
      </c>
      <c r="AW118" s="734">
        <f t="shared" si="158"/>
        <v>-0.19899999999999995</v>
      </c>
      <c r="AX118" s="734">
        <f t="shared" si="158"/>
        <v>7.2538996880249584</v>
      </c>
      <c r="AY118" s="771">
        <f t="shared" si="158"/>
        <v>1.1452496478322116</v>
      </c>
      <c r="AZ118" s="734">
        <f t="shared" si="158"/>
        <v>4.9015317286651872E-2</v>
      </c>
      <c r="BA118" s="734">
        <f t="shared" si="158"/>
        <v>0.24607072691552068</v>
      </c>
      <c r="BB118" s="734">
        <f t="shared" si="158"/>
        <v>0.67582188930503495</v>
      </c>
      <c r="BC118" s="734">
        <f t="shared" si="158"/>
        <v>-0.93219747630400651</v>
      </c>
      <c r="BD118" s="771">
        <f t="shared" si="158"/>
        <v>-0.72535142759861859</v>
      </c>
      <c r="BE118" s="734">
        <f t="shared" si="158"/>
        <v>0.33750521485189822</v>
      </c>
      <c r="BF118" s="734">
        <f t="shared" si="158"/>
        <v>1.0315333070555774</v>
      </c>
      <c r="BG118" s="734">
        <f t="shared" si="158"/>
        <v>0.1912093369754162</v>
      </c>
      <c r="BH118" s="734">
        <f t="shared" si="158"/>
        <v>0.99099485420240097</v>
      </c>
      <c r="BI118" s="771">
        <f t="shared" si="158"/>
        <v>0.57619764455857592</v>
      </c>
      <c r="BJ118" s="734">
        <f t="shared" si="158"/>
        <v>0.39114160948222088</v>
      </c>
      <c r="BK118" s="734">
        <f t="shared" si="158"/>
        <v>0.44412107101280562</v>
      </c>
      <c r="BL118" s="734">
        <f t="shared" si="158"/>
        <v>0.42609964561184088</v>
      </c>
      <c r="BM118" s="734">
        <f t="shared" si="158"/>
        <v>0.81843635580443741</v>
      </c>
      <c r="BN118" s="771">
        <f t="shared" si="158"/>
        <v>0.52735955056179806</v>
      </c>
      <c r="BO118" s="734">
        <f t="shared" si="158"/>
        <v>1.6428251121076234</v>
      </c>
      <c r="BP118" s="734">
        <f t="shared" si="158"/>
        <v>0.7362622598414621</v>
      </c>
      <c r="BQ118" s="734">
        <f t="shared" si="158"/>
        <v>0.52243824002338801</v>
      </c>
      <c r="BR118" s="734">
        <f t="shared" si="158"/>
        <v>0.10671562240909593</v>
      </c>
      <c r="BS118" s="771">
        <f t="shared" si="158"/>
        <v>0.63567146062456326</v>
      </c>
      <c r="BT118" s="734">
        <f t="shared" si="158"/>
        <v>-4.5473827097650021E-2</v>
      </c>
      <c r="BU118" s="734">
        <f t="shared" si="158"/>
        <v>-1.0994302197224637E-2</v>
      </c>
      <c r="BV118" s="734">
        <f t="shared" si="158"/>
        <v>-1.0523490817974102E-3</v>
      </c>
      <c r="BW118" s="734">
        <f t="shared" si="158"/>
        <v>9.2116742425232268E-3</v>
      </c>
      <c r="BX118" s="771">
        <f t="shared" si="158"/>
        <v>-1.3559236746036984E-2</v>
      </c>
      <c r="BY118" s="734">
        <f t="shared" si="158"/>
        <v>2.2577775113033161E-2</v>
      </c>
      <c r="BZ118" s="734">
        <f t="shared" si="158"/>
        <v>1.7390109563540035E-2</v>
      </c>
      <c r="CA118" s="734">
        <f t="shared" si="158"/>
        <v>2.5241753139365608E-2</v>
      </c>
      <c r="CB118" s="734">
        <f t="shared" si="158"/>
        <v>2.9762775496704919E-2</v>
      </c>
      <c r="CC118" s="771">
        <f t="shared" si="158"/>
        <v>2.324271044747972E-2</v>
      </c>
      <c r="CD118" s="734">
        <f t="shared" si="158"/>
        <v>5.7805962000762712E-2</v>
      </c>
      <c r="CE118" s="734">
        <f t="shared" si="158"/>
        <v>3.728806411835639E-2</v>
      </c>
      <c r="CF118" s="734">
        <f t="shared" si="158"/>
        <v>4.0558935425054621E-2</v>
      </c>
      <c r="CG118" s="734">
        <f t="shared" si="158"/>
        <v>4.0671754782240388E-2</v>
      </c>
      <c r="CH118" s="771">
        <f t="shared" si="158"/>
        <v>4.4056521596516074E-2</v>
      </c>
      <c r="CI118" s="734">
        <f t="shared" si="158"/>
        <v>6.0564242340964025E-2</v>
      </c>
      <c r="CJ118" s="734">
        <f t="shared" si="158"/>
        <v>3.8418292935046505E-2</v>
      </c>
      <c r="CK118" s="734">
        <f t="shared" si="158"/>
        <v>4.1999775660850114E-2</v>
      </c>
      <c r="CL118" s="734">
        <f t="shared" si="158"/>
        <v>4.2119903202133102E-2</v>
      </c>
      <c r="CM118" s="771">
        <f t="shared" si="158"/>
        <v>4.5815951462906623E-2</v>
      </c>
      <c r="CN118" s="734">
        <f t="shared" si="158"/>
        <v>6.1248087297814502E-2</v>
      </c>
      <c r="CO118" s="734">
        <f t="shared" si="158"/>
        <v>3.7448646723882373E-2</v>
      </c>
      <c r="CP118" s="734">
        <f t="shared" si="158"/>
        <v>4.3563675088868825E-2</v>
      </c>
      <c r="CQ118" s="734">
        <f t="shared" si="158"/>
        <v>4.3691496748641701E-2</v>
      </c>
      <c r="CR118" s="771">
        <f t="shared" si="158"/>
        <v>4.6500881891543333E-2</v>
      </c>
    </row>
    <row r="119" spans="1:96" ht="12" customHeight="1">
      <c r="A119" s="1041" t="str">
        <f t="shared" si="157"/>
        <v>Acquisition-related expenses</v>
      </c>
      <c r="F119" s="1030"/>
      <c r="G119" s="734"/>
      <c r="H119" s="734"/>
      <c r="I119" s="734"/>
      <c r="J119" s="734"/>
      <c r="K119" s="771"/>
      <c r="L119" s="734"/>
      <c r="M119" s="734"/>
      <c r="N119" s="734"/>
      <c r="O119" s="734"/>
      <c r="P119" s="771"/>
      <c r="Q119" s="734"/>
      <c r="R119" s="734"/>
      <c r="S119" s="734"/>
      <c r="T119" s="734"/>
      <c r="U119" s="771"/>
      <c r="V119" s="734"/>
      <c r="W119" s="734"/>
      <c r="X119" s="734"/>
      <c r="Y119" s="734"/>
      <c r="Z119" s="771"/>
      <c r="AA119" s="734"/>
      <c r="AB119" s="734"/>
      <c r="AC119" s="734"/>
      <c r="AD119" s="734"/>
      <c r="AE119" s="771"/>
      <c r="AF119" s="734"/>
      <c r="AG119" s="734"/>
      <c r="AH119" s="734"/>
      <c r="AI119" s="734"/>
      <c r="AJ119" s="771"/>
      <c r="AK119" s="734"/>
      <c r="AL119" s="734"/>
      <c r="AM119" s="734"/>
      <c r="AN119" s="734"/>
      <c r="AO119" s="771"/>
      <c r="AP119" s="734"/>
      <c r="AQ119" s="734"/>
      <c r="AR119" s="734"/>
      <c r="AS119" s="734"/>
      <c r="AT119" s="771">
        <f>+AT46/AO46-1</f>
        <v>0.7146433844771134</v>
      </c>
      <c r="AU119" s="734">
        <f t="shared" ref="AU119:CR120" si="159">+AU46/AP46-1</f>
        <v>0.68399999999999994</v>
      </c>
      <c r="AV119" s="734">
        <f t="shared" si="159"/>
        <v>-0.88129411764705878</v>
      </c>
      <c r="AW119" s="734">
        <f t="shared" si="159"/>
        <v>0.19359999999999999</v>
      </c>
      <c r="AX119" s="734">
        <f t="shared" si="159"/>
        <v>1.6987818383167252</v>
      </c>
      <c r="AY119" s="771">
        <f t="shared" si="159"/>
        <v>-0.3011718896252199</v>
      </c>
      <c r="AZ119" s="734">
        <f t="shared" si="159"/>
        <v>1.9032066508313541</v>
      </c>
      <c r="BA119" s="734">
        <f t="shared" si="159"/>
        <v>2.5550049554013881</v>
      </c>
      <c r="BB119" s="734">
        <f t="shared" si="159"/>
        <v>4.5656836461126007</v>
      </c>
      <c r="BC119" s="734">
        <f t="shared" si="159"/>
        <v>0.9411845164820134</v>
      </c>
      <c r="BD119" s="771">
        <f t="shared" si="159"/>
        <v>2.4481650147334593</v>
      </c>
      <c r="BE119" s="734">
        <f t="shared" si="159"/>
        <v>-0.30824299447739822</v>
      </c>
      <c r="BF119" s="734">
        <f t="shared" si="159"/>
        <v>71.539169222191248</v>
      </c>
      <c r="BG119" s="734">
        <f t="shared" si="159"/>
        <v>-0.94072133911368017</v>
      </c>
      <c r="BH119" s="734">
        <f t="shared" si="159"/>
        <v>26.391065388951521</v>
      </c>
      <c r="BI119" s="771">
        <f t="shared" si="159"/>
        <v>13.261389061528897</v>
      </c>
      <c r="BJ119" s="734">
        <f t="shared" si="159"/>
        <v>59.678592548787698</v>
      </c>
      <c r="BK119" s="734">
        <f t="shared" si="159"/>
        <v>-0.99996541095627178</v>
      </c>
      <c r="BL119" s="734">
        <f t="shared" si="159"/>
        <v>363.50431691213817</v>
      </c>
      <c r="BM119" s="734">
        <f t="shared" si="159"/>
        <v>-0.99571943797043738</v>
      </c>
      <c r="BN119" s="771">
        <f t="shared" si="159"/>
        <v>0.23092553028066298</v>
      </c>
      <c r="BO119" s="734">
        <f t="shared" si="159"/>
        <v>-0.99931047925346583</v>
      </c>
      <c r="BP119" s="734">
        <f t="shared" si="159"/>
        <v>94.555555555555557</v>
      </c>
      <c r="BQ119" s="734">
        <f t="shared" si="159"/>
        <v>-0.47153094081305935</v>
      </c>
      <c r="BR119" s="734">
        <f t="shared" si="159"/>
        <v>152.76562500000003</v>
      </c>
      <c r="BS119" s="771">
        <f t="shared" si="159"/>
        <v>-0.4360557999895559</v>
      </c>
      <c r="BT119" s="734">
        <f t="shared" si="159"/>
        <v>18.381625441696116</v>
      </c>
      <c r="BU119" s="734">
        <f t="shared" si="159"/>
        <v>-1</v>
      </c>
      <c r="BV119" s="734">
        <f t="shared" si="159"/>
        <v>-1</v>
      </c>
      <c r="BW119" s="734">
        <f t="shared" si="159"/>
        <v>-1</v>
      </c>
      <c r="BX119" s="771">
        <f t="shared" si="159"/>
        <v>-0.99139143318119893</v>
      </c>
      <c r="BY119" s="734">
        <f t="shared" si="159"/>
        <v>-1</v>
      </c>
      <c r="BZ119" s="734" t="e">
        <f t="shared" si="159"/>
        <v>#DIV/0!</v>
      </c>
      <c r="CA119" s="734" t="e">
        <f t="shared" si="159"/>
        <v>#DIV/0!</v>
      </c>
      <c r="CB119" s="734" t="e">
        <f t="shared" si="159"/>
        <v>#DIV/0!</v>
      </c>
      <c r="CC119" s="771">
        <f t="shared" si="159"/>
        <v>-1</v>
      </c>
      <c r="CD119" s="734" t="e">
        <f t="shared" si="159"/>
        <v>#DIV/0!</v>
      </c>
      <c r="CE119" s="734" t="e">
        <f t="shared" si="159"/>
        <v>#DIV/0!</v>
      </c>
      <c r="CF119" s="734" t="e">
        <f t="shared" si="159"/>
        <v>#DIV/0!</v>
      </c>
      <c r="CG119" s="734" t="e">
        <f t="shared" si="159"/>
        <v>#DIV/0!</v>
      </c>
      <c r="CH119" s="771" t="e">
        <f t="shared" si="159"/>
        <v>#DIV/0!</v>
      </c>
      <c r="CI119" s="734" t="e">
        <f t="shared" si="159"/>
        <v>#DIV/0!</v>
      </c>
      <c r="CJ119" s="734" t="e">
        <f t="shared" si="159"/>
        <v>#DIV/0!</v>
      </c>
      <c r="CK119" s="734" t="e">
        <f t="shared" si="159"/>
        <v>#DIV/0!</v>
      </c>
      <c r="CL119" s="734" t="e">
        <f t="shared" si="159"/>
        <v>#DIV/0!</v>
      </c>
      <c r="CM119" s="771" t="e">
        <f t="shared" si="159"/>
        <v>#DIV/0!</v>
      </c>
      <c r="CN119" s="734" t="e">
        <f t="shared" si="159"/>
        <v>#DIV/0!</v>
      </c>
      <c r="CO119" s="734" t="e">
        <f t="shared" si="159"/>
        <v>#DIV/0!</v>
      </c>
      <c r="CP119" s="734" t="e">
        <f t="shared" si="159"/>
        <v>#DIV/0!</v>
      </c>
      <c r="CQ119" s="734" t="e">
        <f t="shared" si="159"/>
        <v>#DIV/0!</v>
      </c>
      <c r="CR119" s="771" t="e">
        <f t="shared" si="159"/>
        <v>#DIV/0!</v>
      </c>
    </row>
    <row r="120" spans="1:96" ht="12" customHeight="1">
      <c r="A120" s="1041" t="str">
        <f t="shared" si="157"/>
        <v>Amortization of Intangible assets</v>
      </c>
      <c r="F120" s="1030"/>
      <c r="G120" s="734"/>
      <c r="H120" s="734"/>
      <c r="I120" s="734"/>
      <c r="J120" s="734"/>
      <c r="K120" s="771"/>
      <c r="L120" s="734"/>
      <c r="M120" s="734"/>
      <c r="N120" s="734"/>
      <c r="O120" s="734"/>
      <c r="P120" s="771"/>
      <c r="Q120" s="734"/>
      <c r="R120" s="734"/>
      <c r="S120" s="734"/>
      <c r="T120" s="734"/>
      <c r="U120" s="771"/>
      <c r="V120" s="734"/>
      <c r="W120" s="734"/>
      <c r="X120" s="734"/>
      <c r="Y120" s="734"/>
      <c r="Z120" s="771"/>
      <c r="AA120" s="734"/>
      <c r="AB120" s="734"/>
      <c r="AC120" s="734"/>
      <c r="AD120" s="734"/>
      <c r="AE120" s="771"/>
      <c r="AF120" s="734"/>
      <c r="AG120" s="734"/>
      <c r="AH120" s="734"/>
      <c r="AI120" s="734"/>
      <c r="AJ120" s="771"/>
      <c r="AK120" s="734"/>
      <c r="AL120" s="734"/>
      <c r="AM120" s="734"/>
      <c r="AN120" s="734"/>
      <c r="AO120" s="771"/>
      <c r="AP120" s="734"/>
      <c r="AQ120" s="734"/>
      <c r="AR120" s="734"/>
      <c r="AS120" s="734"/>
      <c r="AT120" s="771">
        <f>+AT47/AO47-1</f>
        <v>0.55171726234983298</v>
      </c>
      <c r="AU120" s="734">
        <f t="shared" si="159"/>
        <v>0.41116666666666668</v>
      </c>
      <c r="AV120" s="734">
        <f t="shared" si="159"/>
        <v>5.5874999999999897E-2</v>
      </c>
      <c r="AW120" s="734">
        <f t="shared" si="159"/>
        <v>-6.0999999999999943E-2</v>
      </c>
      <c r="AX120" s="734">
        <f t="shared" si="159"/>
        <v>-0.11932587034075537</v>
      </c>
      <c r="AY120" s="771">
        <f t="shared" si="159"/>
        <v>4.4813517941469261E-2</v>
      </c>
      <c r="AZ120" s="734">
        <f t="shared" si="159"/>
        <v>-0.54765560411007441</v>
      </c>
      <c r="BA120" s="734">
        <f t="shared" si="159"/>
        <v>-0.58056114596898301</v>
      </c>
      <c r="BB120" s="734">
        <f t="shared" si="159"/>
        <v>1.3038693645722397</v>
      </c>
      <c r="BC120" s="734">
        <f t="shared" si="159"/>
        <v>1.7259393770079616</v>
      </c>
      <c r="BD120" s="771">
        <f t="shared" si="159"/>
        <v>0.42534743573976153</v>
      </c>
      <c r="BE120" s="734">
        <f t="shared" si="159"/>
        <v>4.622715404699739</v>
      </c>
      <c r="BF120" s="734">
        <f t="shared" si="159"/>
        <v>4.9336720293536551</v>
      </c>
      <c r="BG120" s="734">
        <f t="shared" si="159"/>
        <v>2.5423728813559476E-2</v>
      </c>
      <c r="BH120" s="734">
        <f t="shared" si="159"/>
        <v>3.9661798616448918E-2</v>
      </c>
      <c r="BI120" s="771">
        <f t="shared" si="159"/>
        <v>0.78635834160231233</v>
      </c>
      <c r="BJ120" s="734">
        <f t="shared" si="159"/>
        <v>-6.5335500348270292E-2</v>
      </c>
      <c r="BK120" s="734">
        <f t="shared" si="159"/>
        <v>-4.8993958997288756E-2</v>
      </c>
      <c r="BL120" s="734">
        <f t="shared" si="159"/>
        <v>2.4542950162784738E-3</v>
      </c>
      <c r="BM120" s="734">
        <f t="shared" si="159"/>
        <v>-7.2945931292820454E-3</v>
      </c>
      <c r="BN120" s="771">
        <f t="shared" si="159"/>
        <v>-3.0623581123508825E-2</v>
      </c>
      <c r="BO120" s="734">
        <f t="shared" si="159"/>
        <v>-2.0866454689985048E-3</v>
      </c>
      <c r="BP120" s="734">
        <f t="shared" si="159"/>
        <v>7.5026259190718037E-3</v>
      </c>
      <c r="BQ120" s="734">
        <f t="shared" si="159"/>
        <v>-0.71964624762666141</v>
      </c>
      <c r="BR120" s="734">
        <f t="shared" si="159"/>
        <v>-0.72171193088724483</v>
      </c>
      <c r="BS120" s="771">
        <f t="shared" si="159"/>
        <v>-0.35914843788928197</v>
      </c>
      <c r="BT120" s="734">
        <f t="shared" si="159"/>
        <v>-0.72065119984068504</v>
      </c>
      <c r="BU120" s="734">
        <f t="shared" si="159"/>
        <v>-0.7214416919028942</v>
      </c>
      <c r="BV120" s="734">
        <f t="shared" si="159"/>
        <v>0</v>
      </c>
      <c r="BW120" s="734">
        <f t="shared" si="159"/>
        <v>1.0704727921502233E-3</v>
      </c>
      <c r="BX120" s="771">
        <f t="shared" si="159"/>
        <v>-0.56372825347458422</v>
      </c>
      <c r="BY120" s="734">
        <f t="shared" si="159"/>
        <v>0</v>
      </c>
      <c r="BZ120" s="734">
        <f t="shared" si="159"/>
        <v>0</v>
      </c>
      <c r="CA120" s="734">
        <f t="shared" si="159"/>
        <v>0</v>
      </c>
      <c r="CB120" s="734">
        <f t="shared" si="159"/>
        <v>0</v>
      </c>
      <c r="CC120" s="771">
        <f t="shared" si="159"/>
        <v>0</v>
      </c>
      <c r="CD120" s="734">
        <f t="shared" si="159"/>
        <v>-0.21140220940912358</v>
      </c>
      <c r="CE120" s="734">
        <f t="shared" si="159"/>
        <v>-0.21140220940912358</v>
      </c>
      <c r="CF120" s="734">
        <f t="shared" si="159"/>
        <v>-0.21140220940912358</v>
      </c>
      <c r="CG120" s="734">
        <f t="shared" si="159"/>
        <v>-0.21140220940912358</v>
      </c>
      <c r="CH120" s="771">
        <f t="shared" si="159"/>
        <v>-0.21140220940912358</v>
      </c>
      <c r="CI120" s="734">
        <f t="shared" si="159"/>
        <v>0</v>
      </c>
      <c r="CJ120" s="734">
        <f t="shared" si="159"/>
        <v>0</v>
      </c>
      <c r="CK120" s="734">
        <f t="shared" si="159"/>
        <v>0</v>
      </c>
      <c r="CL120" s="734">
        <f t="shared" si="159"/>
        <v>0</v>
      </c>
      <c r="CM120" s="771">
        <f t="shared" si="159"/>
        <v>0</v>
      </c>
      <c r="CN120" s="734">
        <f t="shared" si="159"/>
        <v>0</v>
      </c>
      <c r="CO120" s="734">
        <f t="shared" si="159"/>
        <v>0</v>
      </c>
      <c r="CP120" s="734">
        <f t="shared" si="159"/>
        <v>0</v>
      </c>
      <c r="CQ120" s="734">
        <f t="shared" si="159"/>
        <v>0</v>
      </c>
      <c r="CR120" s="771">
        <f t="shared" si="159"/>
        <v>0</v>
      </c>
    </row>
    <row r="121" spans="1:96" ht="12" customHeight="1">
      <c r="A121" s="1046" t="str">
        <f t="shared" si="157"/>
        <v>Interest and other expense, net</v>
      </c>
      <c r="F121" s="1030"/>
      <c r="G121" s="734"/>
      <c r="H121" s="734"/>
      <c r="I121" s="734"/>
      <c r="J121" s="734"/>
      <c r="K121" s="771"/>
      <c r="L121" s="734"/>
      <c r="M121" s="734"/>
      <c r="N121" s="734"/>
      <c r="O121" s="734"/>
      <c r="P121" s="771"/>
      <c r="Q121" s="734"/>
      <c r="R121" s="734"/>
      <c r="S121" s="734"/>
      <c r="T121" s="734"/>
      <c r="U121" s="771"/>
      <c r="V121" s="734"/>
      <c r="W121" s="734"/>
      <c r="X121" s="734"/>
      <c r="Y121" s="734"/>
      <c r="Z121" s="771"/>
      <c r="AA121" s="734"/>
      <c r="AB121" s="734"/>
      <c r="AC121" s="734"/>
      <c r="AD121" s="734"/>
      <c r="AE121" s="771"/>
      <c r="AF121" s="734"/>
      <c r="AG121" s="734"/>
      <c r="AH121" s="734"/>
      <c r="AI121" s="734"/>
      <c r="AJ121" s="771"/>
      <c r="AK121" s="734"/>
      <c r="AL121" s="734"/>
      <c r="AM121" s="734"/>
      <c r="AN121" s="734"/>
      <c r="AO121" s="771"/>
      <c r="AP121" s="734"/>
      <c r="AQ121" s="734"/>
      <c r="AR121" s="734"/>
      <c r="AS121" s="734"/>
      <c r="AT121" s="821" t="str">
        <f t="shared" ref="AT121:CR122" si="160">+IF(AND(AT55&gt;0,AO55&gt;0),AT55/AO55-1,"NM")</f>
        <v>NM</v>
      </c>
      <c r="AU121" s="789" t="str">
        <f t="shared" si="160"/>
        <v>NM</v>
      </c>
      <c r="AV121" s="789" t="str">
        <f t="shared" si="160"/>
        <v>NM</v>
      </c>
      <c r="AW121" s="789" t="str">
        <f t="shared" si="160"/>
        <v>NM</v>
      </c>
      <c r="AX121" s="789" t="str">
        <f t="shared" si="160"/>
        <v>NM</v>
      </c>
      <c r="AY121" s="821" t="str">
        <f t="shared" si="160"/>
        <v>NM</v>
      </c>
      <c r="AZ121" s="789" t="str">
        <f t="shared" si="160"/>
        <v>NM</v>
      </c>
      <c r="BA121" s="789" t="str">
        <f t="shared" si="160"/>
        <v>NM</v>
      </c>
      <c r="BB121" s="789" t="str">
        <f t="shared" si="160"/>
        <v>NM</v>
      </c>
      <c r="BC121" s="789" t="str">
        <f t="shared" si="160"/>
        <v>NM</v>
      </c>
      <c r="BD121" s="821" t="str">
        <f t="shared" si="160"/>
        <v>NM</v>
      </c>
      <c r="BE121" s="789" t="str">
        <f t="shared" si="160"/>
        <v>NM</v>
      </c>
      <c r="BF121" s="789" t="str">
        <f t="shared" si="160"/>
        <v>NM</v>
      </c>
      <c r="BG121" s="789" t="str">
        <f t="shared" si="160"/>
        <v>NM</v>
      </c>
      <c r="BH121" s="789" t="str">
        <f t="shared" si="160"/>
        <v>NM</v>
      </c>
      <c r="BI121" s="821" t="str">
        <f>+IF(AND(BI55&gt;0,BD55&gt;0),BI55/BD55-1,"NM")</f>
        <v>NM</v>
      </c>
      <c r="BJ121" s="789" t="str">
        <f t="shared" si="160"/>
        <v>NM</v>
      </c>
      <c r="BK121" s="789" t="str">
        <f t="shared" si="160"/>
        <v>NM</v>
      </c>
      <c r="BL121" s="789" t="str">
        <f t="shared" si="160"/>
        <v>NM</v>
      </c>
      <c r="BM121" s="789" t="str">
        <f t="shared" si="160"/>
        <v>NM</v>
      </c>
      <c r="BN121" s="821" t="str">
        <f>+IF(AND(BN55&gt;0,BI55&gt;0),BN55/BI55-1,"NM")</f>
        <v>NM</v>
      </c>
      <c r="BO121" s="789" t="str">
        <f t="shared" si="160"/>
        <v>NM</v>
      </c>
      <c r="BP121" s="789" t="str">
        <f t="shared" si="160"/>
        <v>NM</v>
      </c>
      <c r="BQ121" s="789" t="str">
        <f t="shared" si="160"/>
        <v>NM</v>
      </c>
      <c r="BR121" s="789" t="str">
        <f t="shared" si="160"/>
        <v>NM</v>
      </c>
      <c r="BS121" s="821" t="str">
        <f t="shared" si="160"/>
        <v>NM</v>
      </c>
      <c r="BT121" s="789" t="str">
        <f t="shared" si="160"/>
        <v>NM</v>
      </c>
      <c r="BU121" s="789" t="str">
        <f t="shared" si="160"/>
        <v>NM</v>
      </c>
      <c r="BV121" s="789" t="str">
        <f t="shared" si="160"/>
        <v>NM</v>
      </c>
      <c r="BW121" s="789" t="str">
        <f t="shared" si="160"/>
        <v>NM</v>
      </c>
      <c r="BX121" s="821" t="str">
        <f t="shared" si="160"/>
        <v>NM</v>
      </c>
      <c r="BY121" s="789" t="str">
        <f t="shared" si="160"/>
        <v>NM</v>
      </c>
      <c r="BZ121" s="789" t="str">
        <f t="shared" si="160"/>
        <v>NM</v>
      </c>
      <c r="CA121" s="789" t="str">
        <f t="shared" si="160"/>
        <v>NM</v>
      </c>
      <c r="CB121" s="789" t="str">
        <f t="shared" si="160"/>
        <v>NM</v>
      </c>
      <c r="CC121" s="821" t="str">
        <f t="shared" si="160"/>
        <v>NM</v>
      </c>
      <c r="CD121" s="789" t="str">
        <f t="shared" si="160"/>
        <v>NM</v>
      </c>
      <c r="CE121" s="789" t="str">
        <f t="shared" si="160"/>
        <v>NM</v>
      </c>
      <c r="CF121" s="789" t="str">
        <f t="shared" si="160"/>
        <v>NM</v>
      </c>
      <c r="CG121" s="789" t="str">
        <f t="shared" si="160"/>
        <v>NM</v>
      </c>
      <c r="CH121" s="821" t="str">
        <f t="shared" si="160"/>
        <v>NM</v>
      </c>
      <c r="CI121" s="789" t="str">
        <f t="shared" si="160"/>
        <v>NM</v>
      </c>
      <c r="CJ121" s="789" t="str">
        <f t="shared" si="160"/>
        <v>NM</v>
      </c>
      <c r="CK121" s="789" t="str">
        <f t="shared" si="160"/>
        <v>NM</v>
      </c>
      <c r="CL121" s="789" t="str">
        <f t="shared" si="160"/>
        <v>NM</v>
      </c>
      <c r="CM121" s="821" t="str">
        <f t="shared" si="160"/>
        <v>NM</v>
      </c>
      <c r="CN121" s="789" t="str">
        <f t="shared" si="160"/>
        <v>NM</v>
      </c>
      <c r="CO121" s="789" t="str">
        <f t="shared" si="160"/>
        <v>NM</v>
      </c>
      <c r="CP121" s="789" t="str">
        <f t="shared" si="160"/>
        <v>NM</v>
      </c>
      <c r="CQ121" s="789" t="str">
        <f t="shared" si="160"/>
        <v>NM</v>
      </c>
      <c r="CR121" s="821" t="str">
        <f t="shared" si="160"/>
        <v>NM</v>
      </c>
    </row>
    <row r="122" spans="1:96" ht="12" customHeight="1">
      <c r="A122" s="1046" t="str">
        <f t="shared" si="157"/>
        <v>Other non-operating expenses</v>
      </c>
      <c r="F122" s="1030"/>
      <c r="G122" s="734"/>
      <c r="H122" s="734"/>
      <c r="I122" s="734"/>
      <c r="J122" s="734"/>
      <c r="K122" s="771"/>
      <c r="L122" s="734"/>
      <c r="M122" s="734"/>
      <c r="N122" s="734"/>
      <c r="O122" s="734"/>
      <c r="P122" s="771"/>
      <c r="Q122" s="734"/>
      <c r="R122" s="734"/>
      <c r="S122" s="734"/>
      <c r="T122" s="734"/>
      <c r="U122" s="771"/>
      <c r="V122" s="734"/>
      <c r="W122" s="734"/>
      <c r="X122" s="734"/>
      <c r="Y122" s="734"/>
      <c r="Z122" s="771"/>
      <c r="AA122" s="734"/>
      <c r="AB122" s="734"/>
      <c r="AC122" s="734"/>
      <c r="AD122" s="734"/>
      <c r="AE122" s="771"/>
      <c r="AF122" s="734"/>
      <c r="AG122" s="734"/>
      <c r="AH122" s="734"/>
      <c r="AI122" s="734"/>
      <c r="AJ122" s="771"/>
      <c r="AK122" s="734"/>
      <c r="AL122" s="734"/>
      <c r="AM122" s="734"/>
      <c r="AN122" s="734"/>
      <c r="AO122" s="771"/>
      <c r="AP122" s="734"/>
      <c r="AQ122" s="734"/>
      <c r="AR122" s="734"/>
      <c r="AS122" s="734"/>
      <c r="AT122" s="821" t="str">
        <f>+IF(AND(AT56&gt;0,AO56&gt;0),AT56/AO56-1,"NM")</f>
        <v>NM</v>
      </c>
      <c r="AU122" s="789" t="str">
        <f t="shared" si="160"/>
        <v>NM</v>
      </c>
      <c r="AV122" s="789" t="str">
        <f t="shared" si="160"/>
        <v>NM</v>
      </c>
      <c r="AW122" s="789" t="str">
        <f t="shared" si="160"/>
        <v>NM</v>
      </c>
      <c r="AX122" s="789" t="str">
        <f t="shared" si="160"/>
        <v>NM</v>
      </c>
      <c r="AY122" s="821" t="str">
        <f t="shared" si="160"/>
        <v>NM</v>
      </c>
      <c r="AZ122" s="789" t="str">
        <f t="shared" si="160"/>
        <v>NM</v>
      </c>
      <c r="BA122" s="789" t="str">
        <f t="shared" si="160"/>
        <v>NM</v>
      </c>
      <c r="BB122" s="789" t="str">
        <f t="shared" si="160"/>
        <v>NM</v>
      </c>
      <c r="BC122" s="789">
        <f t="shared" si="160"/>
        <v>0.33421750663129957</v>
      </c>
      <c r="BD122" s="821" t="str">
        <f t="shared" si="160"/>
        <v>NM</v>
      </c>
      <c r="BE122" s="789" t="str">
        <f t="shared" si="160"/>
        <v>NM</v>
      </c>
      <c r="BF122" s="789">
        <f t="shared" si="160"/>
        <v>22.267938931297735</v>
      </c>
      <c r="BG122" s="789" t="str">
        <f t="shared" si="160"/>
        <v>NM</v>
      </c>
      <c r="BH122" s="789" t="str">
        <f t="shared" si="160"/>
        <v>NM</v>
      </c>
      <c r="BI122" s="821" t="str">
        <f t="shared" si="160"/>
        <v>NM</v>
      </c>
      <c r="BJ122" s="789">
        <f t="shared" si="160"/>
        <v>1.6574827802128991</v>
      </c>
      <c r="BK122" s="789">
        <f t="shared" si="160"/>
        <v>-0.64974902398215284</v>
      </c>
      <c r="BL122" s="789">
        <f t="shared" si="160"/>
        <v>-0.57827971527418776</v>
      </c>
      <c r="BM122" s="789" t="str">
        <f t="shared" si="160"/>
        <v>NM</v>
      </c>
      <c r="BN122" s="821">
        <f t="shared" si="160"/>
        <v>-0.43516197169196735</v>
      </c>
      <c r="BO122" s="789" t="str">
        <f t="shared" si="160"/>
        <v>NM</v>
      </c>
      <c r="BP122" s="789">
        <f t="shared" si="160"/>
        <v>-0.12448482577744457</v>
      </c>
      <c r="BQ122" s="789">
        <f t="shared" si="160"/>
        <v>0.52032060348892006</v>
      </c>
      <c r="BR122" s="789" t="str">
        <f t="shared" si="160"/>
        <v>NM</v>
      </c>
      <c r="BS122" s="821">
        <f t="shared" si="160"/>
        <v>-5.301785901513334E-2</v>
      </c>
      <c r="BT122" s="789" t="str">
        <f t="shared" si="160"/>
        <v>NM</v>
      </c>
      <c r="BU122" s="789" t="str">
        <f t="shared" si="160"/>
        <v>NM</v>
      </c>
      <c r="BV122" s="789" t="str">
        <f t="shared" si="160"/>
        <v>NM</v>
      </c>
      <c r="BW122" s="789" t="str">
        <f t="shared" si="160"/>
        <v>NM</v>
      </c>
      <c r="BX122" s="821">
        <f t="shared" si="160"/>
        <v>-0.66245940360200772</v>
      </c>
      <c r="BY122" s="789" t="str">
        <f t="shared" si="160"/>
        <v>NM</v>
      </c>
      <c r="BZ122" s="789" t="str">
        <f t="shared" si="160"/>
        <v>NM</v>
      </c>
      <c r="CA122" s="789" t="str">
        <f t="shared" si="160"/>
        <v>NM</v>
      </c>
      <c r="CB122" s="789" t="str">
        <f t="shared" si="160"/>
        <v>NM</v>
      </c>
      <c r="CC122" s="821" t="str">
        <f t="shared" si="160"/>
        <v>NM</v>
      </c>
      <c r="CD122" s="789" t="str">
        <f t="shared" si="160"/>
        <v>NM</v>
      </c>
      <c r="CE122" s="789" t="str">
        <f t="shared" si="160"/>
        <v>NM</v>
      </c>
      <c r="CF122" s="789" t="str">
        <f t="shared" si="160"/>
        <v>NM</v>
      </c>
      <c r="CG122" s="789" t="str">
        <f t="shared" si="160"/>
        <v>NM</v>
      </c>
      <c r="CH122" s="821" t="str">
        <f t="shared" si="160"/>
        <v>NM</v>
      </c>
      <c r="CI122" s="789" t="str">
        <f t="shared" si="160"/>
        <v>NM</v>
      </c>
      <c r="CJ122" s="789" t="str">
        <f t="shared" si="160"/>
        <v>NM</v>
      </c>
      <c r="CK122" s="789" t="str">
        <f t="shared" si="160"/>
        <v>NM</v>
      </c>
      <c r="CL122" s="789" t="str">
        <f t="shared" si="160"/>
        <v>NM</v>
      </c>
      <c r="CM122" s="821" t="str">
        <f t="shared" si="160"/>
        <v>NM</v>
      </c>
      <c r="CN122" s="789" t="str">
        <f t="shared" si="160"/>
        <v>NM</v>
      </c>
      <c r="CO122" s="789" t="str">
        <f t="shared" si="160"/>
        <v>NM</v>
      </c>
      <c r="CP122" s="789" t="str">
        <f t="shared" si="160"/>
        <v>NM</v>
      </c>
      <c r="CQ122" s="789" t="str">
        <f t="shared" si="160"/>
        <v>NM</v>
      </c>
      <c r="CR122" s="821" t="str">
        <f t="shared" si="160"/>
        <v>NM</v>
      </c>
    </row>
    <row r="123" spans="1:96" s="1054" customFormat="1" ht="12" customHeight="1">
      <c r="A123" s="1055" t="str">
        <f t="shared" si="157"/>
        <v>GAAP Net Income / (Loss)</v>
      </c>
      <c r="F123" s="1056"/>
      <c r="G123" s="789"/>
      <c r="H123" s="789"/>
      <c r="I123" s="789"/>
      <c r="J123" s="789"/>
      <c r="K123" s="821"/>
      <c r="L123" s="789"/>
      <c r="M123" s="789"/>
      <c r="N123" s="789"/>
      <c r="O123" s="789"/>
      <c r="P123" s="821"/>
      <c r="Q123" s="789"/>
      <c r="R123" s="789"/>
      <c r="S123" s="789"/>
      <c r="T123" s="789"/>
      <c r="U123" s="821"/>
      <c r="V123" s="789"/>
      <c r="W123" s="789"/>
      <c r="X123" s="789"/>
      <c r="Y123" s="789"/>
      <c r="Z123" s="821"/>
      <c r="AA123" s="789"/>
      <c r="AB123" s="789"/>
      <c r="AC123" s="789"/>
      <c r="AD123" s="789"/>
      <c r="AE123" s="821"/>
      <c r="AF123" s="789"/>
      <c r="AG123" s="789"/>
      <c r="AH123" s="789"/>
      <c r="AI123" s="789"/>
      <c r="AJ123" s="821"/>
      <c r="AK123" s="789"/>
      <c r="AL123" s="789"/>
      <c r="AM123" s="789"/>
      <c r="AN123" s="789"/>
      <c r="AO123" s="821"/>
      <c r="AP123" s="789"/>
      <c r="AQ123" s="789"/>
      <c r="AR123" s="789"/>
      <c r="AS123" s="789"/>
      <c r="AT123" s="821" t="str">
        <f t="shared" ref="AT123:CR123" si="161">+IF(AND(AT60&gt;0,AO60&gt;0),AT60/AO60-1,"NM")</f>
        <v>NM</v>
      </c>
      <c r="AU123" s="789" t="str">
        <f t="shared" si="161"/>
        <v>NM</v>
      </c>
      <c r="AV123" s="789" t="str">
        <f t="shared" si="161"/>
        <v>NM</v>
      </c>
      <c r="AW123" s="789" t="str">
        <f t="shared" si="161"/>
        <v>NM</v>
      </c>
      <c r="AX123" s="789" t="str">
        <f t="shared" si="161"/>
        <v>NM</v>
      </c>
      <c r="AY123" s="821" t="str">
        <f t="shared" si="161"/>
        <v>NM</v>
      </c>
      <c r="AZ123" s="789" t="str">
        <f t="shared" si="161"/>
        <v>NM</v>
      </c>
      <c r="BA123" s="789" t="str">
        <f t="shared" si="161"/>
        <v>NM</v>
      </c>
      <c r="BB123" s="789" t="str">
        <f t="shared" si="161"/>
        <v>NM</v>
      </c>
      <c r="BC123" s="789">
        <f t="shared" si="161"/>
        <v>1.0344288890224096</v>
      </c>
      <c r="BD123" s="821" t="str">
        <f t="shared" si="161"/>
        <v>NM</v>
      </c>
      <c r="BE123" s="789" t="str">
        <f t="shared" si="161"/>
        <v>NM</v>
      </c>
      <c r="BF123" s="789" t="str">
        <f t="shared" si="161"/>
        <v>NM</v>
      </c>
      <c r="BG123" s="789" t="str">
        <f t="shared" si="161"/>
        <v>NM</v>
      </c>
      <c r="BH123" s="789" t="str">
        <f t="shared" si="161"/>
        <v>NM</v>
      </c>
      <c r="BI123" s="821" t="str">
        <f t="shared" si="161"/>
        <v>NM</v>
      </c>
      <c r="BJ123" s="789" t="str">
        <f t="shared" si="161"/>
        <v>NM</v>
      </c>
      <c r="BK123" s="789" t="str">
        <f t="shared" si="161"/>
        <v>NM</v>
      </c>
      <c r="BL123" s="789" t="str">
        <f t="shared" si="161"/>
        <v>NM</v>
      </c>
      <c r="BM123" s="789" t="str">
        <f t="shared" si="161"/>
        <v>NM</v>
      </c>
      <c r="BN123" s="821" t="str">
        <f t="shared" si="161"/>
        <v>NM</v>
      </c>
      <c r="BO123" s="789" t="str">
        <f t="shared" si="161"/>
        <v>NM</v>
      </c>
      <c r="BP123" s="789" t="str">
        <f t="shared" si="161"/>
        <v>NM</v>
      </c>
      <c r="BQ123" s="789" t="str">
        <f t="shared" si="161"/>
        <v>NM</v>
      </c>
      <c r="BR123" s="789" t="str">
        <f t="shared" si="161"/>
        <v>NM</v>
      </c>
      <c r="BS123" s="821" t="str">
        <f t="shared" si="161"/>
        <v>NM</v>
      </c>
      <c r="BT123" s="789" t="str">
        <f t="shared" si="161"/>
        <v>NM</v>
      </c>
      <c r="BU123" s="789" t="str">
        <f t="shared" si="161"/>
        <v>NM</v>
      </c>
      <c r="BV123" s="789" t="str">
        <f t="shared" si="161"/>
        <v>NM</v>
      </c>
      <c r="BW123" s="789" t="str">
        <f t="shared" si="161"/>
        <v>NM</v>
      </c>
      <c r="BX123" s="821" t="str">
        <f t="shared" si="161"/>
        <v>NM</v>
      </c>
      <c r="BY123" s="789" t="str">
        <f t="shared" si="161"/>
        <v>NM</v>
      </c>
      <c r="BZ123" s="789" t="str">
        <f t="shared" si="161"/>
        <v>NM</v>
      </c>
      <c r="CA123" s="789" t="str">
        <f t="shared" si="161"/>
        <v>NM</v>
      </c>
      <c r="CB123" s="789" t="str">
        <f t="shared" si="161"/>
        <v>NM</v>
      </c>
      <c r="CC123" s="821" t="str">
        <f t="shared" si="161"/>
        <v>NM</v>
      </c>
      <c r="CD123" s="789" t="str">
        <f t="shared" si="161"/>
        <v>NM</v>
      </c>
      <c r="CE123" s="789" t="str">
        <f t="shared" si="161"/>
        <v>NM</v>
      </c>
      <c r="CF123" s="789" t="str">
        <f t="shared" si="161"/>
        <v>NM</v>
      </c>
      <c r="CG123" s="789" t="str">
        <f t="shared" si="161"/>
        <v>NM</v>
      </c>
      <c r="CH123" s="821" t="str">
        <f t="shared" si="161"/>
        <v>NM</v>
      </c>
      <c r="CI123" s="789" t="str">
        <f t="shared" si="161"/>
        <v>NM</v>
      </c>
      <c r="CJ123" s="789" t="str">
        <f t="shared" si="161"/>
        <v>NM</v>
      </c>
      <c r="CK123" s="789" t="str">
        <f t="shared" si="161"/>
        <v>NM</v>
      </c>
      <c r="CL123" s="789" t="str">
        <f t="shared" si="161"/>
        <v>NM</v>
      </c>
      <c r="CM123" s="821" t="str">
        <f t="shared" si="161"/>
        <v>NM</v>
      </c>
      <c r="CN123" s="789">
        <f t="shared" si="161"/>
        <v>3.3897382632931228</v>
      </c>
      <c r="CO123" s="789" t="str">
        <f t="shared" si="161"/>
        <v>NM</v>
      </c>
      <c r="CP123" s="789" t="str">
        <f t="shared" si="161"/>
        <v>NM</v>
      </c>
      <c r="CQ123" s="789">
        <f t="shared" si="161"/>
        <v>1.3123448958564046</v>
      </c>
      <c r="CR123" s="821" t="str">
        <f t="shared" si="161"/>
        <v>NM</v>
      </c>
    </row>
    <row r="124" spans="1:96" s="1054" customFormat="1" ht="12" customHeight="1">
      <c r="A124" s="1057" t="str">
        <f t="shared" si="157"/>
        <v>Non-GAAP Net loss attributable E2open</v>
      </c>
      <c r="B124" s="1050"/>
      <c r="C124" s="1050"/>
      <c r="D124" s="1050"/>
      <c r="E124" s="1050"/>
      <c r="F124" s="1051"/>
      <c r="G124" s="1052"/>
      <c r="H124" s="1052"/>
      <c r="I124" s="1052"/>
      <c r="J124" s="1052"/>
      <c r="K124" s="1053"/>
      <c r="L124" s="1052"/>
      <c r="M124" s="1052"/>
      <c r="N124" s="1052"/>
      <c r="O124" s="1052"/>
      <c r="P124" s="1053"/>
      <c r="Q124" s="1052"/>
      <c r="R124" s="1052"/>
      <c r="S124" s="1052"/>
      <c r="T124" s="1052"/>
      <c r="U124" s="1053"/>
      <c r="V124" s="1052"/>
      <c r="W124" s="1052"/>
      <c r="X124" s="1052"/>
      <c r="Y124" s="1052"/>
      <c r="Z124" s="1053"/>
      <c r="AA124" s="1052"/>
      <c r="AB124" s="1052"/>
      <c r="AC124" s="1052"/>
      <c r="AD124" s="1052"/>
      <c r="AE124" s="1053"/>
      <c r="AF124" s="1052"/>
      <c r="AG124" s="1052"/>
      <c r="AH124" s="1052"/>
      <c r="AI124" s="1052"/>
      <c r="AJ124" s="1053"/>
      <c r="AK124" s="1052"/>
      <c r="AL124" s="1052"/>
      <c r="AM124" s="1052"/>
      <c r="AN124" s="1052"/>
      <c r="AO124" s="1053"/>
      <c r="AP124" s="1052"/>
      <c r="AQ124" s="1052"/>
      <c r="AR124" s="1052"/>
      <c r="AS124" s="1052"/>
      <c r="AT124" s="1053" t="str">
        <f t="shared" ref="AT124:CR124" si="162">+IF(AND(AT73&gt;0,AO73&gt;0),AT73/AO73-1,"NM")</f>
        <v>NM</v>
      </c>
      <c r="AU124" s="1052" t="str">
        <f t="shared" si="162"/>
        <v>NM</v>
      </c>
      <c r="AV124" s="1052" t="str">
        <f t="shared" si="162"/>
        <v>NM</v>
      </c>
      <c r="AW124" s="1052" t="str">
        <f t="shared" si="162"/>
        <v>NM</v>
      </c>
      <c r="AX124" s="1052" t="str">
        <f t="shared" si="162"/>
        <v>NM</v>
      </c>
      <c r="AY124" s="1053" t="str">
        <f t="shared" si="162"/>
        <v>NM</v>
      </c>
      <c r="AZ124" s="1052">
        <f t="shared" si="162"/>
        <v>3.133901918976532</v>
      </c>
      <c r="BA124" s="1052">
        <f t="shared" si="162"/>
        <v>2.5106416522150461</v>
      </c>
      <c r="BB124" s="1052">
        <f t="shared" si="162"/>
        <v>3.2951327433628341</v>
      </c>
      <c r="BC124" s="1052">
        <f t="shared" si="162"/>
        <v>2.5255098782364818</v>
      </c>
      <c r="BD124" s="1053">
        <f t="shared" si="162"/>
        <v>2.8164874318426074</v>
      </c>
      <c r="BE124" s="1052">
        <f t="shared" si="162"/>
        <v>0.505415721064576</v>
      </c>
      <c r="BF124" s="1052">
        <f t="shared" si="162"/>
        <v>1.2529189868869528E-2</v>
      </c>
      <c r="BG124" s="1052">
        <f t="shared" si="162"/>
        <v>-1.9436145736752897E-2</v>
      </c>
      <c r="BH124" s="1052">
        <f t="shared" si="162"/>
        <v>-0.11294745428505104</v>
      </c>
      <c r="BI124" s="1053">
        <f t="shared" si="162"/>
        <v>5.0557025997153282E-2</v>
      </c>
      <c r="BJ124" s="1052">
        <f t="shared" si="162"/>
        <v>-0.28454448898482165</v>
      </c>
      <c r="BK124" s="1052">
        <f t="shared" si="162"/>
        <v>-1.5035259679780144E-2</v>
      </c>
      <c r="BL124" s="1052">
        <f t="shared" si="162"/>
        <v>-0.24860794957100296</v>
      </c>
      <c r="BM124" s="1052">
        <f t="shared" si="162"/>
        <v>-0.32230774123783534</v>
      </c>
      <c r="BN124" s="1053">
        <f t="shared" si="162"/>
        <v>-0.23160089858678268</v>
      </c>
      <c r="BO124" s="1052">
        <f t="shared" si="162"/>
        <v>-0.17991571688535568</v>
      </c>
      <c r="BP124" s="1052">
        <f t="shared" si="162"/>
        <v>-1.7606268011526649E-2</v>
      </c>
      <c r="BQ124" s="1052">
        <f t="shared" si="162"/>
        <v>1.0206935123042493E-2</v>
      </c>
      <c r="BR124" s="1052">
        <f t="shared" si="162"/>
        <v>0.24906138539515843</v>
      </c>
      <c r="BS124" s="1053">
        <f t="shared" si="162"/>
        <v>1.6035178448600362E-2</v>
      </c>
      <c r="BT124" s="1052">
        <f t="shared" si="162"/>
        <v>0.33325547445255488</v>
      </c>
      <c r="BU124" s="1052">
        <f t="shared" si="162"/>
        <v>-5.0949155536039403E-2</v>
      </c>
      <c r="BV124" s="1052">
        <f t="shared" si="162"/>
        <v>-0.14757945203961531</v>
      </c>
      <c r="BW124" s="1052">
        <f t="shared" si="162"/>
        <v>-8.3870576009594577E-2</v>
      </c>
      <c r="BX124" s="1053">
        <f t="shared" si="162"/>
        <v>-9.5636294482881468E-3</v>
      </c>
      <c r="BY124" s="1052">
        <f t="shared" si="162"/>
        <v>7.3840345157890619E-2</v>
      </c>
      <c r="BZ124" s="1052">
        <f t="shared" si="162"/>
        <v>2.4738172620711651E-2</v>
      </c>
      <c r="CA124" s="1052">
        <f t="shared" si="162"/>
        <v>0.10732243310239942</v>
      </c>
      <c r="CB124" s="1052">
        <f t="shared" si="162"/>
        <v>0.15360278659664739</v>
      </c>
      <c r="CC124" s="1053">
        <f t="shared" si="162"/>
        <v>9.1743518701136395E-2</v>
      </c>
      <c r="CD124" s="1052">
        <f t="shared" si="162"/>
        <v>0.27470347932039973</v>
      </c>
      <c r="CE124" s="1052">
        <f t="shared" si="162"/>
        <v>0.18586501868939398</v>
      </c>
      <c r="CF124" s="1052">
        <f t="shared" si="162"/>
        <v>0.19869793167463889</v>
      </c>
      <c r="CG124" s="1052">
        <f t="shared" si="162"/>
        <v>0.15145377164861862</v>
      </c>
      <c r="CH124" s="1053">
        <f t="shared" si="162"/>
        <v>0.20147910343739484</v>
      </c>
      <c r="CI124" s="1052">
        <f t="shared" si="162"/>
        <v>0.21860619604456444</v>
      </c>
      <c r="CJ124" s="1052">
        <f t="shared" si="162"/>
        <v>0.15943538493691767</v>
      </c>
      <c r="CK124" s="1052">
        <f t="shared" si="162"/>
        <v>0.18532986191169298</v>
      </c>
      <c r="CL124" s="1052">
        <f t="shared" si="162"/>
        <v>0.15311502739889815</v>
      </c>
      <c r="CM124" s="1053">
        <f t="shared" si="162"/>
        <v>0.17955074502800894</v>
      </c>
      <c r="CN124" s="1052">
        <f t="shared" si="162"/>
        <v>0.19837688227633454</v>
      </c>
      <c r="CO124" s="1052">
        <f t="shared" si="162"/>
        <v>0.1408406099693511</v>
      </c>
      <c r="CP124" s="1052">
        <f t="shared" si="162"/>
        <v>0.16871735186718695</v>
      </c>
      <c r="CQ124" s="1052">
        <f t="shared" si="162"/>
        <v>0.13999809366809868</v>
      </c>
      <c r="CR124" s="1053">
        <f t="shared" si="162"/>
        <v>0.16306002860649871</v>
      </c>
    </row>
    <row r="125" spans="1:96" ht="12" customHeight="1" thickBot="1">
      <c r="A125" s="1041"/>
      <c r="F125" s="1030"/>
      <c r="K125" s="1030"/>
      <c r="P125" s="1030"/>
      <c r="U125" s="1030"/>
      <c r="Z125" s="1030"/>
      <c r="AE125" s="1030"/>
      <c r="AJ125" s="1030"/>
      <c r="AO125" s="1030"/>
      <c r="AT125" s="1030"/>
      <c r="AY125" s="1030"/>
      <c r="BD125" s="1030"/>
      <c r="BI125" s="1030"/>
      <c r="BN125" s="1030"/>
      <c r="BS125" s="1030"/>
      <c r="BX125" s="1030"/>
      <c r="CC125" s="1030"/>
      <c r="CH125" s="1030"/>
      <c r="CM125" s="1030"/>
      <c r="CR125" s="1030"/>
    </row>
    <row r="126" spans="1:96" ht="12" customHeight="1" thickBot="1">
      <c r="A126" s="1038" t="s">
        <v>1014</v>
      </c>
      <c r="B126" s="1039"/>
      <c r="C126" s="1039"/>
      <c r="D126" s="1039"/>
      <c r="E126" s="1039"/>
      <c r="F126" s="1040"/>
      <c r="G126" s="1039"/>
      <c r="H126" s="1039"/>
      <c r="I126" s="1039"/>
      <c r="J126" s="1039"/>
      <c r="K126" s="1040"/>
      <c r="L126" s="1039"/>
      <c r="M126" s="1039"/>
      <c r="N126" s="1039"/>
      <c r="O126" s="1039"/>
      <c r="P126" s="1040"/>
      <c r="Q126" s="1039"/>
      <c r="R126" s="1039"/>
      <c r="S126" s="1039"/>
      <c r="T126" s="1039"/>
      <c r="U126" s="1040"/>
      <c r="V126" s="1039"/>
      <c r="W126" s="1039"/>
      <c r="X126" s="1039"/>
      <c r="Y126" s="1039"/>
      <c r="Z126" s="1040"/>
      <c r="AA126" s="1039"/>
      <c r="AB126" s="1039"/>
      <c r="AC126" s="1039"/>
      <c r="AD126" s="1039"/>
      <c r="AE126" s="1040"/>
      <c r="AF126" s="1039"/>
      <c r="AG126" s="1039"/>
      <c r="AH126" s="1039"/>
      <c r="AI126" s="1039"/>
      <c r="AJ126" s="1040"/>
      <c r="AK126" s="1039"/>
      <c r="AL126" s="1039"/>
      <c r="AM126" s="1039"/>
      <c r="AN126" s="1039"/>
      <c r="AO126" s="1040"/>
      <c r="AP126" s="1039"/>
      <c r="AQ126" s="1039"/>
      <c r="AR126" s="1039"/>
      <c r="AS126" s="1039"/>
      <c r="AT126" s="1040"/>
      <c r="AU126" s="1039"/>
      <c r="AV126" s="1039"/>
      <c r="AW126" s="1039"/>
      <c r="AX126" s="1039"/>
      <c r="AY126" s="1040"/>
      <c r="AZ126" s="1039"/>
      <c r="BA126" s="1039"/>
      <c r="BB126" s="1039"/>
      <c r="BC126" s="1039"/>
      <c r="BD126" s="1040"/>
      <c r="BE126" s="1039"/>
      <c r="BF126" s="1039"/>
      <c r="BG126" s="1039"/>
      <c r="BH126" s="1039"/>
      <c r="BI126" s="1040"/>
      <c r="BJ126" s="1039"/>
      <c r="BK126" s="1039"/>
      <c r="BL126" s="1039"/>
      <c r="BM126" s="1039"/>
      <c r="BN126" s="1040"/>
      <c r="BO126" s="1039"/>
      <c r="BP126" s="1039"/>
      <c r="BQ126" s="1039"/>
      <c r="BR126" s="1039"/>
      <c r="BS126" s="1040"/>
      <c r="BT126" s="1039"/>
      <c r="BU126" s="1039"/>
      <c r="BV126" s="1039"/>
      <c r="BW126" s="1039"/>
      <c r="BX126" s="1040"/>
      <c r="BY126" s="1039"/>
      <c r="BZ126" s="1039"/>
      <c r="CA126" s="1039"/>
      <c r="CB126" s="1039"/>
      <c r="CC126" s="1040"/>
      <c r="CD126" s="1039"/>
      <c r="CE126" s="1039"/>
      <c r="CF126" s="1039"/>
      <c r="CG126" s="1039"/>
      <c r="CH126" s="1040"/>
      <c r="CI126" s="1039"/>
      <c r="CJ126" s="1039"/>
      <c r="CK126" s="1039"/>
      <c r="CL126" s="1039"/>
      <c r="CM126" s="1040"/>
      <c r="CN126" s="1039"/>
      <c r="CO126" s="1039"/>
      <c r="CP126" s="1039"/>
      <c r="CQ126" s="1039"/>
      <c r="CR126" s="1040"/>
    </row>
    <row r="127" spans="1:96" ht="12" customHeight="1">
      <c r="A127" s="1041" t="str">
        <f t="shared" ref="A127:A136" si="163">+A107</f>
        <v>Billings</v>
      </c>
      <c r="F127" s="1030"/>
      <c r="G127" s="734"/>
      <c r="H127" s="734"/>
      <c r="I127" s="734"/>
      <c r="J127" s="734"/>
      <c r="K127" s="771"/>
      <c r="L127" s="780"/>
      <c r="M127" s="780"/>
      <c r="N127" s="780"/>
      <c r="O127" s="780"/>
      <c r="P127" s="1044"/>
      <c r="Q127" s="780"/>
      <c r="R127" s="780"/>
      <c r="S127" s="780"/>
      <c r="T127" s="780"/>
      <c r="U127" s="1044"/>
      <c r="V127" s="780"/>
      <c r="W127" s="780"/>
      <c r="X127" s="780"/>
      <c r="Y127" s="780"/>
      <c r="Z127" s="1044"/>
      <c r="AA127" s="780"/>
      <c r="AB127" s="780"/>
      <c r="AC127" s="780"/>
      <c r="AD127" s="780"/>
      <c r="AE127" s="1044"/>
      <c r="AF127" s="780"/>
      <c r="AG127" s="780"/>
      <c r="AH127" s="780"/>
      <c r="AI127" s="780"/>
      <c r="AJ127" s="1044"/>
      <c r="AK127" s="780"/>
      <c r="AL127" s="780"/>
      <c r="AM127" s="780"/>
      <c r="AN127" s="780"/>
      <c r="AO127" s="1044"/>
      <c r="AP127" s="780"/>
      <c r="AQ127" s="734"/>
      <c r="AR127" s="734"/>
      <c r="AS127" s="734"/>
      <c r="AT127" s="1044"/>
      <c r="AU127" s="734"/>
      <c r="AV127" s="734">
        <f>+AV10/AU10-1</f>
        <v>-1.9540564986956221E-2</v>
      </c>
      <c r="AW127" s="734">
        <f>+AW10/AV10-1</f>
        <v>-0.25725264754992028</v>
      </c>
      <c r="AX127" s="734">
        <f>+AX10/AW10-1</f>
        <v>0.93654150157055227</v>
      </c>
      <c r="AY127" s="1044"/>
      <c r="AZ127" s="734">
        <f>+AZ10/AX10-1</f>
        <v>-0.19496008565946132</v>
      </c>
      <c r="BA127" s="734">
        <f>+BA10/AZ10-1</f>
        <v>0.16611138180333684</v>
      </c>
      <c r="BB127" s="734">
        <f>+BB10/BA10-1</f>
        <v>0.98902327472304141</v>
      </c>
      <c r="BC127" s="734">
        <f>+BC10/BB10-1</f>
        <v>6.116504854368876E-2</v>
      </c>
      <c r="BD127" s="1044"/>
      <c r="BE127" s="734">
        <f>+BE10/BC10-1</f>
        <v>-0.20850922671118122</v>
      </c>
      <c r="BF127" s="734">
        <f>+BF10/BE10-1</f>
        <v>8.6377524808695538E-2</v>
      </c>
      <c r="BG127" s="734">
        <f>+BG10/BF10-1</f>
        <v>2.7689627278948414E-3</v>
      </c>
      <c r="BH127" s="734">
        <f>+BH10/BG10-1</f>
        <v>0.22004281592255936</v>
      </c>
      <c r="BI127" s="1044"/>
      <c r="BJ127" s="734">
        <f>+BJ10/BH10-1</f>
        <v>-0.3046445864019206</v>
      </c>
      <c r="BK127" s="734">
        <f>+BK10/BJ10-1</f>
        <v>8.6857619333225999E-2</v>
      </c>
      <c r="BL127" s="734">
        <f>+BL10/BK10-1</f>
        <v>0.10065077089768715</v>
      </c>
      <c r="BM127" s="734">
        <f>+BM10/BL10-1</f>
        <v>0.18972295764572089</v>
      </c>
      <c r="BN127" s="1044"/>
      <c r="BO127" s="734">
        <f>+BO10/BM10-1</f>
        <v>-0.35881754360719087</v>
      </c>
      <c r="BP127" s="734">
        <f>+BP10/BO10-1</f>
        <v>8.9155177941647956E-2</v>
      </c>
      <c r="BQ127" s="734">
        <f>+BQ10/BP10-1</f>
        <v>0.24562307279056217</v>
      </c>
      <c r="BR127" s="734">
        <f>+BR10/BQ10-1</f>
        <v>6.8463124560584898E-2</v>
      </c>
      <c r="BS127" s="1044"/>
      <c r="BT127" s="734">
        <f>+BT10/BR10-1</f>
        <v>-0.22322736899146789</v>
      </c>
      <c r="BU127" s="734">
        <f>+BU10/BT10-1</f>
        <v>-7.0888792044249138E-2</v>
      </c>
      <c r="BV127" s="734">
        <f>+BV10/BU10-1</f>
        <v>0.28330526746651197</v>
      </c>
      <c r="BW127" s="734">
        <f>+BW10/BV10-1</f>
        <v>5.1279101947428796E-2</v>
      </c>
      <c r="BX127" s="1044"/>
      <c r="BY127" s="734">
        <f>+BY10/BW10-1</f>
        <v>-0.26140203511474769</v>
      </c>
      <c r="BZ127" s="734">
        <f>+BZ10/BY10-1</f>
        <v>5.4443629156348816E-2</v>
      </c>
      <c r="CA127" s="734">
        <f>+CA10/BZ10-1</f>
        <v>0.27113991545368532</v>
      </c>
      <c r="CB127" s="734">
        <f>+CB10/CA10-1</f>
        <v>8.2325794331695512E-2</v>
      </c>
      <c r="CC127" s="1044"/>
      <c r="CD127" s="734">
        <f>+CD10/CB10-1</f>
        <v>-0.26683497776121723</v>
      </c>
      <c r="CE127" s="734">
        <f>+CE10/CD10-1</f>
        <v>2.906102295689017E-2</v>
      </c>
      <c r="CF127" s="734">
        <f>+CF10/CE10-1</f>
        <v>0.27589418237691921</v>
      </c>
      <c r="CG127" s="734">
        <f>+CG10/CF10-1</f>
        <v>7.9863876292965319E-2</v>
      </c>
      <c r="CH127" s="1044"/>
      <c r="CI127" s="734">
        <f>+CI10/CG10-1</f>
        <v>-0.24754532210819291</v>
      </c>
      <c r="CJ127" s="734">
        <f>+CJ10/CI10-1</f>
        <v>2.5396339966996528E-3</v>
      </c>
      <c r="CK127" s="734">
        <f>+CK10/CJ10-1</f>
        <v>0.28021746267757974</v>
      </c>
      <c r="CL127" s="734">
        <f>+CL10/CK10-1</f>
        <v>8.0101775702131617E-2</v>
      </c>
      <c r="CM127" s="1044"/>
      <c r="CN127" s="734">
        <f>+CN10/CL10-1</f>
        <v>-0.23111663505931135</v>
      </c>
      <c r="CO127" s="734">
        <f>+CO10/CN10-1</f>
        <v>-2.3338367466305243E-2</v>
      </c>
      <c r="CP127" s="734">
        <f>+CP10/CO10-1</f>
        <v>0.28717252437156682</v>
      </c>
      <c r="CQ127" s="734">
        <f>+CQ10/CP10-1</f>
        <v>7.7645013185598577E-2</v>
      </c>
      <c r="CR127" s="1044"/>
    </row>
    <row r="128" spans="1:96" ht="12" customHeight="1">
      <c r="A128" s="1041" t="str">
        <f t="shared" si="163"/>
        <v>Total GAAP Revenues</v>
      </c>
      <c r="F128" s="1030"/>
      <c r="G128" s="734"/>
      <c r="H128" s="734"/>
      <c r="I128" s="734"/>
      <c r="J128" s="734"/>
      <c r="K128" s="771"/>
      <c r="L128" s="780"/>
      <c r="M128" s="780"/>
      <c r="N128" s="780"/>
      <c r="O128" s="780"/>
      <c r="P128" s="1044"/>
      <c r="Q128" s="780"/>
      <c r="R128" s="780"/>
      <c r="S128" s="780"/>
      <c r="T128" s="780"/>
      <c r="U128" s="1044"/>
      <c r="V128" s="780"/>
      <c r="W128" s="780"/>
      <c r="X128" s="780"/>
      <c r="Y128" s="780"/>
      <c r="Z128" s="1044"/>
      <c r="AA128" s="780"/>
      <c r="AB128" s="780"/>
      <c r="AC128" s="780"/>
      <c r="AD128" s="780"/>
      <c r="AE128" s="1044"/>
      <c r="AF128" s="780"/>
      <c r="AG128" s="780"/>
      <c r="AH128" s="780"/>
      <c r="AI128" s="780"/>
      <c r="AJ128" s="1044"/>
      <c r="AK128" s="780"/>
      <c r="AL128" s="780"/>
      <c r="AM128" s="780"/>
      <c r="AN128" s="780"/>
      <c r="AO128" s="1044"/>
      <c r="AP128" s="780"/>
      <c r="AQ128" s="734">
        <f>+AQ14/AP14-1</f>
        <v>0.20833333333333348</v>
      </c>
      <c r="AR128" s="734">
        <f>+AR14/AQ14-1</f>
        <v>0.10249336870026515</v>
      </c>
      <c r="AS128" s="734">
        <f>+AS14/AR14-1</f>
        <v>1.2583004523145203E-2</v>
      </c>
      <c r="AT128" s="1044"/>
      <c r="AU128" s="734">
        <f>+AU14/AS14-1</f>
        <v>-1.2474160667189316E-2</v>
      </c>
      <c r="AV128" s="734">
        <f>+AV14/AU14-1</f>
        <v>-1.5723497425533139E-2</v>
      </c>
      <c r="AW128" s="734">
        <f>+AW14/AV14-1</f>
        <v>2.767151081071173E-2</v>
      </c>
      <c r="AX128" s="734">
        <f>+AX14/AW14-1</f>
        <v>-3.6762169812442513E-2</v>
      </c>
      <c r="AY128" s="1044"/>
      <c r="AZ128" s="734">
        <f>+AZ14/AX14-1</f>
        <v>-0.18104704284479578</v>
      </c>
      <c r="BA128" s="734">
        <f>+BA14/AZ14-1</f>
        <v>0.17718274609133533</v>
      </c>
      <c r="BB128" s="734">
        <f>+BB14/BA14-1</f>
        <v>0.75465874306791858</v>
      </c>
      <c r="BC128" s="734">
        <f>+BC14/BB14-1</f>
        <v>5.2196318301922284E-2</v>
      </c>
      <c r="BD128" s="1044"/>
      <c r="BE128" s="734">
        <f>+BE14/BC14-1</f>
        <v>0.11257483368365584</v>
      </c>
      <c r="BF128" s="734">
        <f>+BF14/BE14-1</f>
        <v>1.8393700001870794E-3</v>
      </c>
      <c r="BG128" s="734">
        <f>+BG14/BF14-1</f>
        <v>2.6245363339888694E-2</v>
      </c>
      <c r="BH128" s="734">
        <f>+BH14/BG14-1</f>
        <v>8.3205472639835687E-3</v>
      </c>
      <c r="BI128" s="1044"/>
      <c r="BJ128" s="734">
        <f>+BJ14/BH14-1</f>
        <v>-3.6959071361982399E-2</v>
      </c>
      <c r="BK128" s="734">
        <f>+BK14/BJ14-1</f>
        <v>-1.0192355733200098E-2</v>
      </c>
      <c r="BL128" s="734">
        <f>+BL14/BK14-1</f>
        <v>-6.2528393316843012E-3</v>
      </c>
      <c r="BM128" s="734">
        <f>+BM14/BL14-1</f>
        <v>6.0445595789124784E-3</v>
      </c>
      <c r="BN128" s="1044"/>
      <c r="BO128" s="734">
        <f>+BO14/BM14-1</f>
        <v>-4.5983250130956832E-2</v>
      </c>
      <c r="BP128" s="734">
        <f>+BP14/BO14-1</f>
        <v>6.8072213438472584E-3</v>
      </c>
      <c r="BQ128" s="734">
        <f>+BQ14/BP14-1</f>
        <v>-3.5284377628259644E-3</v>
      </c>
      <c r="BR128" s="734">
        <f>+BR14/BQ14-1</f>
        <v>6.7455738353499051E-3</v>
      </c>
      <c r="BS128" s="1044"/>
      <c r="BT128" s="734">
        <f>+BT14/BR14-1</f>
        <v>-4.453817838849794E-4</v>
      </c>
      <c r="BU128" s="734">
        <f>+BU14/BT14-1</f>
        <v>-1.3703196645042937E-2</v>
      </c>
      <c r="BV128" s="734">
        <f>+BV14/BU14-1</f>
        <v>6.4885657535622698E-3</v>
      </c>
      <c r="BW128" s="734">
        <f>+BW14/BV14-1</f>
        <v>1.7089719539086223E-2</v>
      </c>
      <c r="BX128" s="1044"/>
      <c r="BY128" s="734">
        <f>+BY14/BW14-1</f>
        <v>1.2792820065779642E-2</v>
      </c>
      <c r="BZ128" s="734">
        <f>+BZ14/BY14-1</f>
        <v>-1.8706804265768318E-2</v>
      </c>
      <c r="CA128" s="734">
        <f>+CA14/BZ14-1</f>
        <v>1.4256077357180263E-2</v>
      </c>
      <c r="CB128" s="734">
        <f>+CB14/CA14-1</f>
        <v>2.1574793764141509E-2</v>
      </c>
      <c r="CC128" s="1044"/>
      <c r="CD128" s="734">
        <f>+CD14/CB14-1</f>
        <v>4.0373869428702802E-2</v>
      </c>
      <c r="CE128" s="734">
        <f>+CE14/CD14-1</f>
        <v>-3.7740610375816108E-2</v>
      </c>
      <c r="CF128" s="734">
        <f>+CF14/CE14-1</f>
        <v>1.7454322103100273E-2</v>
      </c>
      <c r="CG128" s="734">
        <f>+CG14/CF14-1</f>
        <v>2.1685554824977249E-2</v>
      </c>
      <c r="CH128" s="1044"/>
      <c r="CI128" s="734">
        <f>+CI14/CG14-1</f>
        <v>6.0260662895449624E-2</v>
      </c>
      <c r="CJ128" s="734">
        <f>+CJ14/CI14-1</f>
        <v>-5.7833827653204883E-2</v>
      </c>
      <c r="CK128" s="734">
        <f>+CK14/CJ14-1</f>
        <v>2.0963500536972823E-2</v>
      </c>
      <c r="CL128" s="734">
        <f>+CL14/CK14-1</f>
        <v>2.180334042966936E-2</v>
      </c>
      <c r="CM128" s="1044"/>
      <c r="CN128" s="734">
        <f>+CN14/CL14-1</f>
        <v>7.9721821910795798E-2</v>
      </c>
      <c r="CO128" s="734">
        <f>+CO14/CN14-1</f>
        <v>-7.896274943682946E-2</v>
      </c>
      <c r="CP128" s="734">
        <f>+CP14/CO14-1</f>
        <v>2.6981360587313263E-2</v>
      </c>
      <c r="CQ128" s="734">
        <f>+CQ14/CP14-1</f>
        <v>2.1928496758940819E-2</v>
      </c>
      <c r="CR128" s="1044"/>
    </row>
    <row r="129" spans="1:96" ht="12" customHeight="1">
      <c r="A129" s="1041" t="str">
        <f t="shared" si="163"/>
        <v>Total Non-GAAP Revenues</v>
      </c>
      <c r="F129" s="1030"/>
      <c r="G129" s="734"/>
      <c r="H129" s="734"/>
      <c r="I129" s="734"/>
      <c r="J129" s="734"/>
      <c r="K129" s="771"/>
      <c r="L129" s="780"/>
      <c r="M129" s="780"/>
      <c r="N129" s="780"/>
      <c r="O129" s="780"/>
      <c r="P129" s="1044"/>
      <c r="Q129" s="780"/>
      <c r="R129" s="780"/>
      <c r="S129" s="780"/>
      <c r="T129" s="780"/>
      <c r="U129" s="1044"/>
      <c r="V129" s="780"/>
      <c r="W129" s="780"/>
      <c r="X129" s="780"/>
      <c r="Y129" s="780"/>
      <c r="Z129" s="1044"/>
      <c r="AA129" s="780"/>
      <c r="AB129" s="780"/>
      <c r="AC129" s="780"/>
      <c r="AD129" s="780"/>
      <c r="AE129" s="1044"/>
      <c r="AF129" s="780"/>
      <c r="AG129" s="780"/>
      <c r="AH129" s="780"/>
      <c r="AI129" s="780"/>
      <c r="AJ129" s="1044"/>
      <c r="AK129" s="780"/>
      <c r="AL129" s="780"/>
      <c r="AM129" s="780"/>
      <c r="AN129" s="780"/>
      <c r="AO129" s="1044"/>
      <c r="AP129" s="780"/>
      <c r="AQ129" s="734">
        <f>+AQ16/AP16-1</f>
        <v>0.20833333333333348</v>
      </c>
      <c r="AR129" s="734">
        <f>+AR16/AQ16-1</f>
        <v>0.10249336870026515</v>
      </c>
      <c r="AS129" s="734">
        <f>+AS16/AR16-1</f>
        <v>1.2583004523145203E-2</v>
      </c>
      <c r="AT129" s="1044"/>
      <c r="AU129" s="734">
        <f>+AU16/AS16-1</f>
        <v>-1.2474160667189316E-2</v>
      </c>
      <c r="AV129" s="734">
        <f>+AV16/AU16-1</f>
        <v>-1.5723497425533139E-2</v>
      </c>
      <c r="AW129" s="734">
        <f>+AW16/AV16-1</f>
        <v>2.767151081071173E-2</v>
      </c>
      <c r="AX129" s="734">
        <f>+AX16/AW16-1</f>
        <v>5.5969838608008748E-2</v>
      </c>
      <c r="AY129" s="1044"/>
      <c r="AZ129" s="734">
        <f>+AZ16/AX16-1</f>
        <v>4.7304222465016643E-4</v>
      </c>
      <c r="BA129" s="734">
        <f>+BA16/AZ16-1</f>
        <v>3.8872440306656708E-2</v>
      </c>
      <c r="BB129" s="734">
        <f>+BB16/BA16-1</f>
        <v>0.59723456362020744</v>
      </c>
      <c r="BC129" s="734">
        <f>+BC16/BB16-1</f>
        <v>2.1859480582919977E-2</v>
      </c>
      <c r="BD129" s="1044"/>
      <c r="BE129" s="734">
        <f>+BE16/BC16-1</f>
        <v>6.4819609873985495E-2</v>
      </c>
      <c r="BF129" s="734">
        <f>+BF16/BE16-1</f>
        <v>1.8393700001870794E-3</v>
      </c>
      <c r="BG129" s="734">
        <f>+BG16/BF16-1</f>
        <v>2.6245363339889138E-2</v>
      </c>
      <c r="BH129" s="734">
        <f>+BH16/BG16-1</f>
        <v>8.3205472639831246E-3</v>
      </c>
      <c r="BI129" s="1044"/>
      <c r="BJ129" s="734">
        <f>+BJ16/BH16-1</f>
        <v>-3.6959071361982287E-2</v>
      </c>
      <c r="BK129" s="734">
        <f>+BK16/BJ16-1</f>
        <v>-1.0192355733200098E-2</v>
      </c>
      <c r="BL129" s="734">
        <f>+BL16/BK16-1</f>
        <v>-6.2528393316843012E-3</v>
      </c>
      <c r="BM129" s="734">
        <f>+BM16/BL16-1</f>
        <v>6.0445595789127005E-3</v>
      </c>
      <c r="BN129" s="1044"/>
      <c r="BO129" s="734">
        <f>+BO16/BM16-1</f>
        <v>-4.5983250130956943E-2</v>
      </c>
      <c r="BP129" s="734">
        <f>+BP16/BO16-1</f>
        <v>6.8072213438472584E-3</v>
      </c>
      <c r="BQ129" s="734">
        <f>+BQ16/BP16-1</f>
        <v>-3.5284377628259644E-3</v>
      </c>
      <c r="BR129" s="734">
        <f>+BR16/BQ16-1</f>
        <v>6.7455738353499051E-3</v>
      </c>
      <c r="BS129" s="1044"/>
      <c r="BT129" s="734">
        <f>+BT16/BR16-1</f>
        <v>-4.453817838849794E-4</v>
      </c>
      <c r="BU129" s="734">
        <f>+BU16/BT16-1</f>
        <v>-1.3703196645042937E-2</v>
      </c>
      <c r="BV129" s="734">
        <f>+BV16/BU16-1</f>
        <v>6.4885657535622698E-3</v>
      </c>
      <c r="BW129" s="734">
        <f>+BW16/BV16-1</f>
        <v>1.7089719539086223E-2</v>
      </c>
      <c r="BX129" s="1044"/>
      <c r="BY129" s="734">
        <f>+BY16/BW16-1</f>
        <v>1.2792820065779642E-2</v>
      </c>
      <c r="BZ129" s="734">
        <f>+BZ16/BY16-1</f>
        <v>-1.8706804265768318E-2</v>
      </c>
      <c r="CA129" s="734">
        <f>+CA16/BZ16-1</f>
        <v>1.4256077357180263E-2</v>
      </c>
      <c r="CB129" s="734">
        <f>+CB16/CA16-1</f>
        <v>2.1574793764141509E-2</v>
      </c>
      <c r="CC129" s="1044"/>
      <c r="CD129" s="734">
        <f>+CD16/CB16-1</f>
        <v>4.0373869428702802E-2</v>
      </c>
      <c r="CE129" s="734">
        <f>+CE16/CD16-1</f>
        <v>-3.7740610375816108E-2</v>
      </c>
      <c r="CF129" s="734">
        <f>+CF16/CE16-1</f>
        <v>1.7454322103100273E-2</v>
      </c>
      <c r="CG129" s="734">
        <f>+CG16/CF16-1</f>
        <v>2.1685554824977249E-2</v>
      </c>
      <c r="CH129" s="1044"/>
      <c r="CI129" s="734">
        <f>+CI16/CG16-1</f>
        <v>6.0260662895449624E-2</v>
      </c>
      <c r="CJ129" s="734">
        <f>+CJ16/CI16-1</f>
        <v>-5.7833827653204883E-2</v>
      </c>
      <c r="CK129" s="734">
        <f>+CK16/CJ16-1</f>
        <v>2.0963500536972823E-2</v>
      </c>
      <c r="CL129" s="734">
        <f>+CL16/CK16-1</f>
        <v>2.180334042966936E-2</v>
      </c>
      <c r="CM129" s="1044"/>
      <c r="CN129" s="734">
        <f>+CN16/CL16-1</f>
        <v>7.9721821910795798E-2</v>
      </c>
      <c r="CO129" s="734">
        <f>+CO16/CN16-1</f>
        <v>-7.896274943682946E-2</v>
      </c>
      <c r="CP129" s="734">
        <f>+CP16/CO16-1</f>
        <v>2.6981360587313263E-2</v>
      </c>
      <c r="CQ129" s="734">
        <f>+CQ16/CP16-1</f>
        <v>2.1928496758940819E-2</v>
      </c>
      <c r="CR129" s="1044"/>
    </row>
    <row r="130" spans="1:96" ht="12" customHeight="1">
      <c r="A130" s="1041" t="str">
        <f t="shared" si="163"/>
        <v>Cost of Revenues - Non-GAAP</v>
      </c>
      <c r="F130" s="1030"/>
      <c r="G130" s="734"/>
      <c r="H130" s="734"/>
      <c r="I130" s="734"/>
      <c r="J130" s="734"/>
      <c r="K130" s="771"/>
      <c r="L130" s="734"/>
      <c r="M130" s="734"/>
      <c r="N130" s="734"/>
      <c r="O130" s="734"/>
      <c r="P130" s="771"/>
      <c r="Q130" s="734"/>
      <c r="R130" s="734"/>
      <c r="S130" s="734"/>
      <c r="T130" s="734"/>
      <c r="U130" s="771"/>
      <c r="V130" s="734"/>
      <c r="W130" s="734"/>
      <c r="X130" s="734"/>
      <c r="Y130" s="734"/>
      <c r="Z130" s="771"/>
      <c r="AA130" s="734"/>
      <c r="AB130" s="734"/>
      <c r="AC130" s="734"/>
      <c r="AD130" s="734"/>
      <c r="AE130" s="771"/>
      <c r="AF130" s="734"/>
      <c r="AG130" s="734"/>
      <c r="AH130" s="734"/>
      <c r="AI130" s="734"/>
      <c r="AJ130" s="771"/>
      <c r="AK130" s="734"/>
      <c r="AL130" s="734"/>
      <c r="AM130" s="734"/>
      <c r="AN130" s="734"/>
      <c r="AO130" s="771"/>
      <c r="AP130" s="734"/>
      <c r="AQ130" s="734">
        <f t="shared" ref="AQ130:AS131" si="164">+AQ26/AP26-1</f>
        <v>0.20950909400411155</v>
      </c>
      <c r="AR130" s="734">
        <f t="shared" si="164"/>
        <v>0.16823826175448331</v>
      </c>
      <c r="AS130" s="734">
        <f t="shared" si="164"/>
        <v>-4.9893892075729362E-2</v>
      </c>
      <c r="AT130" s="771"/>
      <c r="AU130" s="734">
        <f>+AU26/AS26-1</f>
        <v>-7.3669836625213314E-2</v>
      </c>
      <c r="AV130" s="734">
        <f t="shared" ref="AV130:AX131" si="165">+AV26/AU26-1</f>
        <v>-1.7015541422735314E-2</v>
      </c>
      <c r="AW130" s="734">
        <f t="shared" si="165"/>
        <v>4.3875058914263798E-2</v>
      </c>
      <c r="AX130" s="734">
        <f t="shared" si="165"/>
        <v>5.1225218569141528E-2</v>
      </c>
      <c r="AY130" s="771"/>
      <c r="AZ130" s="734">
        <f>+AZ26/AX26-1</f>
        <v>-8.679864120885572E-2</v>
      </c>
      <c r="BA130" s="734">
        <f t="shared" ref="BA130:BC131" si="166">+BA26/AZ26-1</f>
        <v>3.2837352488455762E-2</v>
      </c>
      <c r="BB130" s="734">
        <f t="shared" si="166"/>
        <v>0.82261135949660535</v>
      </c>
      <c r="BC130" s="734">
        <f t="shared" si="166"/>
        <v>-1.0221000749540132E-2</v>
      </c>
      <c r="BD130" s="771"/>
      <c r="BE130" s="734">
        <f>+BE26/BC26-1</f>
        <v>0.12742960736168163</v>
      </c>
      <c r="BF130" s="734">
        <f t="shared" ref="BF130:BH131" si="167">+BF26/BE26-1</f>
        <v>9.5481375941380175E-2</v>
      </c>
      <c r="BG130" s="734">
        <f t="shared" si="167"/>
        <v>-4.6710391854480671E-2</v>
      </c>
      <c r="BH130" s="734">
        <f t="shared" si="167"/>
        <v>-3.2822032081392227E-2</v>
      </c>
      <c r="BI130" s="771"/>
      <c r="BJ130" s="734">
        <f>+BJ26/BH26-1</f>
        <v>1.9950426213648509E-3</v>
      </c>
      <c r="BK130" s="734">
        <f t="shared" ref="BK130:BM131" si="168">+BK26/BJ26-1</f>
        <v>-1.5405655444269972E-2</v>
      </c>
      <c r="BL130" s="734">
        <f t="shared" si="168"/>
        <v>-2.2877686085464477E-2</v>
      </c>
      <c r="BM130" s="734">
        <f t="shared" si="168"/>
        <v>-6.3968559244081957E-3</v>
      </c>
      <c r="BN130" s="771"/>
      <c r="BO130" s="734">
        <f>+BO26/BM26-1</f>
        <v>2.2722491058278615E-2</v>
      </c>
      <c r="BP130" s="734">
        <f t="shared" ref="BP130:BR131" si="169">+BP26/BO26-1</f>
        <v>-2.9191524377700007E-2</v>
      </c>
      <c r="BQ130" s="734">
        <f t="shared" si="169"/>
        <v>2.9666673730159854E-3</v>
      </c>
      <c r="BR130" s="734">
        <f t="shared" si="169"/>
        <v>2.49730620523545E-2</v>
      </c>
      <c r="BS130" s="771"/>
      <c r="BT130" s="734">
        <f>+BT26/BR26-1</f>
        <v>3.5227670933564825E-2</v>
      </c>
      <c r="BU130" s="734">
        <f t="shared" ref="BU130:BW131" si="170">+BU26/BT26-1</f>
        <v>-6.73397095461441E-2</v>
      </c>
      <c r="BV130" s="734">
        <f t="shared" si="170"/>
        <v>7.0478205765454049E-3</v>
      </c>
      <c r="BW130" s="734">
        <f t="shared" si="170"/>
        <v>1.5776999607632458E-2</v>
      </c>
      <c r="BX130" s="771"/>
      <c r="BY130" s="734">
        <f>+BY26/BW26-1</f>
        <v>2.9111633985886343E-2</v>
      </c>
      <c r="BZ130" s="734">
        <f t="shared" ref="BZ130:CB131" si="171">+BZ26/BY26-1</f>
        <v>-4.0097458389893759E-2</v>
      </c>
      <c r="CA130" s="734">
        <f t="shared" si="171"/>
        <v>1.4317205919099019E-2</v>
      </c>
      <c r="CB130" s="734">
        <f t="shared" si="171"/>
        <v>1.8057647942556265E-2</v>
      </c>
      <c r="CC130" s="771"/>
      <c r="CD130" s="734">
        <f>+CD26/CB26-1</f>
        <v>4.5105080302435763E-2</v>
      </c>
      <c r="CE130" s="734">
        <f t="shared" ref="CE130:CG131" si="172">+CE26/CD26-1</f>
        <v>-5.5723956560075671E-2</v>
      </c>
      <c r="CF130" s="734">
        <f t="shared" si="172"/>
        <v>1.7963493311873524E-2</v>
      </c>
      <c r="CG130" s="734">
        <f t="shared" si="172"/>
        <v>1.905043810298368E-2</v>
      </c>
      <c r="CH130" s="771"/>
      <c r="CI130" s="734">
        <f>+CI26/CG26-1</f>
        <v>7.2093670088322348E-2</v>
      </c>
      <c r="CJ130" s="734">
        <f t="shared" ref="CJ130:CL131" si="173">+CJ26/CI26-1</f>
        <v>-7.1592283741073959E-2</v>
      </c>
      <c r="CK130" s="734">
        <f t="shared" si="173"/>
        <v>2.1537651070990149E-2</v>
      </c>
      <c r="CL130" s="734">
        <f t="shared" si="173"/>
        <v>1.9635764612358608E-2</v>
      </c>
      <c r="CM130" s="771"/>
      <c r="CN130" s="734">
        <f>+CN26/CL26-1</f>
        <v>8.7097544895107681E-2</v>
      </c>
      <c r="CO130" s="734">
        <f t="shared" ref="CO130:CQ131" si="174">+CO26/CN26-1</f>
        <v>-8.8639692078408938E-2</v>
      </c>
      <c r="CP130" s="734">
        <f t="shared" si="174"/>
        <v>2.7179881408853523E-2</v>
      </c>
      <c r="CQ130" s="734">
        <f t="shared" si="174"/>
        <v>2.0155814718076037E-2</v>
      </c>
      <c r="CR130" s="771"/>
    </row>
    <row r="131" spans="1:96" s="1054" customFormat="1" ht="12" customHeight="1">
      <c r="A131" s="1049" t="str">
        <f t="shared" si="163"/>
        <v>Gross Profit - Non-GAAP</v>
      </c>
      <c r="B131" s="1050"/>
      <c r="C131" s="1050"/>
      <c r="D131" s="1050"/>
      <c r="E131" s="1050"/>
      <c r="F131" s="1051"/>
      <c r="G131" s="1052"/>
      <c r="H131" s="1052"/>
      <c r="I131" s="1052"/>
      <c r="J131" s="1052"/>
      <c r="K131" s="1053"/>
      <c r="L131" s="1052"/>
      <c r="M131" s="1052"/>
      <c r="N131" s="1052"/>
      <c r="O131" s="1052"/>
      <c r="P131" s="1053"/>
      <c r="Q131" s="1052"/>
      <c r="R131" s="1052"/>
      <c r="S131" s="1052"/>
      <c r="T131" s="1052"/>
      <c r="U131" s="1053"/>
      <c r="V131" s="1052"/>
      <c r="W131" s="1052"/>
      <c r="X131" s="1052"/>
      <c r="Y131" s="1052"/>
      <c r="Z131" s="1053"/>
      <c r="AA131" s="1052"/>
      <c r="AB131" s="1052"/>
      <c r="AC131" s="1052"/>
      <c r="AD131" s="1052"/>
      <c r="AE131" s="1053"/>
      <c r="AF131" s="1052"/>
      <c r="AG131" s="1052"/>
      <c r="AH131" s="1052"/>
      <c r="AI131" s="1052"/>
      <c r="AJ131" s="1053"/>
      <c r="AK131" s="1052"/>
      <c r="AL131" s="1052"/>
      <c r="AM131" s="1052"/>
      <c r="AN131" s="1052"/>
      <c r="AO131" s="1053"/>
      <c r="AP131" s="1052"/>
      <c r="AQ131" s="1052">
        <f t="shared" si="164"/>
        <v>0.20781499847025087</v>
      </c>
      <c r="AR131" s="1052">
        <f t="shared" si="164"/>
        <v>7.3469036615033678E-2</v>
      </c>
      <c r="AS131" s="1052">
        <f t="shared" si="164"/>
        <v>4.2599609088034951E-2</v>
      </c>
      <c r="AT131" s="1053"/>
      <c r="AU131" s="1052">
        <f>+AU27/AS27-1</f>
        <v>1.431859623950027E-2</v>
      </c>
      <c r="AV131" s="1052">
        <f t="shared" si="165"/>
        <v>-1.5206884356949391E-2</v>
      </c>
      <c r="AW131" s="1052">
        <f t="shared" si="165"/>
        <v>2.1204555559355631E-2</v>
      </c>
      <c r="AX131" s="1052">
        <f t="shared" si="165"/>
        <v>5.7905489132254573E-2</v>
      </c>
      <c r="AY131" s="1053"/>
      <c r="AZ131" s="1052">
        <f>+AZ27/AX27-1</f>
        <v>3.5852222362923181E-2</v>
      </c>
      <c r="BA131" s="1052">
        <f t="shared" si="166"/>
        <v>4.1029324124019828E-2</v>
      </c>
      <c r="BB131" s="1052">
        <f t="shared" si="166"/>
        <v>0.51732084666647093</v>
      </c>
      <c r="BC131" s="1052">
        <f t="shared" si="166"/>
        <v>3.5523222629609164E-2</v>
      </c>
      <c r="BD131" s="1053"/>
      <c r="BE131" s="1052">
        <f>+BE27/BC27-1</f>
        <v>3.9330723741369589E-2</v>
      </c>
      <c r="BF131" s="1052">
        <f t="shared" si="167"/>
        <v>-3.9514251557289493E-2</v>
      </c>
      <c r="BG131" s="1052">
        <f t="shared" si="167"/>
        <v>6.2991904917879538E-2</v>
      </c>
      <c r="BH131" s="1052">
        <f t="shared" si="167"/>
        <v>2.6904724173753447E-2</v>
      </c>
      <c r="BI131" s="1053"/>
      <c r="BJ131" s="1052">
        <f>+BJ27/BH27-1</f>
        <v>-5.3531318050101806E-2</v>
      </c>
      <c r="BK131" s="1052">
        <f t="shared" si="168"/>
        <v>-7.8443450062501974E-3</v>
      </c>
      <c r="BL131" s="1052">
        <f t="shared" si="168"/>
        <v>1.177738012635654E-3</v>
      </c>
      <c r="BM131" s="1052">
        <f t="shared" si="168"/>
        <v>1.1471717383572777E-2</v>
      </c>
      <c r="BN131" s="1053"/>
      <c r="BO131" s="1052">
        <f>+BO27/BM27-1</f>
        <v>-7.5424408802819753E-2</v>
      </c>
      <c r="BP131" s="1052">
        <f t="shared" si="169"/>
        <v>2.3870583990716954E-2</v>
      </c>
      <c r="BQ131" s="1052">
        <f t="shared" si="169"/>
        <v>-6.4475576423080883E-3</v>
      </c>
      <c r="BR131" s="1052">
        <f t="shared" si="169"/>
        <v>-1.5240980023771833E-3</v>
      </c>
      <c r="BS131" s="1053"/>
      <c r="BT131" s="1052">
        <f>+BT27/BR27-1</f>
        <v>-1.70594729515674E-2</v>
      </c>
      <c r="BU131" s="1052">
        <f t="shared" si="170"/>
        <v>1.2605872297793086E-2</v>
      </c>
      <c r="BV131" s="1052">
        <f t="shared" si="170"/>
        <v>6.2359050350799805E-3</v>
      </c>
      <c r="BW131" s="1052">
        <f t="shared" si="170"/>
        <v>1.7683260030492143E-2</v>
      </c>
      <c r="BX131" s="1053"/>
      <c r="BY131" s="1052">
        <f>+BY27/BW27-1</f>
        <v>5.428161676001686E-3</v>
      </c>
      <c r="BZ131" s="1052">
        <f t="shared" si="171"/>
        <v>-8.8258355465928862E-3</v>
      </c>
      <c r="CA131" s="1052">
        <f t="shared" si="171"/>
        <v>1.422873116849277E-2</v>
      </c>
      <c r="CB131" s="1052">
        <f t="shared" si="171"/>
        <v>2.314834498844287E-2</v>
      </c>
      <c r="CC131" s="1053"/>
      <c r="CD131" s="1052">
        <f>+CD27/CB27-1</f>
        <v>3.8267684112675893E-2</v>
      </c>
      <c r="CE131" s="1052">
        <f t="shared" si="172"/>
        <v>-2.968227381607913E-2</v>
      </c>
      <c r="CF131" s="1052">
        <f t="shared" si="172"/>
        <v>1.7232285925649293E-2</v>
      </c>
      <c r="CG131" s="1052">
        <f t="shared" si="172"/>
        <v>2.2835485947478196E-2</v>
      </c>
      <c r="CH131" s="1053"/>
      <c r="CI131" s="1052">
        <f>+CI27/CG27-1</f>
        <v>5.5115999170774588E-2</v>
      </c>
      <c r="CJ131" s="1052">
        <f t="shared" si="173"/>
        <v>-5.1755780153533326E-2</v>
      </c>
      <c r="CK131" s="1052">
        <f t="shared" si="173"/>
        <v>2.0715165099361776E-2</v>
      </c>
      <c r="CL131" s="1052">
        <f t="shared" si="173"/>
        <v>2.2741630311280403E-2</v>
      </c>
      <c r="CM131" s="1053"/>
      <c r="CN131" s="1052">
        <f>+CN27/CL27-1</f>
        <v>7.6538749933072525E-2</v>
      </c>
      <c r="CO131" s="1052">
        <f t="shared" si="174"/>
        <v>-7.4745601104296622E-2</v>
      </c>
      <c r="CP131" s="1052">
        <f t="shared" si="174"/>
        <v>2.6896145650671111E-2</v>
      </c>
      <c r="CQ131" s="1052">
        <f t="shared" si="174"/>
        <v>2.2689629645985754E-2</v>
      </c>
      <c r="CR131" s="1053"/>
    </row>
    <row r="132" spans="1:96" ht="12" customHeight="1">
      <c r="A132" s="1041" t="str">
        <f t="shared" si="163"/>
        <v>Research and development - Non-GAAP</v>
      </c>
      <c r="F132" s="1030"/>
      <c r="G132" s="734"/>
      <c r="H132" s="734"/>
      <c r="I132" s="734"/>
      <c r="J132" s="734"/>
      <c r="K132" s="771"/>
      <c r="L132" s="734"/>
      <c r="M132" s="734"/>
      <c r="N132" s="734"/>
      <c r="O132" s="734"/>
      <c r="P132" s="771"/>
      <c r="Q132" s="734"/>
      <c r="R132" s="734"/>
      <c r="S132" s="734"/>
      <c r="T132" s="734"/>
      <c r="U132" s="771"/>
      <c r="V132" s="734"/>
      <c r="W132" s="734"/>
      <c r="X132" s="734"/>
      <c r="Y132" s="734"/>
      <c r="Z132" s="771"/>
      <c r="AA132" s="734"/>
      <c r="AB132" s="734"/>
      <c r="AC132" s="734"/>
      <c r="AD132" s="734"/>
      <c r="AE132" s="771"/>
      <c r="AF132" s="734"/>
      <c r="AG132" s="734"/>
      <c r="AH132" s="734"/>
      <c r="AI132" s="734"/>
      <c r="AJ132" s="771"/>
      <c r="AK132" s="734"/>
      <c r="AL132" s="734"/>
      <c r="AM132" s="734"/>
      <c r="AN132" s="734"/>
      <c r="AO132" s="771"/>
      <c r="AP132" s="734"/>
      <c r="AQ132" s="734">
        <f>+AQ33/AP33-1</f>
        <v>0.15384615384615374</v>
      </c>
      <c r="AR132" s="734">
        <f>+AR33/AQ33-1</f>
        <v>0.13459999999999983</v>
      </c>
      <c r="AS132" s="734">
        <f>+AS33/AR33-1</f>
        <v>-9.1662259827250958E-3</v>
      </c>
      <c r="AT132" s="771"/>
      <c r="AU132" s="734">
        <f>+AU33/AS33-1</f>
        <v>-0.14238273142382729</v>
      </c>
      <c r="AV132" s="734">
        <f>+AV33/AU33-1</f>
        <v>-1.5834601023371531E-2</v>
      </c>
      <c r="AW132" s="734">
        <f>+AW33/AV33-1</f>
        <v>-1.9180777067378751E-2</v>
      </c>
      <c r="AX132" s="734">
        <f>+AX33/AW33-1</f>
        <v>0.13667621776504291</v>
      </c>
      <c r="AY132" s="771"/>
      <c r="AZ132" s="734">
        <f>+AZ33/AX33-1</f>
        <v>-0.14916813713133337</v>
      </c>
      <c r="BA132" s="734">
        <f>+BA33/AZ33-1</f>
        <v>3.7552773868602118E-2</v>
      </c>
      <c r="BB132" s="734">
        <f>+BB33/BA33-1</f>
        <v>0.59194745859508857</v>
      </c>
      <c r="BC132" s="734">
        <f>+BC33/BB33-1</f>
        <v>-0.1080269058295964</v>
      </c>
      <c r="BD132" s="771"/>
      <c r="BE132" s="734">
        <f>+BE33/BC33-1</f>
        <v>-6.4853451309637711E-3</v>
      </c>
      <c r="BF132" s="734">
        <f>+BF33/BE33-1</f>
        <v>8.72887359578991E-2</v>
      </c>
      <c r="BG132" s="734">
        <f>+BG33/BF33-1</f>
        <v>-2.5503792991110941E-2</v>
      </c>
      <c r="BH132" s="734">
        <f>+BH33/BG33-1</f>
        <v>-3.0803763312479249E-2</v>
      </c>
      <c r="BI132" s="771"/>
      <c r="BJ132" s="734">
        <f>+BJ33/BH33-1</f>
        <v>3.804080023652312E-2</v>
      </c>
      <c r="BK132" s="734">
        <f>+BK33/BJ33-1</f>
        <v>-0.10068356593563077</v>
      </c>
      <c r="BL132" s="734">
        <f>+BL33/BK33-1</f>
        <v>-1.0979150171549157E-2</v>
      </c>
      <c r="BM132" s="734">
        <f>+BM33/BL33-1</f>
        <v>4.4564231200298954E-2</v>
      </c>
      <c r="BN132" s="771"/>
      <c r="BO132" s="734">
        <f>+BO33/BM33-1</f>
        <v>-6.5144083384426787E-2</v>
      </c>
      <c r="BP132" s="734">
        <f>+BP33/BO33-1</f>
        <v>-9.8376783079201502E-4</v>
      </c>
      <c r="BQ132" s="734">
        <f>+BQ33/BP33-1</f>
        <v>-6.1272498495541394E-2</v>
      </c>
      <c r="BR132" s="734">
        <f>+BR33/BQ33-1</f>
        <v>5.0177749286089091E-2</v>
      </c>
      <c r="BS132" s="771"/>
      <c r="BT132" s="734">
        <f>+BT33/BR33-1</f>
        <v>-2.586015538290809E-2</v>
      </c>
      <c r="BU132" s="1045">
        <v>0.04</v>
      </c>
      <c r="BV132" s="1045">
        <v>0.04</v>
      </c>
      <c r="BW132" s="1045">
        <v>0.04</v>
      </c>
      <c r="BX132" s="771"/>
      <c r="BY132" s="1045">
        <v>-0.01</v>
      </c>
      <c r="BZ132" s="1045">
        <v>0.01</v>
      </c>
      <c r="CA132" s="1045">
        <v>0.01</v>
      </c>
      <c r="CB132" s="1045">
        <v>0.01</v>
      </c>
      <c r="CC132" s="771"/>
      <c r="CD132" s="1045">
        <v>1.4999999999999999E-2</v>
      </c>
      <c r="CE132" s="1045">
        <v>1.4999999999999999E-2</v>
      </c>
      <c r="CF132" s="1045">
        <v>1.4999999999999999E-2</v>
      </c>
      <c r="CG132" s="1045">
        <v>1.4999999999999999E-2</v>
      </c>
      <c r="CH132" s="771"/>
      <c r="CI132" s="1045">
        <v>1.2500000000000001E-2</v>
      </c>
      <c r="CJ132" s="1045">
        <v>1.2500000000000001E-2</v>
      </c>
      <c r="CK132" s="1045">
        <v>1.2500000000000001E-2</v>
      </c>
      <c r="CL132" s="1045">
        <v>1.2500000000000001E-2</v>
      </c>
      <c r="CM132" s="771"/>
      <c r="CN132" s="1045">
        <v>1.2500000000000001E-2</v>
      </c>
      <c r="CO132" s="1045">
        <v>1.2500000000000001E-2</v>
      </c>
      <c r="CP132" s="1045">
        <v>1.2500000000000001E-2</v>
      </c>
      <c r="CQ132" s="1045">
        <v>1.2500000000000001E-2</v>
      </c>
      <c r="CR132" s="771"/>
    </row>
    <row r="133" spans="1:96" ht="12" customHeight="1">
      <c r="A133" s="1041" t="str">
        <f t="shared" si="163"/>
        <v>Sales &amp; Marketing - Non-GAAP</v>
      </c>
      <c r="F133" s="1030"/>
      <c r="G133" s="734"/>
      <c r="H133" s="734"/>
      <c r="I133" s="734"/>
      <c r="J133" s="734"/>
      <c r="K133" s="771"/>
      <c r="L133" s="734"/>
      <c r="M133" s="734"/>
      <c r="N133" s="734"/>
      <c r="O133" s="734"/>
      <c r="P133" s="771"/>
      <c r="Q133" s="734"/>
      <c r="R133" s="734"/>
      <c r="S133" s="734"/>
      <c r="T133" s="734"/>
      <c r="U133" s="771"/>
      <c r="V133" s="734"/>
      <c r="W133" s="734"/>
      <c r="X133" s="734"/>
      <c r="Y133" s="734"/>
      <c r="Z133" s="771"/>
      <c r="AA133" s="734"/>
      <c r="AB133" s="734"/>
      <c r="AC133" s="734"/>
      <c r="AD133" s="734"/>
      <c r="AE133" s="771"/>
      <c r="AF133" s="734"/>
      <c r="AG133" s="734"/>
      <c r="AH133" s="734"/>
      <c r="AI133" s="734"/>
      <c r="AJ133" s="771"/>
      <c r="AK133" s="734"/>
      <c r="AL133" s="734"/>
      <c r="AM133" s="734"/>
      <c r="AN133" s="734"/>
      <c r="AO133" s="771"/>
      <c r="AP133" s="734"/>
      <c r="AQ133" s="734">
        <f>+AQ39/AP39-1</f>
        <v>0.18181818181818188</v>
      </c>
      <c r="AR133" s="734">
        <f>+AR39/AQ39-1</f>
        <v>5.9999999999999609E-2</v>
      </c>
      <c r="AS133" s="734">
        <f>+AS39/AR39-1</f>
        <v>0.1484034833091441</v>
      </c>
      <c r="AT133" s="771"/>
      <c r="AU133" s="734">
        <f>+AU39/AS39-1</f>
        <v>-0.23418641390205375</v>
      </c>
      <c r="AV133" s="734">
        <f>+AV39/AU39-1</f>
        <v>-2.5744698407459299E-2</v>
      </c>
      <c r="AW133" s="734">
        <f>+AW39/AV39-1</f>
        <v>7.7157618361988645E-2</v>
      </c>
      <c r="AX133" s="734">
        <f>+AX39/AW39-1</f>
        <v>-2.6183362163862078E-2</v>
      </c>
      <c r="AY133" s="771"/>
      <c r="AZ133" s="734">
        <f>+AZ39/AX39-1</f>
        <v>-5.4178441663302657E-2</v>
      </c>
      <c r="BA133" s="734">
        <f>+BA39/AZ39-1</f>
        <v>-0.11439303397643841</v>
      </c>
      <c r="BB133" s="734">
        <f>+BB39/BA39-1</f>
        <v>0.6436283015230384</v>
      </c>
      <c r="BC133" s="734">
        <f>+BC39/BB39-1</f>
        <v>1.9060465661838055E-2</v>
      </c>
      <c r="BD133" s="771"/>
      <c r="BE133" s="734">
        <f>+BE39/BC39-1</f>
        <v>0.29805478821362819</v>
      </c>
      <c r="BF133" s="734">
        <f>+BF39/BE39-1</f>
        <v>-5.8080248281977331E-2</v>
      </c>
      <c r="BG133" s="734">
        <f>+BG39/BF39-1</f>
        <v>-0.10811955754295133</v>
      </c>
      <c r="BH133" s="734">
        <f>+BH39/BG39-1</f>
        <v>-7.1775385264937208E-3</v>
      </c>
      <c r="BI133" s="771"/>
      <c r="BJ133" s="734">
        <f>+BJ39/BH39-1</f>
        <v>-2.4133531788220086E-2</v>
      </c>
      <c r="BK133" s="734">
        <f>+BK39/BJ39-1</f>
        <v>6.498529251552454E-2</v>
      </c>
      <c r="BL133" s="734">
        <f>+BL39/BK39-1</f>
        <v>4.2555368011866435E-2</v>
      </c>
      <c r="BM133" s="734">
        <f>+BM39/BL39-1</f>
        <v>-6.9175293136436444E-3</v>
      </c>
      <c r="BN133" s="771"/>
      <c r="BO133" s="734">
        <f>+BO39/BM39-1</f>
        <v>-9.6136745380891342E-2</v>
      </c>
      <c r="BP133" s="734">
        <f>+BP39/BO39-1</f>
        <v>-4.2140358548316659E-2</v>
      </c>
      <c r="BQ133" s="734">
        <f>+BQ39/BP39-1</f>
        <v>0.12005706134094174</v>
      </c>
      <c r="BR133" s="734">
        <f>+BR39/BQ39-1</f>
        <v>-0.22797901064751136</v>
      </c>
      <c r="BS133" s="771"/>
      <c r="BT133" s="734">
        <f>+BT39/BR39-1</f>
        <v>0.14642998548238073</v>
      </c>
      <c r="BU133" s="734">
        <f>+BU39/BT39-1</f>
        <v>0.11971162148160963</v>
      </c>
      <c r="BV133" s="734">
        <f>+BV39/BU39-1</f>
        <v>9.9875853028492001E-2</v>
      </c>
      <c r="BW133" s="734">
        <f>+BW39/BV39-1</f>
        <v>-0.22797901064751125</v>
      </c>
      <c r="BX133" s="771"/>
      <c r="BY133" s="734">
        <f>+BY39/BW39-1</f>
        <v>0.12539457290472233</v>
      </c>
      <c r="BZ133" s="734">
        <f>+BZ39/BY39-1</f>
        <v>0.11971162148160963</v>
      </c>
      <c r="CA133" s="734">
        <f>+CA39/BZ39-1</f>
        <v>9.9875853028492223E-2</v>
      </c>
      <c r="CB133" s="734">
        <f>+CB39/CA39-1</f>
        <v>-0.23519416008071214</v>
      </c>
      <c r="CC133" s="771"/>
      <c r="CD133" s="734">
        <f>+CD39/CB39-1</f>
        <v>0.11477764297165871</v>
      </c>
      <c r="CE133" s="734">
        <f>+CE39/CD39-1</f>
        <v>0.11971162148160963</v>
      </c>
      <c r="CF133" s="734">
        <f>+CF39/CE39-1</f>
        <v>9.9875853028492001E-2</v>
      </c>
      <c r="CG133" s="734">
        <f>+CG39/CF39-1</f>
        <v>-0.23519416008071203</v>
      </c>
      <c r="CH133" s="771"/>
      <c r="CI133" s="734">
        <f>+CI39/CG39-1</f>
        <v>9.8852248072063498E-2</v>
      </c>
      <c r="CJ133" s="734">
        <f>+CJ39/CI39-1</f>
        <v>0.11971162148160963</v>
      </c>
      <c r="CK133" s="734">
        <f>+CK39/CJ39-1</f>
        <v>9.9875853028492001E-2</v>
      </c>
      <c r="CL133" s="734">
        <f>+CL39/CK39-1</f>
        <v>-0.23519416008071214</v>
      </c>
      <c r="CM133" s="771"/>
      <c r="CN133" s="734">
        <f>+CN39/CL39-1</f>
        <v>9.7790555078757224E-2</v>
      </c>
      <c r="CO133" s="734">
        <f>+CO39/CN39-1</f>
        <v>0.11971162148160985</v>
      </c>
      <c r="CP133" s="734">
        <f>+CP39/CO39-1</f>
        <v>9.9875853028492001E-2</v>
      </c>
      <c r="CQ133" s="734">
        <f>+CQ39/CP39-1</f>
        <v>-0.23519416008071214</v>
      </c>
      <c r="CR133" s="771"/>
    </row>
    <row r="134" spans="1:96" ht="12" customHeight="1">
      <c r="A134" s="1041" t="str">
        <f t="shared" si="163"/>
        <v>General and administrative - Non-GAAP</v>
      </c>
      <c r="F134" s="1030"/>
      <c r="G134" s="734"/>
      <c r="H134" s="734"/>
      <c r="I134" s="734"/>
      <c r="J134" s="734"/>
      <c r="K134" s="771"/>
      <c r="L134" s="734"/>
      <c r="M134" s="734"/>
      <c r="N134" s="734"/>
      <c r="O134" s="734"/>
      <c r="P134" s="771"/>
      <c r="Q134" s="734"/>
      <c r="R134" s="734"/>
      <c r="S134" s="734"/>
      <c r="T134" s="734"/>
      <c r="U134" s="771"/>
      <c r="V134" s="734"/>
      <c r="W134" s="734"/>
      <c r="X134" s="734"/>
      <c r="Y134" s="734"/>
      <c r="Z134" s="771"/>
      <c r="AA134" s="734"/>
      <c r="AB134" s="734"/>
      <c r="AC134" s="734"/>
      <c r="AD134" s="734"/>
      <c r="AE134" s="771"/>
      <c r="AF134" s="734"/>
      <c r="AG134" s="734"/>
      <c r="AH134" s="734"/>
      <c r="AI134" s="734"/>
      <c r="AJ134" s="771"/>
      <c r="AK134" s="734"/>
      <c r="AL134" s="734"/>
      <c r="AM134" s="734"/>
      <c r="AN134" s="734"/>
      <c r="AO134" s="771"/>
      <c r="AP134" s="734"/>
      <c r="AQ134" s="734">
        <f>+AQ45/AP45-1</f>
        <v>0.58052343863383493</v>
      </c>
      <c r="AR134" s="734">
        <f>+AR45/AQ45-1</f>
        <v>-0.23089284074561522</v>
      </c>
      <c r="AS134" s="734">
        <f>+AS45/AR45-1</f>
        <v>-0.13407621132225644</v>
      </c>
      <c r="AT134" s="771"/>
      <c r="AU134" s="734">
        <f>+AU45/AS45-1</f>
        <v>7.3235746949467329E-2</v>
      </c>
      <c r="AV134" s="734">
        <f>+AV45/AU45-1</f>
        <v>7.6909900650907748E-2</v>
      </c>
      <c r="AW134" s="734">
        <f>+AW45/AV45-1</f>
        <v>-0.23890567838396659</v>
      </c>
      <c r="AX134" s="734">
        <f>+AX45/AW45-1</f>
        <v>0.42675026123302007</v>
      </c>
      <c r="AY134" s="771"/>
      <c r="AZ134" s="734">
        <f>+AZ45/AX45-1</f>
        <v>0.61637615350812913</v>
      </c>
      <c r="BA134" s="734">
        <f>+BA45/AZ45-1</f>
        <v>-7.1681014952424404E-2</v>
      </c>
      <c r="BB134" s="734">
        <f>+BB45/BA45-1</f>
        <v>0.76962124170246038</v>
      </c>
      <c r="BC134" s="734">
        <f>+BC45/BB45-1</f>
        <v>-0.12422771403353794</v>
      </c>
      <c r="BD134" s="771"/>
      <c r="BE134" s="734">
        <f>+BE45/BC45-1</f>
        <v>0.10443436633912695</v>
      </c>
      <c r="BF134" s="734">
        <f>+BF45/BE45-1</f>
        <v>-9.5927911486255346E-2</v>
      </c>
      <c r="BG134" s="734">
        <f>+BG45/BF45-1</f>
        <v>0.10522331566994714</v>
      </c>
      <c r="BH134" s="734">
        <f>+BH45/BG45-1</f>
        <v>-7.5684931506851183E-2</v>
      </c>
      <c r="BI134" s="771"/>
      <c r="BJ134" s="734">
        <f>+BJ45/BH45-1</f>
        <v>6.2924539953070679E-2</v>
      </c>
      <c r="BK134" s="734">
        <f>+BK45/BJ45-1</f>
        <v>-0.13274850403764538</v>
      </c>
      <c r="BL134" s="734">
        <f>+BL45/BK45-1</f>
        <v>1.7215969989281321E-2</v>
      </c>
      <c r="BM134" s="734">
        <f>+BM45/BL45-1</f>
        <v>5.34738228514966E-2</v>
      </c>
      <c r="BN134" s="771"/>
      <c r="BO134" s="734">
        <f>+BO45/BM45-1</f>
        <v>-4.7633931362128568E-2</v>
      </c>
      <c r="BP134" s="734">
        <f>+BP45/BO45-1</f>
        <v>-5.940269117164465E-2</v>
      </c>
      <c r="BQ134" s="734">
        <f>+BQ45/BP45-1</f>
        <v>-2.5750174459176711E-2</v>
      </c>
      <c r="BR134" s="734">
        <f>+BR45/BQ45-1</f>
        <v>5.121409641143182E-2</v>
      </c>
      <c r="BS134" s="771"/>
      <c r="BT134" s="734">
        <f>+BT45/BR45-1</f>
        <v>3.7680566911965752E-2</v>
      </c>
      <c r="BU134" s="1045">
        <v>0.01</v>
      </c>
      <c r="BV134" s="1045">
        <v>0.01</v>
      </c>
      <c r="BW134" s="1045">
        <v>0.01</v>
      </c>
      <c r="BX134" s="771"/>
      <c r="BY134" s="1045">
        <v>0.01</v>
      </c>
      <c r="BZ134" s="1045">
        <v>0.01</v>
      </c>
      <c r="CA134" s="1045">
        <v>0.01</v>
      </c>
      <c r="CB134" s="1045">
        <v>8.0000000000000002E-3</v>
      </c>
      <c r="CC134" s="771"/>
      <c r="CD134" s="1045">
        <v>1.4999999999999999E-2</v>
      </c>
      <c r="CE134" s="1045">
        <v>1.4999999999999999E-2</v>
      </c>
      <c r="CF134" s="1045">
        <v>1.4999999999999999E-2</v>
      </c>
      <c r="CG134" s="1045">
        <v>1.4999999999999999E-2</v>
      </c>
      <c r="CH134" s="771"/>
      <c r="CI134" s="1045">
        <v>1.2500000000000001E-2</v>
      </c>
      <c r="CJ134" s="1045">
        <v>1.2500000000000001E-2</v>
      </c>
      <c r="CK134" s="1045">
        <v>1.2500000000000001E-2</v>
      </c>
      <c r="CL134" s="1045">
        <v>1.2500000000000001E-2</v>
      </c>
      <c r="CM134" s="771"/>
      <c r="CN134" s="1045">
        <v>1.2500000000000001E-2</v>
      </c>
      <c r="CO134" s="1045">
        <v>1.2500000000000001E-2</v>
      </c>
      <c r="CP134" s="1045">
        <v>1.2500000000000001E-2</v>
      </c>
      <c r="CQ134" s="1045">
        <v>1.2500000000000001E-2</v>
      </c>
      <c r="CR134" s="771"/>
    </row>
    <row r="135" spans="1:96" ht="12" customHeight="1">
      <c r="A135" s="1041" t="str">
        <f t="shared" si="163"/>
        <v>Non-GAAP Operating expenses</v>
      </c>
      <c r="F135" s="1030"/>
      <c r="G135" s="734"/>
      <c r="H135" s="734"/>
      <c r="I135" s="734"/>
      <c r="J135" s="734"/>
      <c r="K135" s="771"/>
      <c r="L135" s="734"/>
      <c r="M135" s="734"/>
      <c r="N135" s="734"/>
      <c r="O135" s="734"/>
      <c r="P135" s="771"/>
      <c r="Q135" s="734"/>
      <c r="R135" s="734"/>
      <c r="S135" s="734"/>
      <c r="T135" s="734"/>
      <c r="U135" s="771"/>
      <c r="V135" s="734"/>
      <c r="W135" s="734"/>
      <c r="X135" s="734"/>
      <c r="Y135" s="734"/>
      <c r="Z135" s="771"/>
      <c r="AA135" s="734"/>
      <c r="AB135" s="734"/>
      <c r="AC135" s="734"/>
      <c r="AD135" s="734"/>
      <c r="AE135" s="771"/>
      <c r="AF135" s="734"/>
      <c r="AG135" s="734"/>
      <c r="AH135" s="734"/>
      <c r="AI135" s="734"/>
      <c r="AJ135" s="771"/>
      <c r="AK135" s="734"/>
      <c r="AL135" s="734"/>
      <c r="AM135" s="734"/>
      <c r="AN135" s="734"/>
      <c r="AO135" s="771"/>
      <c r="AP135" s="734"/>
      <c r="AQ135" s="734">
        <f>SUM(AQ33,AQ39,AQ45)/SUM(AP33,AP39,AP45)-1</f>
        <v>0.23999108604537556</v>
      </c>
      <c r="AR135" s="734">
        <f>SUM(AR33,AR39,AR45)/SUM(AQ33,AQ39,AQ45)-1</f>
        <v>2.5246939607799668E-2</v>
      </c>
      <c r="AS135" s="734">
        <f>SUM(AS33,AS39,AS45)/SUM(AR33,AR39,AR45)-1</f>
        <v>2.8228837642046312E-2</v>
      </c>
      <c r="AT135" s="771"/>
      <c r="AU135" s="734">
        <f>SUM(AU33,AU39,AU45)/SUM(AS33,AS39,AS45)-1</f>
        <v>-0.14972411735585434</v>
      </c>
      <c r="AV135" s="734">
        <f>SUM(AV33,AV39,AV45)/SUM(AU33,AU39,AU45)-1</f>
        <v>-2.8378420062308285E-3</v>
      </c>
      <c r="AW135" s="734">
        <f>SUM(AW33,AW39,AW45)/SUM(AV33,AV39,AV45)-1</f>
        <v>-2.6726884647508276E-2</v>
      </c>
      <c r="AX135" s="734">
        <f>SUM(AX33,AX39,AX45)/SUM(AW33,AW39,AW45)-1</f>
        <v>0.11496042971108933</v>
      </c>
      <c r="AY135" s="771"/>
      <c r="AZ135" s="734">
        <f>SUM(AZ33,AZ39,AZ45)/SUM(AX33,AX39,AX45)-1</f>
        <v>3.3352337514253261E-2</v>
      </c>
      <c r="BA135" s="734">
        <f>SUM(BA33,BA39,BA45)/SUM(AZ33,AZ39,AZ45)-1</f>
        <v>-4.4800000000000284E-2</v>
      </c>
      <c r="BB135" s="734">
        <f>SUM(BB33,BB39,BB45)/SUM(BA33,BA39,BA45)-1</f>
        <v>0.6599953791948252</v>
      </c>
      <c r="BC135" s="734">
        <f>SUM(BC33,BC39,BC45)/SUM(BB33,BB39,BB45)-1</f>
        <v>-7.543624628125023E-2</v>
      </c>
      <c r="BD135" s="771"/>
      <c r="BE135" s="734">
        <f>SUM(BE33,BE39,BE45)/SUM(BC33,BC39,BC45)-1</f>
        <v>0.12622546713584071</v>
      </c>
      <c r="BF135" s="734">
        <f>SUM(BF33,BF39,BF45)/SUM(BE33,BE39,BE45)-1</f>
        <v>-2.1169236938396896E-2</v>
      </c>
      <c r="BG135" s="734">
        <f>SUM(BG33,BG39,BG45)/SUM(BF33,BF39,BF45)-1</f>
        <v>-2.0090809777413621E-2</v>
      </c>
      <c r="BH135" s="734">
        <f>SUM(BH33,BH39,BH45)/SUM(BG33,BG39,BG45)-1</f>
        <v>-3.6702841116937557E-2</v>
      </c>
      <c r="BI135" s="771"/>
      <c r="BJ135" s="734">
        <f>SUM(BJ33,BJ39,BJ45)/SUM(BH33,BH39,BH45)-1</f>
        <v>2.4177215189873813E-2</v>
      </c>
      <c r="BK135" s="734">
        <f>SUM(BK33,BK39,BK45)/SUM(BJ33,BJ39,BJ45)-1</f>
        <v>-5.6729699666295819E-2</v>
      </c>
      <c r="BL135" s="734">
        <f>SUM(BL33,BL39,BL45)/SUM(BK33,BK39,BK45)-1</f>
        <v>1.649071578316863E-2</v>
      </c>
      <c r="BM135" s="734">
        <f>SUM(BM33,BM39,BM45)/SUM(BL33,BL39,BL45)-1</f>
        <v>2.773225301537563E-2</v>
      </c>
      <c r="BN135" s="771"/>
      <c r="BO135" s="734">
        <f>SUM(BO33,BO39,BO45)/SUM(BM33,BM39,BM45)-1</f>
        <v>-7.1365859776746143E-2</v>
      </c>
      <c r="BP135" s="734">
        <f>SUM(BP33,BP39,BP45)/SUM(BO33,BO39,BO45)-1</f>
        <v>-3.2685035116153505E-2</v>
      </c>
      <c r="BQ135" s="734">
        <f>SUM(BQ33,BQ39,BQ45)/SUM(BP33,BP39,BP45)-1</f>
        <v>1.2267124107392169E-2</v>
      </c>
      <c r="BR135" s="734">
        <f>SUM(BR33,BR39,BR45)/SUM(BQ33,BQ39,BQ45)-1</f>
        <v>-5.712427831090261E-2</v>
      </c>
      <c r="BS135" s="771"/>
      <c r="BT135" s="734">
        <f>SUM(BT33,BT39,BT45)/SUM(BR33,BR39,BR45)-1</f>
        <v>4.8192267502612074E-2</v>
      </c>
      <c r="BU135" s="734">
        <f>SUM(BU33,BU39,BU45)/SUM(BT33,BT39,BT45)-1</f>
        <v>5.8501475396762537E-2</v>
      </c>
      <c r="BV135" s="734">
        <f>SUM(BV33,BV39,BV45)/SUM(BU33,BU39,BU45)-1</f>
        <v>5.3247478819066218E-2</v>
      </c>
      <c r="BW135" s="734">
        <f>SUM(BW33,BW39,BW45)/SUM(BV33,BV39,BV45)-1</f>
        <v>-7.0871725235673977E-2</v>
      </c>
      <c r="BX135" s="771"/>
      <c r="BY135" s="734">
        <f>SUM(BY33,BY39,BY45)/SUM(BW33,BW39,BW45)-1</f>
        <v>3.9086288075563358E-2</v>
      </c>
      <c r="BZ135" s="734">
        <f>SUM(BZ33,BZ39,BZ45)/SUM(BY33,BY39,BY45)-1</f>
        <v>4.7778016426467618E-2</v>
      </c>
      <c r="CA135" s="734">
        <f>SUM(CA33,CA39,CA45)/SUM(BZ33,BZ39,BZ45)-1</f>
        <v>4.307245592015585E-2</v>
      </c>
      <c r="CB135" s="734">
        <f>SUM(CB33,CB39,CB45)/SUM(CA33,CA39,CA45)-1</f>
        <v>-8.5687900809294226E-2</v>
      </c>
      <c r="CC135" s="771"/>
      <c r="CD135" s="734">
        <f>SUM(CD33,CD39,CD45)/SUM(CB33,CB39,CB45)-1</f>
        <v>4.738490148255825E-2</v>
      </c>
      <c r="CE135" s="734">
        <f>SUM(CE33,CE39,CE45)/SUM(CD33,CD39,CD45)-1</f>
        <v>5.1173136381772233E-2</v>
      </c>
      <c r="CF135" s="734">
        <f>SUM(CF33,CF39,CF45)/SUM(CE33,CE39,CE45)-1</f>
        <v>4.6232544344966264E-2</v>
      </c>
      <c r="CG135" s="734">
        <f>SUM(CG33,CG39,CG45)/SUM(CF33,CF39,CF45)-1</f>
        <v>-8.1786731495883336E-2</v>
      </c>
      <c r="CH135" s="771"/>
      <c r="CI135" s="734">
        <f>SUM(CI33,CI39,CI45)/SUM(CG33,CG39,CG45)-1</f>
        <v>4.0324023738991244E-2</v>
      </c>
      <c r="CJ135" s="734">
        <f>SUM(CJ33,CJ39,CJ45)/SUM(CI33,CI39,CI45)-1</f>
        <v>4.8988736449509629E-2</v>
      </c>
      <c r="CK135" s="734">
        <f>SUM(CK33,CK39,CK45)/SUM(CJ33,CJ39,CJ45)-1</f>
        <v>4.4242691605234086E-2</v>
      </c>
      <c r="CL135" s="734">
        <f>SUM(CL33,CL39,CL45)/SUM(CK33,CK39,CK45)-1</f>
        <v>-8.2278604830598123E-2</v>
      </c>
      <c r="CM135" s="771"/>
      <c r="CN135" s="734">
        <f>SUM(CN33,CN39,CN45)/SUM(CL33,CL39,CL45)-1</f>
        <v>3.9697928254467607E-2</v>
      </c>
      <c r="CO135" s="734">
        <f>SUM(CO33,CO39,CO45)/SUM(CN33,CN39,CN45)-1</f>
        <v>4.8598491912233088E-2</v>
      </c>
      <c r="CP135" s="734">
        <f>SUM(CP33,CP39,CP45)/SUM(CO33,CO39,CO45)-1</f>
        <v>4.3914892653322379E-2</v>
      </c>
      <c r="CQ135" s="734">
        <f>SUM(CQ33,CQ39,CQ45)/SUM(CP33,CP39,CP45)-1</f>
        <v>-8.1329303562757804E-2</v>
      </c>
      <c r="CR135" s="771"/>
    </row>
    <row r="136" spans="1:96" s="1054" customFormat="1" ht="12" customHeight="1">
      <c r="A136" s="1049" t="str">
        <f t="shared" si="163"/>
        <v>Non-GAAP Operating Income (Loss)</v>
      </c>
      <c r="B136" s="1050"/>
      <c r="C136" s="1050"/>
      <c r="D136" s="1050"/>
      <c r="E136" s="1050"/>
      <c r="F136" s="1051"/>
      <c r="G136" s="1052"/>
      <c r="H136" s="1052"/>
      <c r="I136" s="1052"/>
      <c r="J136" s="1052"/>
      <c r="K136" s="1053"/>
      <c r="L136" s="1052"/>
      <c r="M136" s="1052"/>
      <c r="N136" s="1052"/>
      <c r="O136" s="1052"/>
      <c r="P136" s="1053"/>
      <c r="Q136" s="1052"/>
      <c r="R136" s="1052"/>
      <c r="S136" s="1052"/>
      <c r="T136" s="1052"/>
      <c r="U136" s="1053"/>
      <c r="V136" s="1052"/>
      <c r="W136" s="1052"/>
      <c r="X136" s="1052"/>
      <c r="Y136" s="1052"/>
      <c r="Z136" s="1053"/>
      <c r="AA136" s="1052"/>
      <c r="AB136" s="1052"/>
      <c r="AC136" s="1052"/>
      <c r="AD136" s="1052"/>
      <c r="AE136" s="1053"/>
      <c r="AF136" s="1052"/>
      <c r="AG136" s="1052"/>
      <c r="AH136" s="1052"/>
      <c r="AI136" s="1052"/>
      <c r="AJ136" s="1053"/>
      <c r="AK136" s="1052"/>
      <c r="AL136" s="1052"/>
      <c r="AM136" s="1052"/>
      <c r="AN136" s="1052"/>
      <c r="AO136" s="1053"/>
      <c r="AP136" s="1052"/>
      <c r="AQ136" s="1052">
        <f>+IF(AND(AQ64&gt;0,AP64&gt;0), AQ64/AP64-1,"NM")</f>
        <v>0.14144271570014189</v>
      </c>
      <c r="AR136" s="1052">
        <f>+IF(AND(AR64&gt;0,AQ64&gt;0), AR64/AQ64-1,"NM")</f>
        <v>0.18152881040892388</v>
      </c>
      <c r="AS136" s="1052">
        <f>+IF(AND(AS64&gt;0,AR64&gt;0), AS64/AR64-1,"NM")</f>
        <v>7.0543199680122015E-2</v>
      </c>
      <c r="AT136" s="1053"/>
      <c r="AU136" s="1052">
        <f>+IF(AND(AU64&gt;0,AS64&gt;0), AU64/AS64-1,"NM")</f>
        <v>0.32068748048322027</v>
      </c>
      <c r="AV136" s="1052">
        <f>+IF(AND(AV64&gt;0,AU64&gt;0), AV64/AU64-1,"NM")</f>
        <v>-3.0079370966546448E-2</v>
      </c>
      <c r="AW136" s="1052">
        <f>+IF(AND(AW64&gt;0,AV64&gt;0), AW64/AV64-1,"NM")</f>
        <v>8.0455814309204454E-2</v>
      </c>
      <c r="AX136" s="1052">
        <f>+IF(AND(AX64&gt;0,AW64&gt;0), AX64/AW64-1,"NM")</f>
        <v>-5.6273225977709895E-3</v>
      </c>
      <c r="AY136" s="1053"/>
      <c r="AZ136" s="1052">
        <f>+IF(AND(AZ64&gt;0,AX64&gt;0), AZ64/AX64-1,"NM")</f>
        <v>3.8973519362187847E-2</v>
      </c>
      <c r="BA136" s="1052">
        <f>+IF(AND(BA64&gt;0,AZ64&gt;0), BA64/AZ64-1,"NM")</f>
        <v>0.14761399061354541</v>
      </c>
      <c r="BB136" s="1052">
        <f>+IF(AND(BB64&gt;0,BA64&gt;0), BB64/BA64-1,"NM")</f>
        <v>0.36985074626865622</v>
      </c>
      <c r="BC136" s="1052">
        <f>+IF(AND(BC64&gt;0,BB64&gt;0), BC64/BB64-1,"NM")</f>
        <v>0.17450424929178587</v>
      </c>
      <c r="BD136" s="1053"/>
      <c r="BE136" s="1052">
        <f>+IF(AND(BE64&gt;0,BC64&gt;0), BE64/BC64-1,"NM")</f>
        <v>-4.6346803220899568E-2</v>
      </c>
      <c r="BF136" s="1052">
        <f>+IF(AND(BF64&gt;0,BE64&gt;0), BF64/BE64-1,"NM")</f>
        <v>-6.0875486381323007E-2</v>
      </c>
      <c r="BG136" s="1052">
        <f>+IF(AND(BG64&gt;0,BF64&gt;0), BG64/BF64-1,"NM")</f>
        <v>0.16382507095357512</v>
      </c>
      <c r="BH136" s="1052">
        <f>+IF(AND(BH64&gt;0,BG64&gt;0), BH64/BG64-1,"NM")</f>
        <v>9.1902668256822029E-2</v>
      </c>
      <c r="BI136" s="1053"/>
      <c r="BJ136" s="1052">
        <f>+IF(AND(BJ64&gt;0,BH64&gt;0), BJ64/BH64-1,"NM")</f>
        <v>-0.12358579765902644</v>
      </c>
      <c r="BK136" s="1052">
        <f>+IF(AND(BK64&gt;0,BJ64&gt;0), BK64/BJ64-1,"NM")</f>
        <v>4.3656181990661791E-2</v>
      </c>
      <c r="BL136" s="1052">
        <f>+IF(AND(BL64&gt;0,BK64&gt;0), BL64/BK64-1,"NM")</f>
        <v>-1.3402723319312138E-2</v>
      </c>
      <c r="BM136" s="1052">
        <f>+IF(AND(BM64&gt;0,BL64&gt;0), BM64/BL64-1,"NM")</f>
        <v>-4.4800924922325791E-3</v>
      </c>
      <c r="BN136" s="1053"/>
      <c r="BO136" s="1052">
        <f>+IF(AND(BO64&gt;0,BM64&gt;0), BO64/BM64-1,"NM")</f>
        <v>-7.9534731799375424E-2</v>
      </c>
      <c r="BP136" s="1052">
        <f>+IF(AND(BP64&gt;0,BO64&gt;0), BP64/BO64-1,"NM")</f>
        <v>8.1655988171512872E-2</v>
      </c>
      <c r="BQ136" s="1052">
        <f>+IF(AND(BQ64&gt;0,BP64&gt;0), BQ64/BP64-1,"NM")</f>
        <v>-2.3547852078662723E-2</v>
      </c>
      <c r="BR136" s="1052">
        <f>+IF(AND(BR64&gt;0,BQ64&gt;0), BR64/BQ64-1,"NM")</f>
        <v>5.1143257116192276E-2</v>
      </c>
      <c r="BS136" s="1053"/>
      <c r="BT136" s="1052">
        <f>+IF(AND(BT64&gt;0,BR64&gt;0), BT64/BR64-1,"NM")</f>
        <v>-7.2502885554470486E-2</v>
      </c>
      <c r="BU136" s="1052">
        <f>+IF(AND(BU64&gt;0,BT64&gt;0), BU64/BT64-1,"NM")</f>
        <v>-3.1465575646606903E-2</v>
      </c>
      <c r="BV136" s="1052">
        <f>+IF(AND(BV64&gt;0,BU64&gt;0), BV64/BU64-1,"NM")</f>
        <v>-4.3100492471552787E-2</v>
      </c>
      <c r="BW136" s="1052">
        <f>+IF(AND(BW64&gt;0,BV64&gt;0), BW64/BV64-1,"NM")</f>
        <v>0.11997480940199701</v>
      </c>
      <c r="BX136" s="1053"/>
      <c r="BY136" s="1052">
        <f>+IF(AND(BY64&gt;0,BW64&gt;0), BY64/BW64-1,"NM")</f>
        <v>-2.6825876867213605E-2</v>
      </c>
      <c r="BZ136" s="1052">
        <f>+IF(AND(BZ64&gt;0,BY64&gt;0), BZ64/BY64-1,"NM")</f>
        <v>-6.6742189218008896E-2</v>
      </c>
      <c r="CA136" s="1052">
        <f>+IF(AND(CA64&gt;0,BZ64&gt;0), CA64/BZ64-1,"NM")</f>
        <v>-1.8905295413822687E-2</v>
      </c>
      <c r="CB136" s="1052">
        <f>+IF(AND(CB64&gt;0,CA64&gt;0), CB64/CA64-1,"NM")</f>
        <v>0.15607129531749564</v>
      </c>
      <c r="CC136" s="1053"/>
      <c r="CD136" s="1052">
        <f>+IF(AND(CD64&gt;0,CB64&gt;0), CD64/CB64-1,"NM")</f>
        <v>2.9461280672566259E-2</v>
      </c>
      <c r="CE136" s="1052">
        <f>+IF(AND(CE64&gt;0,CD64&gt;0), CE64/CD64-1,"NM")</f>
        <v>-0.10914100853705699</v>
      </c>
      <c r="CF136" s="1052">
        <f>+IF(AND(CF64&gt;0,CE64&gt;0), CF64/CE64-1,"NM")</f>
        <v>-1.6395611516096809E-2</v>
      </c>
      <c r="CG136" s="1052">
        <f>+IF(AND(CG64&gt;0,CF64&gt;0), CG64/CF64-1,"NM")</f>
        <v>0.15187702505506584</v>
      </c>
      <c r="CH136" s="1053"/>
      <c r="CI136" s="1052">
        <f>+IF(AND(CI64&gt;0,CG64&gt;0), CI64/CG64-1,"NM")</f>
        <v>6.9659509332949066E-2</v>
      </c>
      <c r="CJ136" s="1052">
        <f>+IF(AND(CJ64&gt;0,CI64&gt;0), CJ64/CI64-1,"NM")</f>
        <v>-0.14809154514076106</v>
      </c>
      <c r="CK136" s="1052">
        <f>+IF(AND(CK64&gt;0,CJ64&gt;0), CK64/CJ64-1,"NM")</f>
        <v>-6.9874202068701541E-3</v>
      </c>
      <c r="CL136" s="1052">
        <f>+IF(AND(CL64&gt;0,CK64&gt;0), CL64/CK64-1,"NM")</f>
        <v>0.15277766270270532</v>
      </c>
      <c r="CM136" s="1053"/>
      <c r="CN136" s="1052">
        <f>+IF(AND(CN64&gt;0,CL64&gt;0), CN64/CL64-1,"NM")</f>
        <v>0.11285369032724568</v>
      </c>
      <c r="CO136" s="1052">
        <f>+IF(AND(CO64&gt;0,CN64&gt;0), CO64/CN64-1,"NM")</f>
        <v>-0.18833648837295847</v>
      </c>
      <c r="CP136" s="1052">
        <f>+IF(AND(CP64&gt;0,CO64&gt;0), CP64/CO64-1,"NM")</f>
        <v>6.6479688480396426E-3</v>
      </c>
      <c r="CQ136" s="1052">
        <f>+IF(AND(CQ64&gt;0,CP64&gt;0), CQ64/CP64-1,"NM")</f>
        <v>0.1510284991311126</v>
      </c>
      <c r="CR136" s="1053"/>
    </row>
    <row r="137" spans="1:96" s="1054" customFormat="1" ht="12" customHeight="1">
      <c r="A137" s="1016" t="s">
        <v>993</v>
      </c>
      <c r="B137" s="1050"/>
      <c r="C137" s="1050"/>
      <c r="D137" s="1050"/>
      <c r="E137" s="1050"/>
      <c r="F137" s="1051"/>
      <c r="G137" s="1052"/>
      <c r="H137" s="1052"/>
      <c r="I137" s="1052"/>
      <c r="J137" s="1052"/>
      <c r="K137" s="1053"/>
      <c r="L137" s="1052"/>
      <c r="M137" s="1052"/>
      <c r="N137" s="1052"/>
      <c r="O137" s="1052"/>
      <c r="P137" s="1053"/>
      <c r="Q137" s="1052"/>
      <c r="R137" s="1052"/>
      <c r="S137" s="1052"/>
      <c r="T137" s="1052"/>
      <c r="U137" s="1053"/>
      <c r="V137" s="1052"/>
      <c r="W137" s="1052"/>
      <c r="X137" s="1052"/>
      <c r="Y137" s="1052"/>
      <c r="Z137" s="1053"/>
      <c r="AA137" s="1052"/>
      <c r="AB137" s="1052"/>
      <c r="AC137" s="1052"/>
      <c r="AD137" s="1052"/>
      <c r="AE137" s="1053"/>
      <c r="AF137" s="1052"/>
      <c r="AG137" s="1052"/>
      <c r="AH137" s="1052"/>
      <c r="AI137" s="1052"/>
      <c r="AJ137" s="1053"/>
      <c r="AK137" s="1052"/>
      <c r="AL137" s="1052"/>
      <c r="AM137" s="1052"/>
      <c r="AN137" s="1052"/>
      <c r="AO137" s="1053"/>
      <c r="AP137" s="1052"/>
      <c r="AQ137" s="1052">
        <f>+IF(AND(AQ67&gt;0,AP67&gt;0), AQ67/AP67-1,"NM")</f>
        <v>0.14458179715173913</v>
      </c>
      <c r="AR137" s="1052">
        <f>+IF(AND(AR67&gt;0,AQ67&gt;0), AR67/AQ67-1,"NM")</f>
        <v>0.18504863260279358</v>
      </c>
      <c r="AS137" s="1052">
        <f>+IF(AND(AS67&gt;0,AR67&gt;0), AS67/AR67-1,"NM")</f>
        <v>7.1697434428357631E-2</v>
      </c>
      <c r="AT137" s="1053"/>
      <c r="AU137" s="1052">
        <f>+IF(AND(AU67&gt;0,AS67&gt;0), AU67/AS67-1,"NM")</f>
        <v>0.34085102415068547</v>
      </c>
      <c r="AV137" s="1052">
        <f>+IF(AND(AV67&gt;0,AU67&gt;0), AV67/AU67-1,"NM")</f>
        <v>-3.0079370966546448E-2</v>
      </c>
      <c r="AW137" s="1052">
        <f>+IF(AND(AW67&gt;0,AV67&gt;0), AW67/AV67-1,"NM")</f>
        <v>8.0455814309204454E-2</v>
      </c>
      <c r="AX137" s="1052">
        <f>+IF(AND(AX67&gt;0,AW67&gt;0), AX67/AW67-1,"NM")</f>
        <v>-5.6273225977709895E-3</v>
      </c>
      <c r="AY137" s="1053"/>
      <c r="AZ137" s="1052">
        <f>+IF(AND(AZ67&gt;0,AX67&gt;0), AZ67/AX67-1,"NM")</f>
        <v>3.8973519362187847E-2</v>
      </c>
      <c r="BA137" s="1052">
        <f>+IF(AND(BA67&gt;0,AZ67&gt;0), BA67/AZ67-1,"NM")</f>
        <v>0.14761399061354541</v>
      </c>
      <c r="BB137" s="1052">
        <f>+IF(AND(BB67&gt;0,BA67&gt;0), BB67/BA67-1,"NM")</f>
        <v>0.36985074626865622</v>
      </c>
      <c r="BC137" s="1052">
        <f>+IF(AND(BC67&gt;0,BB67&gt;0), BC67/BB67-1,"NM")</f>
        <v>0.17450424929178587</v>
      </c>
      <c r="BD137" s="1053"/>
      <c r="BE137" s="1052">
        <f>+IF(AND(BE67&gt;0,BC67&gt;0), BE67/BC67-1,"NM")</f>
        <v>-4.6346803220899568E-2</v>
      </c>
      <c r="BF137" s="1052">
        <f>+IF(AND(BF67&gt;0,BE67&gt;0), BF67/BE67-1,"NM")</f>
        <v>-5.9396887159533174E-2</v>
      </c>
      <c r="BG137" s="1052">
        <f>+IF(AND(BG67&gt;0,BF67&gt;0), BG67/BF67-1,"NM")</f>
        <v>0.16149916230583128</v>
      </c>
      <c r="BH137" s="1052">
        <f>+IF(AND(BH67&gt;0,BG67&gt;0), BH67/BG67-1,"NM")</f>
        <v>9.2369334876680753E-2</v>
      </c>
      <c r="BI137" s="1053"/>
      <c r="BJ137" s="1052">
        <f>+IF(AND(BJ67&gt;0,BH67&gt;0), BJ67/BH67-1,"NM")</f>
        <v>-0.12358579765902644</v>
      </c>
      <c r="BK137" s="1052">
        <f>+IF(AND(BK67&gt;0,BJ67&gt;0), BK67/BJ67-1,"NM")</f>
        <v>4.3656181990661791E-2</v>
      </c>
      <c r="BL137" s="1052">
        <f>+IF(AND(BL67&gt;0,BK67&gt;0), BL67/BK67-1,"NM")</f>
        <v>-1.3402723319312138E-2</v>
      </c>
      <c r="BM137" s="1052">
        <f>+IF(AND(BM67&gt;0,BL67&gt;0), BM67/BL67-1,"NM")</f>
        <v>-4.4800924922325791E-3</v>
      </c>
      <c r="BN137" s="1053"/>
      <c r="BO137" s="1052">
        <f>+IF(AND(BO67&gt;0,BM67&gt;0), BO67/BM67-1,"NM")</f>
        <v>-7.9534731799375424E-2</v>
      </c>
      <c r="BP137" s="1052">
        <f>+IF(AND(BP67&gt;0,BO67&gt;0), BP67/BO67-1,"NM")</f>
        <v>8.1655988171512872E-2</v>
      </c>
      <c r="BQ137" s="1052">
        <f>+IF(AND(BQ67&gt;0,BP67&gt;0), BQ67/BP67-1,"NM")</f>
        <v>-2.3547852078662723E-2</v>
      </c>
      <c r="BR137" s="1052">
        <f>+IF(AND(BR67&gt;0,BQ67&gt;0), BR67/BQ67-1,"NM")</f>
        <v>5.1143257116192276E-2</v>
      </c>
      <c r="BS137" s="1053"/>
      <c r="BT137" s="1052">
        <f>+IF(AND(BT67&gt;0,BR67&gt;0), BT67/BR67-1,"NM")</f>
        <v>-7.2502885554470486E-2</v>
      </c>
      <c r="BU137" s="1052">
        <f>+IF(AND(BU67&gt;0,BT67&gt;0), BU67/BT67-1,"NM")</f>
        <v>-3.1465575646606903E-2</v>
      </c>
      <c r="BV137" s="1052">
        <f>+IF(AND(BV67&gt;0,BU67&gt;0), BV67/BU67-1,"NM")</f>
        <v>-4.3100492471552787E-2</v>
      </c>
      <c r="BW137" s="1052">
        <f>+IF(AND(BW67&gt;0,BV67&gt;0), BW67/BV67-1,"NM")</f>
        <v>0.11997480940199701</v>
      </c>
      <c r="BX137" s="1053"/>
      <c r="BY137" s="1052">
        <f>+IF(AND(BY67&gt;0,BW67&gt;0), BY67/BW67-1,"NM")</f>
        <v>-2.6825876867213605E-2</v>
      </c>
      <c r="BZ137" s="1052">
        <f>+IF(AND(BZ67&gt;0,BY67&gt;0), BZ67/BY67-1,"NM")</f>
        <v>-6.6742189218008896E-2</v>
      </c>
      <c r="CA137" s="1052">
        <f>+IF(AND(CA67&gt;0,BZ67&gt;0), CA67/BZ67-1,"NM")</f>
        <v>-1.8905295413822687E-2</v>
      </c>
      <c r="CB137" s="1052">
        <f>+IF(AND(CB67&gt;0,CA67&gt;0), CB67/CA67-1,"NM")</f>
        <v>0.15607129531749564</v>
      </c>
      <c r="CC137" s="1053"/>
      <c r="CD137" s="1052">
        <f>+IF(AND(CD67&gt;0,CB67&gt;0), CD67/CB67-1,"NM")</f>
        <v>2.9461280672566259E-2</v>
      </c>
      <c r="CE137" s="1052">
        <f>+IF(AND(CE67&gt;0,CD67&gt;0), CE67/CD67-1,"NM")</f>
        <v>-0.10914100853705699</v>
      </c>
      <c r="CF137" s="1052">
        <f>+IF(AND(CF67&gt;0,CE67&gt;0), CF67/CE67-1,"NM")</f>
        <v>-1.6395611516096809E-2</v>
      </c>
      <c r="CG137" s="1052">
        <f>+IF(AND(CG67&gt;0,CF67&gt;0), CG67/CF67-1,"NM")</f>
        <v>0.15187702505506584</v>
      </c>
      <c r="CH137" s="1053"/>
      <c r="CI137" s="1052">
        <f>+IF(AND(CI67&gt;0,CG67&gt;0), CI67/CG67-1,"NM")</f>
        <v>6.9659509332949066E-2</v>
      </c>
      <c r="CJ137" s="1052">
        <f>+IF(AND(CJ67&gt;0,CI67&gt;0), CJ67/CI67-1,"NM")</f>
        <v>-0.14809154514076106</v>
      </c>
      <c r="CK137" s="1052">
        <f>+IF(AND(CK67&gt;0,CJ67&gt;0), CK67/CJ67-1,"NM")</f>
        <v>-6.9874202068701541E-3</v>
      </c>
      <c r="CL137" s="1052">
        <f>+IF(AND(CL67&gt;0,CK67&gt;0), CL67/CK67-1,"NM")</f>
        <v>0.15277766270270532</v>
      </c>
      <c r="CM137" s="1053"/>
      <c r="CN137" s="1052">
        <f>+IF(AND(CN67&gt;0,CL67&gt;0), CN67/CL67-1,"NM")</f>
        <v>0.11285369032724568</v>
      </c>
      <c r="CO137" s="1052">
        <f>+IF(AND(CO67&gt;0,CN67&gt;0), CO67/CN67-1,"NM")</f>
        <v>-0.18833648837295847</v>
      </c>
      <c r="CP137" s="1052">
        <f>+IF(AND(CP67&gt;0,CO67&gt;0), CP67/CO67-1,"NM")</f>
        <v>6.6479688480396426E-3</v>
      </c>
      <c r="CQ137" s="1052">
        <f>+IF(AND(CQ67&gt;0,CP67&gt;0), CQ67/CP67-1,"NM")</f>
        <v>0.1510284991311126</v>
      </c>
      <c r="CR137" s="1053"/>
    </row>
    <row r="138" spans="1:96" ht="12" customHeight="1">
      <c r="A138" s="1041" t="str">
        <f t="shared" ref="A138:A144" si="175">+A118</f>
        <v>Share-based compensation</v>
      </c>
      <c r="F138" s="1030"/>
      <c r="G138" s="734"/>
      <c r="H138" s="734"/>
      <c r="I138" s="734"/>
      <c r="J138" s="734"/>
      <c r="K138" s="771"/>
      <c r="L138" s="734"/>
      <c r="M138" s="734"/>
      <c r="N138" s="734"/>
      <c r="O138" s="734"/>
      <c r="P138" s="771"/>
      <c r="Q138" s="734"/>
      <c r="R138" s="734"/>
      <c r="S138" s="734"/>
      <c r="T138" s="734"/>
      <c r="U138" s="771"/>
      <c r="V138" s="734"/>
      <c r="W138" s="734"/>
      <c r="X138" s="734"/>
      <c r="Y138" s="734"/>
      <c r="Z138" s="771"/>
      <c r="AA138" s="734"/>
      <c r="AB138" s="734"/>
      <c r="AC138" s="734"/>
      <c r="AD138" s="734"/>
      <c r="AE138" s="771"/>
      <c r="AF138" s="734"/>
      <c r="AG138" s="734"/>
      <c r="AH138" s="734"/>
      <c r="AI138" s="734"/>
      <c r="AJ138" s="771"/>
      <c r="AK138" s="734"/>
      <c r="AL138" s="734"/>
      <c r="AM138" s="734"/>
      <c r="AN138" s="734"/>
      <c r="AO138" s="771"/>
      <c r="AP138" s="734"/>
      <c r="AQ138" s="734">
        <f>+AQ51/AP51-1</f>
        <v>4</v>
      </c>
      <c r="AR138" s="734">
        <f>+AR51/AQ51-1</f>
        <v>-0.7</v>
      </c>
      <c r="AS138" s="734">
        <f>+AS51/AR51-1</f>
        <v>0.38900000000000001</v>
      </c>
      <c r="AT138" s="771"/>
      <c r="AU138" s="734">
        <f>+AU51/AS51-1</f>
        <v>-0.45164386849052074</v>
      </c>
      <c r="AV138" s="734">
        <f>+AV51/AU51-1</f>
        <v>-0.10897155361050337</v>
      </c>
      <c r="AW138" s="734">
        <f>+AW51/AV51-1</f>
        <v>0.18025540275049123</v>
      </c>
      <c r="AX138" s="734">
        <f>+AX51/AW51-1</f>
        <v>13.312942155638783</v>
      </c>
      <c r="AY138" s="771"/>
      <c r="AZ138" s="734">
        <f>+AZ51/AX51-1</f>
        <v>-0.93030761179275456</v>
      </c>
      <c r="BA138" s="734">
        <f>+BA51/AZ51-1</f>
        <v>5.840634125990829E-2</v>
      </c>
      <c r="BB138" s="734">
        <f>+BB51/BA51-1</f>
        <v>0.5873078439101298</v>
      </c>
      <c r="BC138" s="734">
        <f>+BC51/BB51-1</f>
        <v>-0.42090886516016879</v>
      </c>
      <c r="BD138" s="771"/>
      <c r="BE138" s="734">
        <f>+BE51/BC51-1</f>
        <v>0.37478559176672399</v>
      </c>
      <c r="BF138" s="734">
        <f>+BF51/BE51-1</f>
        <v>0.60761072988147213</v>
      </c>
      <c r="BG138" s="734">
        <f>+BG51/BF51-1</f>
        <v>-6.9266589057043082E-2</v>
      </c>
      <c r="BH138" s="734">
        <f>+BH51/BG51-1</f>
        <v>-3.2103397957056634E-2</v>
      </c>
      <c r="BI138" s="771"/>
      <c r="BJ138" s="734">
        <f>+BJ51/BH51-1</f>
        <v>-3.941417187163454E-2</v>
      </c>
      <c r="BK138" s="734">
        <f>+BK51/BJ51-1</f>
        <v>0.66883408071748862</v>
      </c>
      <c r="BL138" s="734">
        <f>+BL51/BK51-1</f>
        <v>-8.0881365040977982E-2</v>
      </c>
      <c r="BM138" s="734">
        <f>+BM51/BL51-1</f>
        <v>0.23417629001607976</v>
      </c>
      <c r="BN138" s="771"/>
      <c r="BO138" s="734">
        <f>+BO51/BM51-1</f>
        <v>0.39606774843065251</v>
      </c>
      <c r="BP138" s="734">
        <f>+BP51/BO51-1</f>
        <v>9.6377364893526885E-2</v>
      </c>
      <c r="BQ138" s="734">
        <f>+BQ51/BP51-1</f>
        <v>-0.19407258376537984</v>
      </c>
      <c r="BR138" s="734">
        <f>+BR51/BQ51-1</f>
        <v>-0.10283245319251066</v>
      </c>
      <c r="BS138" s="771"/>
      <c r="BT138" s="734">
        <f>+BT51/BR51-1</f>
        <v>0.20408818493150682</v>
      </c>
      <c r="BU138" s="734">
        <f>+BU51/BT51-1</f>
        <v>0.13598085794198456</v>
      </c>
      <c r="BV138" s="734">
        <f>+BV51/BU51-1</f>
        <v>-0.18597102013997002</v>
      </c>
      <c r="BW138" s="734">
        <f>+BW51/BV51-1</f>
        <v>-9.3614203749918246E-2</v>
      </c>
      <c r="BX138" s="771"/>
      <c r="BY138" s="734">
        <f>+BY51/BW51-1</f>
        <v>0.22003524990067036</v>
      </c>
      <c r="BZ138" s="734">
        <f>+BZ51/BY51-1</f>
        <v>0.13021788430315495</v>
      </c>
      <c r="CA138" s="734">
        <f>+CA51/BZ51-1</f>
        <v>-0.17968880317110647</v>
      </c>
      <c r="CB138" s="734">
        <f>+CB51/CA51-1</f>
        <v>-8.961730210533192E-2</v>
      </c>
      <c r="CC138" s="771"/>
      <c r="CD138" s="734">
        <f>+CD51/CB51-1</f>
        <v>0.25326006329323669</v>
      </c>
      <c r="CE138" s="734">
        <f>+CE51/CD51-1</f>
        <v>0.10829543730622193</v>
      </c>
      <c r="CF138" s="734">
        <f>+CF51/CE51-1</f>
        <v>-0.17710212310692253</v>
      </c>
      <c r="CG138" s="734">
        <f>+CG51/CF51-1</f>
        <v>-8.9518596700695174E-2</v>
      </c>
      <c r="CH138" s="771"/>
      <c r="CI138" s="734">
        <f>+CI51/CG51-1</f>
        <v>0.2772161859633695</v>
      </c>
      <c r="CJ138" s="734">
        <f>+CJ51/CI51-1</f>
        <v>8.5152798980780542E-2</v>
      </c>
      <c r="CK138" s="734">
        <f>+CK51/CJ51-1</f>
        <v>-0.17426396573696445</v>
      </c>
      <c r="CL138" s="734">
        <f>+CL51/CK51-1</f>
        <v>-8.9413631330339971E-2</v>
      </c>
      <c r="CM138" s="771"/>
      <c r="CN138" s="734">
        <f>+CN51/CL51-1</f>
        <v>0.30065957885896877</v>
      </c>
      <c r="CO138" s="734">
        <f>+CO51/CN51-1</f>
        <v>6.0817273798597693E-2</v>
      </c>
      <c r="CP138" s="734">
        <f>+CP51/CO51-1</f>
        <v>-0.1693968339637868</v>
      </c>
      <c r="CQ138" s="734">
        <f>+CQ51/CP51-1</f>
        <v>-8.930209749317386E-2</v>
      </c>
      <c r="CR138" s="771"/>
    </row>
    <row r="139" spans="1:96" ht="12" customHeight="1">
      <c r="A139" s="1041" t="str">
        <f t="shared" si="175"/>
        <v>Acquisition-related expenses</v>
      </c>
      <c r="F139" s="1030"/>
      <c r="G139" s="734"/>
      <c r="H139" s="734"/>
      <c r="I139" s="734"/>
      <c r="J139" s="734"/>
      <c r="K139" s="771"/>
      <c r="L139" s="734"/>
      <c r="M139" s="734"/>
      <c r="N139" s="734"/>
      <c r="O139" s="734"/>
      <c r="P139" s="771"/>
      <c r="Q139" s="734"/>
      <c r="R139" s="734"/>
      <c r="S139" s="734"/>
      <c r="T139" s="734"/>
      <c r="U139" s="771"/>
      <c r="V139" s="734"/>
      <c r="W139" s="734"/>
      <c r="X139" s="734"/>
      <c r="Y139" s="734"/>
      <c r="Z139" s="771"/>
      <c r="AA139" s="734"/>
      <c r="AB139" s="734"/>
      <c r="AC139" s="734"/>
      <c r="AD139" s="734"/>
      <c r="AE139" s="771"/>
      <c r="AF139" s="734"/>
      <c r="AG139" s="734"/>
      <c r="AH139" s="734"/>
      <c r="AI139" s="734"/>
      <c r="AJ139" s="771"/>
      <c r="AK139" s="734"/>
      <c r="AL139" s="734"/>
      <c r="AM139" s="734"/>
      <c r="AN139" s="734"/>
      <c r="AO139" s="771"/>
      <c r="AP139" s="734"/>
      <c r="AQ139" s="734">
        <f t="shared" ref="AQ139:AS140" si="176">+AQ46/AP46-1</f>
        <v>7.5</v>
      </c>
      <c r="AR139" s="734">
        <f t="shared" si="176"/>
        <v>-0.70588235294117641</v>
      </c>
      <c r="AS139" s="734">
        <f t="shared" si="176"/>
        <v>-0.45820000000000061</v>
      </c>
      <c r="AT139" s="771"/>
      <c r="AU139" s="734">
        <f>+AU46/AS46-1</f>
        <v>0.24326319675157015</v>
      </c>
      <c r="AV139" s="734">
        <f t="shared" ref="AV139:AX140" si="177">+AV46/AU46-1</f>
        <v>-0.40083135391923996</v>
      </c>
      <c r="AW139" s="734">
        <f t="shared" si="177"/>
        <v>1.9573835480673938</v>
      </c>
      <c r="AX139" s="734">
        <f t="shared" si="177"/>
        <v>0.22503351206434319</v>
      </c>
      <c r="AY139" s="771"/>
      <c r="AZ139" s="734">
        <f>+AZ46/AX46-1</f>
        <v>0.33743673916016959</v>
      </c>
      <c r="BA139" s="734">
        <f t="shared" ref="BA139:BC140" si="178">+BA46/AZ46-1</f>
        <v>-0.26631212926978931</v>
      </c>
      <c r="BB139" s="734">
        <f t="shared" si="178"/>
        <v>3.6300529690549208</v>
      </c>
      <c r="BC139" s="734">
        <f t="shared" si="178"/>
        <v>-0.57273603082851632</v>
      </c>
      <c r="BD139" s="771"/>
      <c r="BE139" s="734">
        <f>+BE46/BC46-1</f>
        <v>-0.52339346110484786</v>
      </c>
      <c r="BF139" s="734">
        <f t="shared" ref="BF139:BH140" si="179">+BF46/BE46-1</f>
        <v>75.936132465996465</v>
      </c>
      <c r="BG139" s="734">
        <f t="shared" si="179"/>
        <v>-0.99621634293883887</v>
      </c>
      <c r="BH139" s="734">
        <f t="shared" si="179"/>
        <v>196.42712036566783</v>
      </c>
      <c r="BI139" s="771"/>
      <c r="BJ139" s="734">
        <f>+BJ46/BH46-1</f>
        <v>5.5811943385451368E-2</v>
      </c>
      <c r="BK139" s="734">
        <f t="shared" ref="BK139:BM140" si="180">+BK46/BJ46-1</f>
        <v>-0.99995614355675755</v>
      </c>
      <c r="BL139" s="734">
        <f t="shared" si="180"/>
        <v>39871.722222222226</v>
      </c>
      <c r="BM139" s="734">
        <f t="shared" si="180"/>
        <v>-0.99768151158756546</v>
      </c>
      <c r="BN139" s="771"/>
      <c r="BO139" s="734">
        <f>+BO46/BM46-1</f>
        <v>-0.82992788461538458</v>
      </c>
      <c r="BP139" s="734">
        <f t="shared" ref="BP139:BR140" si="181">+BP46/BO46-1</f>
        <v>5.0777385159010606</v>
      </c>
      <c r="BQ139" s="734">
        <f t="shared" si="181"/>
        <v>219.51569767441862</v>
      </c>
      <c r="BR139" s="734">
        <f t="shared" si="181"/>
        <v>-0.3254026634184668</v>
      </c>
      <c r="BS139" s="771"/>
      <c r="BT139" s="734">
        <f>+BT46/BR46-1</f>
        <v>-0.978562997819171</v>
      </c>
      <c r="BU139" s="734">
        <f t="shared" ref="BU139:BW140" si="182">+BU46/BT46-1</f>
        <v>-1</v>
      </c>
      <c r="BV139" s="734" t="e">
        <f t="shared" si="182"/>
        <v>#DIV/0!</v>
      </c>
      <c r="BW139" s="734" t="e">
        <f t="shared" si="182"/>
        <v>#DIV/0!</v>
      </c>
      <c r="BX139" s="771"/>
      <c r="BY139" s="734" t="e">
        <f>+BY46/BW46-1</f>
        <v>#DIV/0!</v>
      </c>
      <c r="BZ139" s="734" t="e">
        <f t="shared" ref="BZ139:CB140" si="183">+BZ46/BY46-1</f>
        <v>#DIV/0!</v>
      </c>
      <c r="CA139" s="734" t="e">
        <f t="shared" si="183"/>
        <v>#DIV/0!</v>
      </c>
      <c r="CB139" s="734" t="e">
        <f t="shared" si="183"/>
        <v>#DIV/0!</v>
      </c>
      <c r="CC139" s="771"/>
      <c r="CD139" s="734" t="e">
        <f>+CD46/CB46-1</f>
        <v>#DIV/0!</v>
      </c>
      <c r="CE139" s="734" t="e">
        <f t="shared" ref="CE139:CG140" si="184">+CE46/CD46-1</f>
        <v>#DIV/0!</v>
      </c>
      <c r="CF139" s="734" t="e">
        <f t="shared" si="184"/>
        <v>#DIV/0!</v>
      </c>
      <c r="CG139" s="734" t="e">
        <f t="shared" si="184"/>
        <v>#DIV/0!</v>
      </c>
      <c r="CH139" s="771"/>
      <c r="CI139" s="734" t="e">
        <f>+CI46/CG46-1</f>
        <v>#DIV/0!</v>
      </c>
      <c r="CJ139" s="734" t="e">
        <f t="shared" ref="CJ139:CL140" si="185">+CJ46/CI46-1</f>
        <v>#DIV/0!</v>
      </c>
      <c r="CK139" s="734" t="e">
        <f t="shared" si="185"/>
        <v>#DIV/0!</v>
      </c>
      <c r="CL139" s="734" t="e">
        <f t="shared" si="185"/>
        <v>#DIV/0!</v>
      </c>
      <c r="CM139" s="771"/>
      <c r="CN139" s="734" t="e">
        <f>+CN46/CL46-1</f>
        <v>#DIV/0!</v>
      </c>
      <c r="CO139" s="734" t="e">
        <f t="shared" ref="CO139:CQ140" si="186">+CO46/CN46-1</f>
        <v>#DIV/0!</v>
      </c>
      <c r="CP139" s="734" t="e">
        <f t="shared" si="186"/>
        <v>#DIV/0!</v>
      </c>
      <c r="CQ139" s="734" t="e">
        <f t="shared" si="186"/>
        <v>#DIV/0!</v>
      </c>
      <c r="CR139" s="771"/>
    </row>
    <row r="140" spans="1:96" ht="12" customHeight="1">
      <c r="A140" s="1041" t="str">
        <f t="shared" si="175"/>
        <v>Amortization of Intangible assets</v>
      </c>
      <c r="F140" s="1030"/>
      <c r="G140" s="734"/>
      <c r="H140" s="734"/>
      <c r="I140" s="734"/>
      <c r="J140" s="734"/>
      <c r="K140" s="771"/>
      <c r="L140" s="734"/>
      <c r="M140" s="734"/>
      <c r="N140" s="734"/>
      <c r="O140" s="734"/>
      <c r="P140" s="771"/>
      <c r="Q140" s="734"/>
      <c r="R140" s="734"/>
      <c r="S140" s="734"/>
      <c r="T140" s="734"/>
      <c r="U140" s="771"/>
      <c r="V140" s="734"/>
      <c r="W140" s="734"/>
      <c r="X140" s="734"/>
      <c r="Y140" s="734"/>
      <c r="Z140" s="771"/>
      <c r="AA140" s="734"/>
      <c r="AB140" s="734"/>
      <c r="AC140" s="734"/>
      <c r="AD140" s="734"/>
      <c r="AE140" s="771"/>
      <c r="AF140" s="734"/>
      <c r="AG140" s="734"/>
      <c r="AH140" s="734"/>
      <c r="AI140" s="734"/>
      <c r="AJ140" s="771"/>
      <c r="AK140" s="734"/>
      <c r="AL140" s="734"/>
      <c r="AM140" s="734"/>
      <c r="AN140" s="734"/>
      <c r="AO140" s="771"/>
      <c r="AP140" s="734"/>
      <c r="AQ140" s="734">
        <f t="shared" si="176"/>
        <v>0.33333333333333326</v>
      </c>
      <c r="AR140" s="734">
        <f t="shared" si="176"/>
        <v>0.125</v>
      </c>
      <c r="AS140" s="734">
        <f t="shared" si="176"/>
        <v>-9.6777777777777629E-2</v>
      </c>
      <c r="AT140" s="771"/>
      <c r="AU140" s="734">
        <f>+AU47/AS47-1</f>
        <v>4.1579530077500149E-2</v>
      </c>
      <c r="AV140" s="734">
        <f t="shared" si="177"/>
        <v>-2.3621117278849191E-3</v>
      </c>
      <c r="AW140" s="734">
        <f t="shared" si="177"/>
        <v>4.7354090209550392E-4</v>
      </c>
      <c r="AX140" s="734">
        <f t="shared" si="177"/>
        <v>-0.15288131582061293</v>
      </c>
      <c r="AY140" s="771"/>
      <c r="AZ140" s="734">
        <f>+AZ47/AX47-1</f>
        <v>-0.4650090794803744</v>
      </c>
      <c r="BA140" s="734">
        <f t="shared" si="178"/>
        <v>-7.4934725848563977E-2</v>
      </c>
      <c r="BB140" s="734">
        <f t="shared" si="178"/>
        <v>4.4953429297205751</v>
      </c>
      <c r="BC140" s="734">
        <f t="shared" si="178"/>
        <v>2.3112480739599928E-3</v>
      </c>
      <c r="BD140" s="771"/>
      <c r="BE140" s="734">
        <f>+BE47/BC47-1</f>
        <v>0.10351012042018959</v>
      </c>
      <c r="BF140" s="734">
        <f t="shared" si="179"/>
        <v>-2.3775249593684711E-2</v>
      </c>
      <c r="BG140" s="734">
        <f t="shared" si="179"/>
        <v>-5.0325833610807225E-2</v>
      </c>
      <c r="BH140" s="734">
        <f t="shared" si="179"/>
        <v>1.6228399699474094E-2</v>
      </c>
      <c r="BI140" s="771"/>
      <c r="BJ140" s="734">
        <f>+BJ47/BH47-1</f>
        <v>-7.9353344176648077E-3</v>
      </c>
      <c r="BK140" s="734">
        <f t="shared" si="180"/>
        <v>-6.7070747217806703E-3</v>
      </c>
      <c r="BL140" s="734">
        <f t="shared" si="180"/>
        <v>1.050367628670168E-3</v>
      </c>
      <c r="BM140" s="734">
        <f t="shared" si="180"/>
        <v>6.3455581093234681E-3</v>
      </c>
      <c r="BN140" s="771"/>
      <c r="BO140" s="734">
        <f>+BO47/BM47-1</f>
        <v>-2.7307482250136239E-3</v>
      </c>
      <c r="BP140" s="734">
        <f t="shared" si="181"/>
        <v>2.837797470875314E-3</v>
      </c>
      <c r="BQ140" s="734">
        <f t="shared" si="181"/>
        <v>-0.72144169190289431</v>
      </c>
      <c r="BR140" s="734">
        <f t="shared" si="181"/>
        <v>-1.0693281055069725E-3</v>
      </c>
      <c r="BS140" s="771"/>
      <c r="BT140" s="734">
        <f>+BT47/BR47-1</f>
        <v>1.0704727921497792E-3</v>
      </c>
      <c r="BU140" s="734">
        <f t="shared" si="182"/>
        <v>0</v>
      </c>
      <c r="BV140" s="734">
        <f t="shared" si="182"/>
        <v>0</v>
      </c>
      <c r="BW140" s="734">
        <f t="shared" si="182"/>
        <v>0</v>
      </c>
      <c r="BX140" s="771"/>
      <c r="BY140" s="734">
        <f>+BY47/BW47-1</f>
        <v>0</v>
      </c>
      <c r="BZ140" s="734">
        <f t="shared" si="183"/>
        <v>0</v>
      </c>
      <c r="CA140" s="734">
        <f t="shared" si="183"/>
        <v>0</v>
      </c>
      <c r="CB140" s="734">
        <f t="shared" si="183"/>
        <v>0</v>
      </c>
      <c r="CC140" s="771"/>
      <c r="CD140" s="734">
        <f>+CD47/CB47-1</f>
        <v>-0.21140220940912358</v>
      </c>
      <c r="CE140" s="734">
        <f t="shared" si="184"/>
        <v>0</v>
      </c>
      <c r="CF140" s="734">
        <f t="shared" si="184"/>
        <v>0</v>
      </c>
      <c r="CG140" s="734">
        <f t="shared" si="184"/>
        <v>0</v>
      </c>
      <c r="CH140" s="771"/>
      <c r="CI140" s="734">
        <f>+CI47/CG47-1</f>
        <v>0</v>
      </c>
      <c r="CJ140" s="734">
        <f t="shared" si="185"/>
        <v>0</v>
      </c>
      <c r="CK140" s="734">
        <f t="shared" si="185"/>
        <v>0</v>
      </c>
      <c r="CL140" s="734">
        <f t="shared" si="185"/>
        <v>0</v>
      </c>
      <c r="CM140" s="771"/>
      <c r="CN140" s="734">
        <f>+CN47/CL47-1</f>
        <v>0</v>
      </c>
      <c r="CO140" s="734">
        <f t="shared" si="186"/>
        <v>0</v>
      </c>
      <c r="CP140" s="734">
        <f t="shared" si="186"/>
        <v>0</v>
      </c>
      <c r="CQ140" s="734">
        <f t="shared" si="186"/>
        <v>0</v>
      </c>
      <c r="CR140" s="771"/>
    </row>
    <row r="141" spans="1:96" ht="12" customHeight="1">
      <c r="A141" s="1046" t="str">
        <f t="shared" si="175"/>
        <v>Interest and other expense, net</v>
      </c>
      <c r="F141" s="1030"/>
      <c r="G141" s="734"/>
      <c r="H141" s="734"/>
      <c r="I141" s="734"/>
      <c r="J141" s="734"/>
      <c r="K141" s="771"/>
      <c r="L141" s="734"/>
      <c r="M141" s="734"/>
      <c r="N141" s="734"/>
      <c r="O141" s="734"/>
      <c r="P141" s="771"/>
      <c r="Q141" s="734"/>
      <c r="R141" s="734"/>
      <c r="S141" s="734"/>
      <c r="T141" s="734"/>
      <c r="U141" s="771"/>
      <c r="V141" s="734"/>
      <c r="W141" s="734"/>
      <c r="X141" s="734"/>
      <c r="Y141" s="734"/>
      <c r="Z141" s="771"/>
      <c r="AA141" s="734"/>
      <c r="AB141" s="734"/>
      <c r="AC141" s="734"/>
      <c r="AD141" s="734"/>
      <c r="AE141" s="771"/>
      <c r="AF141" s="734"/>
      <c r="AG141" s="734"/>
      <c r="AH141" s="734"/>
      <c r="AI141" s="734"/>
      <c r="AJ141" s="771"/>
      <c r="AK141" s="734"/>
      <c r="AL141" s="734"/>
      <c r="AM141" s="734"/>
      <c r="AN141" s="734"/>
      <c r="AO141" s="771"/>
      <c r="AP141" s="734"/>
      <c r="AQ141" s="789" t="str">
        <f t="shared" ref="AQ141:AS142" si="187">+IF(AND(AQ55&gt;0,AP55&gt;0), AQ55/AP55-1,"NM")</f>
        <v>NM</v>
      </c>
      <c r="AR141" s="789" t="str">
        <f t="shared" si="187"/>
        <v>NM</v>
      </c>
      <c r="AS141" s="789" t="str">
        <f t="shared" si="187"/>
        <v>NM</v>
      </c>
      <c r="AT141" s="771"/>
      <c r="AU141" s="789" t="str">
        <f>+IF(AND(AU55&gt;0,AS55&gt;0), AU55/AS55-1,"NM")</f>
        <v>NM</v>
      </c>
      <c r="AV141" s="789" t="str">
        <f t="shared" ref="AV141:AX142" si="188">+IF(AND(AV55&gt;0,AU55&gt;0), AV55/AU55-1,"NM")</f>
        <v>NM</v>
      </c>
      <c r="AW141" s="789" t="str">
        <f t="shared" si="188"/>
        <v>NM</v>
      </c>
      <c r="AX141" s="789" t="str">
        <f t="shared" si="188"/>
        <v>NM</v>
      </c>
      <c r="AY141" s="771"/>
      <c r="AZ141" s="789" t="str">
        <f>+IF(AND(AZ55&gt;0,AX55&gt;0), AZ55/AX55-1,"NM")</f>
        <v>NM</v>
      </c>
      <c r="BA141" s="789" t="str">
        <f t="shared" ref="BA141:BC142" si="189">+IF(AND(BA55&gt;0,AZ55&gt;0), BA55/AZ55-1,"NM")</f>
        <v>NM</v>
      </c>
      <c r="BB141" s="789" t="str">
        <f t="shared" si="189"/>
        <v>NM</v>
      </c>
      <c r="BC141" s="789" t="str">
        <f t="shared" si="189"/>
        <v>NM</v>
      </c>
      <c r="BD141" s="771"/>
      <c r="BE141" s="789" t="str">
        <f>+IF(AND(BE55&gt;0,BC55&gt;0), BE55/BC55-1,"NM")</f>
        <v>NM</v>
      </c>
      <c r="BF141" s="789" t="str">
        <f t="shared" ref="BF141:BH142" si="190">+IF(AND(BF55&gt;0,BE55&gt;0), BF55/BE55-1,"NM")</f>
        <v>NM</v>
      </c>
      <c r="BG141" s="789" t="str">
        <f t="shared" si="190"/>
        <v>NM</v>
      </c>
      <c r="BH141" s="789" t="str">
        <f t="shared" si="190"/>
        <v>NM</v>
      </c>
      <c r="BI141" s="771"/>
      <c r="BJ141" s="789" t="str">
        <f>+IF(AND(BJ55&gt;0,BH55&gt;0), BJ55/BH55-1,"NM")</f>
        <v>NM</v>
      </c>
      <c r="BK141" s="789" t="str">
        <f t="shared" ref="BK141:BM142" si="191">+IF(AND(BK55&gt;0,BJ55&gt;0), BK55/BJ55-1,"NM")</f>
        <v>NM</v>
      </c>
      <c r="BL141" s="789" t="str">
        <f t="shared" si="191"/>
        <v>NM</v>
      </c>
      <c r="BM141" s="789" t="str">
        <f t="shared" si="191"/>
        <v>NM</v>
      </c>
      <c r="BN141" s="771"/>
      <c r="BO141" s="789" t="str">
        <f>+IF(AND(BO55&gt;0,BM55&gt;0), BO55/BM55-1,"NM")</f>
        <v>NM</v>
      </c>
      <c r="BP141" s="789" t="str">
        <f t="shared" ref="BP141:BR142" si="192">+IF(AND(BP55&gt;0,BO55&gt;0), BP55/BO55-1,"NM")</f>
        <v>NM</v>
      </c>
      <c r="BQ141" s="789" t="str">
        <f t="shared" si="192"/>
        <v>NM</v>
      </c>
      <c r="BR141" s="789" t="str">
        <f t="shared" si="192"/>
        <v>NM</v>
      </c>
      <c r="BS141" s="771"/>
      <c r="BT141" s="789" t="str">
        <f>+IF(AND(BT55&gt;0,BR55&gt;0), BT55/BR55-1,"NM")</f>
        <v>NM</v>
      </c>
      <c r="BU141" s="789" t="str">
        <f t="shared" ref="BU141:BW142" si="193">+IF(AND(BU55&gt;0,BT55&gt;0), BU55/BT55-1,"NM")</f>
        <v>NM</v>
      </c>
      <c r="BV141" s="789" t="str">
        <f t="shared" si="193"/>
        <v>NM</v>
      </c>
      <c r="BW141" s="789" t="str">
        <f t="shared" si="193"/>
        <v>NM</v>
      </c>
      <c r="BX141" s="771"/>
      <c r="BY141" s="789" t="str">
        <f>+IF(AND(BY55&gt;0,BW55&gt;0), BY55/BW55-1,"NM")</f>
        <v>NM</v>
      </c>
      <c r="BZ141" s="789" t="str">
        <f t="shared" ref="BZ141:CB142" si="194">+IF(AND(BZ55&gt;0,BY55&gt;0), BZ55/BY55-1,"NM")</f>
        <v>NM</v>
      </c>
      <c r="CA141" s="789" t="str">
        <f t="shared" si="194"/>
        <v>NM</v>
      </c>
      <c r="CB141" s="789" t="str">
        <f t="shared" si="194"/>
        <v>NM</v>
      </c>
      <c r="CC141" s="771"/>
      <c r="CD141" s="789" t="str">
        <f>+IF(AND(CD55&gt;0,CB55&gt;0), CD55/CB55-1,"NM")</f>
        <v>NM</v>
      </c>
      <c r="CE141" s="789" t="str">
        <f t="shared" ref="CE141:CG142" si="195">+IF(AND(CE55&gt;0,CD55&gt;0), CE55/CD55-1,"NM")</f>
        <v>NM</v>
      </c>
      <c r="CF141" s="789" t="str">
        <f t="shared" si="195"/>
        <v>NM</v>
      </c>
      <c r="CG141" s="789" t="str">
        <f t="shared" si="195"/>
        <v>NM</v>
      </c>
      <c r="CH141" s="771"/>
      <c r="CI141" s="789" t="str">
        <f>+IF(AND(CI55&gt;0,CG55&gt;0), CI55/CG55-1,"NM")</f>
        <v>NM</v>
      </c>
      <c r="CJ141" s="789" t="str">
        <f t="shared" ref="CJ141:CL142" si="196">+IF(AND(CJ55&gt;0,CI55&gt;0), CJ55/CI55-1,"NM")</f>
        <v>NM</v>
      </c>
      <c r="CK141" s="789" t="str">
        <f t="shared" si="196"/>
        <v>NM</v>
      </c>
      <c r="CL141" s="789" t="str">
        <f t="shared" si="196"/>
        <v>NM</v>
      </c>
      <c r="CM141" s="771"/>
      <c r="CN141" s="789" t="str">
        <f>+IF(AND(CN55&gt;0,CL55&gt;0), CN55/CL55-1,"NM")</f>
        <v>NM</v>
      </c>
      <c r="CO141" s="789" t="str">
        <f t="shared" ref="CO141:CQ142" si="197">+IF(AND(CO55&gt;0,CN55&gt;0), CO55/CN55-1,"NM")</f>
        <v>NM</v>
      </c>
      <c r="CP141" s="789" t="str">
        <f t="shared" si="197"/>
        <v>NM</v>
      </c>
      <c r="CQ141" s="789" t="str">
        <f t="shared" si="197"/>
        <v>NM</v>
      </c>
      <c r="CR141" s="771"/>
    </row>
    <row r="142" spans="1:96" ht="12" customHeight="1">
      <c r="A142" s="1046" t="str">
        <f t="shared" si="175"/>
        <v>Other non-operating expenses</v>
      </c>
      <c r="F142" s="1030"/>
      <c r="G142" s="734"/>
      <c r="H142" s="734"/>
      <c r="I142" s="734"/>
      <c r="J142" s="734"/>
      <c r="K142" s="771"/>
      <c r="L142" s="734"/>
      <c r="M142" s="734"/>
      <c r="N142" s="734"/>
      <c r="O142" s="734"/>
      <c r="P142" s="771"/>
      <c r="Q142" s="734"/>
      <c r="R142" s="734"/>
      <c r="S142" s="734"/>
      <c r="T142" s="734"/>
      <c r="U142" s="771"/>
      <c r="V142" s="734"/>
      <c r="W142" s="734"/>
      <c r="X142" s="734"/>
      <c r="Y142" s="734"/>
      <c r="Z142" s="771"/>
      <c r="AA142" s="734"/>
      <c r="AB142" s="734"/>
      <c r="AC142" s="734"/>
      <c r="AD142" s="734"/>
      <c r="AE142" s="771"/>
      <c r="AF142" s="734"/>
      <c r="AG142" s="734"/>
      <c r="AH142" s="734"/>
      <c r="AI142" s="734"/>
      <c r="AJ142" s="771"/>
      <c r="AK142" s="734"/>
      <c r="AL142" s="734"/>
      <c r="AM142" s="734"/>
      <c r="AN142" s="734"/>
      <c r="AO142" s="771"/>
      <c r="AP142" s="734"/>
      <c r="AQ142" s="789" t="str">
        <f t="shared" si="187"/>
        <v>NM</v>
      </c>
      <c r="AR142" s="789" t="str">
        <f t="shared" si="187"/>
        <v>NM</v>
      </c>
      <c r="AS142" s="789" t="str">
        <f t="shared" si="187"/>
        <v>NM</v>
      </c>
      <c r="AT142" s="771"/>
      <c r="AU142" s="789" t="str">
        <f>+IF(AND(AU56&gt;0,AS56&gt;0), AU56/AS56-1,"NM")</f>
        <v>NM</v>
      </c>
      <c r="AV142" s="789" t="str">
        <f t="shared" si="188"/>
        <v>NM</v>
      </c>
      <c r="AW142" s="789" t="str">
        <f t="shared" si="188"/>
        <v>NM</v>
      </c>
      <c r="AX142" s="789" t="str">
        <f t="shared" si="188"/>
        <v>NM</v>
      </c>
      <c r="AY142" s="771"/>
      <c r="AZ142" s="789" t="str">
        <f>+IF(AND(AZ56&gt;0,AX56&gt;0), AZ56/AX56-1,"NM")</f>
        <v>NM</v>
      </c>
      <c r="BA142" s="789" t="str">
        <f t="shared" si="189"/>
        <v>NM</v>
      </c>
      <c r="BB142" s="789" t="str">
        <f t="shared" si="189"/>
        <v>NM</v>
      </c>
      <c r="BC142" s="789" t="str">
        <f t="shared" si="189"/>
        <v>NM</v>
      </c>
      <c r="BD142" s="771"/>
      <c r="BE142" s="789">
        <f>+IF(AND(BE56&gt;0,BC56&gt;0), BE56/BC56-1,"NM")</f>
        <v>-0.89486919542348553</v>
      </c>
      <c r="BF142" s="789">
        <f t="shared" si="190"/>
        <v>2.8172824045084535</v>
      </c>
      <c r="BG142" s="789">
        <f t="shared" si="190"/>
        <v>-0.17499425871854613</v>
      </c>
      <c r="BH142" s="789" t="str">
        <f t="shared" si="190"/>
        <v>NM</v>
      </c>
      <c r="BI142" s="771"/>
      <c r="BJ142" s="789" t="str">
        <f>+IF(AND(BJ56&gt;0,BH56&gt;0), BJ56/BH56-1,"NM")</f>
        <v>NM</v>
      </c>
      <c r="BK142" s="789">
        <f t="shared" si="191"/>
        <v>-0.49688972667295006</v>
      </c>
      <c r="BL142" s="789">
        <f t="shared" si="191"/>
        <v>-6.6504308729861128E-3</v>
      </c>
      <c r="BM142" s="789" t="str">
        <f t="shared" si="191"/>
        <v>NM</v>
      </c>
      <c r="BN142" s="771"/>
      <c r="BO142" s="789" t="str">
        <f>+IF(AND(BO56&gt;0,BM56&gt;0), BO56/BM56-1,"NM")</f>
        <v>NM</v>
      </c>
      <c r="BP142" s="789" t="str">
        <f t="shared" si="192"/>
        <v>NM</v>
      </c>
      <c r="BQ142" s="789">
        <f t="shared" si="192"/>
        <v>0.72493848293570085</v>
      </c>
      <c r="BR142" s="789">
        <f t="shared" si="192"/>
        <v>-0.74452645289338215</v>
      </c>
      <c r="BS142" s="771"/>
      <c r="BT142" s="789">
        <f>+IF(AND(BT56&gt;0,BR56&gt;0), BT56/BR56-1,"NM")</f>
        <v>1.2204418548191307</v>
      </c>
      <c r="BU142" s="789" t="str">
        <f t="shared" si="193"/>
        <v>NM</v>
      </c>
      <c r="BV142" s="789" t="str">
        <f t="shared" si="193"/>
        <v>NM</v>
      </c>
      <c r="BW142" s="789" t="str">
        <f t="shared" si="193"/>
        <v>NM</v>
      </c>
      <c r="BX142" s="771"/>
      <c r="BY142" s="789" t="str">
        <f>+IF(AND(BY56&gt;0,BW56&gt;0), BY56/BW56-1,"NM")</f>
        <v>NM</v>
      </c>
      <c r="BZ142" s="789" t="str">
        <f t="shared" si="194"/>
        <v>NM</v>
      </c>
      <c r="CA142" s="789" t="str">
        <f t="shared" si="194"/>
        <v>NM</v>
      </c>
      <c r="CB142" s="789" t="str">
        <f t="shared" si="194"/>
        <v>NM</v>
      </c>
      <c r="CC142" s="771"/>
      <c r="CD142" s="789" t="str">
        <f>+IF(AND(CD56&gt;0,CB56&gt;0), CD56/CB56-1,"NM")</f>
        <v>NM</v>
      </c>
      <c r="CE142" s="789" t="str">
        <f t="shared" si="195"/>
        <v>NM</v>
      </c>
      <c r="CF142" s="789" t="str">
        <f t="shared" si="195"/>
        <v>NM</v>
      </c>
      <c r="CG142" s="789" t="str">
        <f t="shared" si="195"/>
        <v>NM</v>
      </c>
      <c r="CH142" s="771"/>
      <c r="CI142" s="789" t="str">
        <f>+IF(AND(CI56&gt;0,CG56&gt;0), CI56/CG56-1,"NM")</f>
        <v>NM</v>
      </c>
      <c r="CJ142" s="789" t="str">
        <f t="shared" si="196"/>
        <v>NM</v>
      </c>
      <c r="CK142" s="789" t="str">
        <f t="shared" si="196"/>
        <v>NM</v>
      </c>
      <c r="CL142" s="789" t="str">
        <f t="shared" si="196"/>
        <v>NM</v>
      </c>
      <c r="CM142" s="771"/>
      <c r="CN142" s="789" t="str">
        <f>+IF(AND(CN56&gt;0,CL56&gt;0), CN56/CL56-1,"NM")</f>
        <v>NM</v>
      </c>
      <c r="CO142" s="789" t="str">
        <f t="shared" si="197"/>
        <v>NM</v>
      </c>
      <c r="CP142" s="789" t="str">
        <f t="shared" si="197"/>
        <v>NM</v>
      </c>
      <c r="CQ142" s="789" t="str">
        <f t="shared" si="197"/>
        <v>NM</v>
      </c>
      <c r="CR142" s="771"/>
    </row>
    <row r="143" spans="1:96" s="1054" customFormat="1" ht="12" customHeight="1">
      <c r="A143" s="1055" t="str">
        <f t="shared" si="175"/>
        <v>GAAP Net Income / (Loss)</v>
      </c>
      <c r="F143" s="1056"/>
      <c r="G143" s="789"/>
      <c r="H143" s="789"/>
      <c r="I143" s="789"/>
      <c r="J143" s="789"/>
      <c r="K143" s="821"/>
      <c r="L143" s="789"/>
      <c r="M143" s="789"/>
      <c r="N143" s="789"/>
      <c r="O143" s="789"/>
      <c r="P143" s="821"/>
      <c r="Q143" s="789"/>
      <c r="R143" s="789"/>
      <c r="S143" s="789"/>
      <c r="T143" s="789"/>
      <c r="U143" s="821"/>
      <c r="V143" s="789"/>
      <c r="W143" s="789"/>
      <c r="X143" s="789"/>
      <c r="Y143" s="789"/>
      <c r="Z143" s="821"/>
      <c r="AA143" s="789"/>
      <c r="AB143" s="789"/>
      <c r="AC143" s="789"/>
      <c r="AD143" s="789"/>
      <c r="AE143" s="821"/>
      <c r="AF143" s="789"/>
      <c r="AG143" s="789"/>
      <c r="AH143" s="789"/>
      <c r="AI143" s="789"/>
      <c r="AJ143" s="821"/>
      <c r="AK143" s="789"/>
      <c r="AL143" s="789"/>
      <c r="AM143" s="789"/>
      <c r="AN143" s="789"/>
      <c r="AO143" s="821"/>
      <c r="AP143" s="789"/>
      <c r="AQ143" s="789" t="str">
        <f>+IF(AND(AQ60&gt;0,AP60&gt;0), AQ60/AP60-1,"NM")</f>
        <v>NM</v>
      </c>
      <c r="AR143" s="789" t="str">
        <f>+IF(AND(AR60&gt;0,AQ60&gt;0), AR60/AQ60-1,"NM")</f>
        <v>NM</v>
      </c>
      <c r="AS143" s="789" t="str">
        <f>+IF(AND(AS60&gt;0,AR60&gt;0), AS60/AR60-1,"NM")</f>
        <v>NM</v>
      </c>
      <c r="AT143" s="821"/>
      <c r="AU143" s="789" t="str">
        <f>+IF(AND(AU60&gt;0,AS60&gt;0), AU60/AS60-1,"NM")</f>
        <v>NM</v>
      </c>
      <c r="AV143" s="789" t="str">
        <f>+IF(AND(AV60&gt;0,AU60&gt;0), AV60/AU60-1,"NM")</f>
        <v>NM</v>
      </c>
      <c r="AW143" s="789" t="str">
        <f>+IF(AND(AW60&gt;0,AV60&gt;0), AW60/AV60-1,"NM")</f>
        <v>NM</v>
      </c>
      <c r="AX143" s="789" t="str">
        <f>+IF(AND(AX60&gt;0,AW60&gt;0), AX60/AW60-1,"NM")</f>
        <v>NM</v>
      </c>
      <c r="AY143" s="821"/>
      <c r="AZ143" s="789" t="str">
        <f>+IF(AND(AZ60&gt;0,AX60&gt;0), AZ60/AX60-1,"NM")</f>
        <v>NM</v>
      </c>
      <c r="BA143" s="789" t="str">
        <f>+IF(AND(BA60&gt;0,AZ60&gt;0), BA60/AZ60-1,"NM")</f>
        <v>NM</v>
      </c>
      <c r="BB143" s="789" t="str">
        <f>+IF(AND(BB60&gt;0,BA60&gt;0), BB60/BA60-1,"NM")</f>
        <v>NM</v>
      </c>
      <c r="BC143" s="789" t="str">
        <f>+IF(AND(BC60&gt;0,BB60&gt;0), BC60/BB60-1,"NM")</f>
        <v>NM</v>
      </c>
      <c r="BD143" s="821"/>
      <c r="BE143" s="789" t="str">
        <f>+IF(AND(BE60&gt;0,BC60&gt;0), BE60/BC60-1,"NM")</f>
        <v>NM</v>
      </c>
      <c r="BF143" s="789" t="str">
        <f>+IF(AND(BF60&gt;0,BE60&gt;0), BF60/BE60-1,"NM")</f>
        <v>NM</v>
      </c>
      <c r="BG143" s="789" t="str">
        <f>+IF(AND(BG60&gt;0,BF60&gt;0), BG60/BF60-1,"NM")</f>
        <v>NM</v>
      </c>
      <c r="BH143" s="789" t="str">
        <f>+IF(AND(BH60&gt;0,BG60&gt;0), BH60/BG60-1,"NM")</f>
        <v>NM</v>
      </c>
      <c r="BI143" s="821"/>
      <c r="BJ143" s="789" t="str">
        <f>+IF(AND(BJ60&gt;0,BH60&gt;0), BJ60/BH60-1,"NM")</f>
        <v>NM</v>
      </c>
      <c r="BK143" s="789" t="str">
        <f>+IF(AND(BK60&gt;0,BJ60&gt;0), BK60/BJ60-1,"NM")</f>
        <v>NM</v>
      </c>
      <c r="BL143" s="789" t="str">
        <f>+IF(AND(BL60&gt;0,BK60&gt;0), BL60/BK60-1,"NM")</f>
        <v>NM</v>
      </c>
      <c r="BM143" s="789" t="str">
        <f>+IF(AND(BM60&gt;0,BL60&gt;0), BM60/BL60-1,"NM")</f>
        <v>NM</v>
      </c>
      <c r="BN143" s="821"/>
      <c r="BO143" s="789" t="str">
        <f>+IF(AND(BO60&gt;0,BM60&gt;0), BO60/BM60-1,"NM")</f>
        <v>NM</v>
      </c>
      <c r="BP143" s="789" t="str">
        <f>+IF(AND(BP60&gt;0,BO60&gt;0), BP60/BO60-1,"NM")</f>
        <v>NM</v>
      </c>
      <c r="BQ143" s="789" t="str">
        <f>+IF(AND(BQ60&gt;0,BP60&gt;0), BQ60/BP60-1,"NM")</f>
        <v>NM</v>
      </c>
      <c r="BR143" s="789" t="str">
        <f>+IF(AND(BR60&gt;0,BQ60&gt;0), BR60/BQ60-1,"NM")</f>
        <v>NM</v>
      </c>
      <c r="BS143" s="821"/>
      <c r="BT143" s="789" t="str">
        <f>+IF(AND(BT60&gt;0,BR60&gt;0), BT60/BR60-1,"NM")</f>
        <v>NM</v>
      </c>
      <c r="BU143" s="789" t="str">
        <f>+IF(AND(BU60&gt;0,BT60&gt;0), BU60/BT60-1,"NM")</f>
        <v>NM</v>
      </c>
      <c r="BV143" s="789" t="str">
        <f>+IF(AND(BV60&gt;0,BU60&gt;0), BV60/BU60-1,"NM")</f>
        <v>NM</v>
      </c>
      <c r="BW143" s="789" t="str">
        <f>+IF(AND(BW60&gt;0,BV60&gt;0), BW60/BV60-1,"NM")</f>
        <v>NM</v>
      </c>
      <c r="BX143" s="821"/>
      <c r="BY143" s="789" t="str">
        <f>+IF(AND(BY60&gt;0,BW60&gt;0), BY60/BW60-1,"NM")</f>
        <v>NM</v>
      </c>
      <c r="BZ143" s="789" t="str">
        <f>+IF(AND(BZ60&gt;0,BY60&gt;0), BZ60/BY60-1,"NM")</f>
        <v>NM</v>
      </c>
      <c r="CA143" s="789" t="str">
        <f>+IF(AND(CA60&gt;0,BZ60&gt;0), CA60/BZ60-1,"NM")</f>
        <v>NM</v>
      </c>
      <c r="CB143" s="789" t="str">
        <f>+IF(AND(CB60&gt;0,CA60&gt;0), CB60/CA60-1,"NM")</f>
        <v>NM</v>
      </c>
      <c r="CC143" s="821"/>
      <c r="CD143" s="789" t="str">
        <f>+IF(AND(CD60&gt;0,CB60&gt;0), CD60/CB60-1,"NM")</f>
        <v>NM</v>
      </c>
      <c r="CE143" s="789" t="str">
        <f>+IF(AND(CE60&gt;0,CD60&gt;0), CE60/CD60-1,"NM")</f>
        <v>NM</v>
      </c>
      <c r="CF143" s="789" t="str">
        <f>+IF(AND(CF60&gt;0,CE60&gt;0), CF60/CE60-1,"NM")</f>
        <v>NM</v>
      </c>
      <c r="CG143" s="789" t="str">
        <f>+IF(AND(CG60&gt;0,CF60&gt;0), CG60/CF60-1,"NM")</f>
        <v>NM</v>
      </c>
      <c r="CH143" s="821"/>
      <c r="CI143" s="789" t="str">
        <f>+IF(AND(CI60&gt;0,CG60&gt;0), CI60/CG60-1,"NM")</f>
        <v>NM</v>
      </c>
      <c r="CJ143" s="789" t="str">
        <f>+IF(AND(CJ60&gt;0,CI60&gt;0), CJ60/CI60-1,"NM")</f>
        <v>NM</v>
      </c>
      <c r="CK143" s="789" t="str">
        <f>+IF(AND(CK60&gt;0,CJ60&gt;0), CK60/CJ60-1,"NM")</f>
        <v>NM</v>
      </c>
      <c r="CL143" s="789" t="str">
        <f>+IF(AND(CL60&gt;0,CK60&gt;0), CL60/CK60-1,"NM")</f>
        <v>NM</v>
      </c>
      <c r="CM143" s="821"/>
      <c r="CN143" s="789">
        <f>+IF(AND(CN60&gt;0,CL60&gt;0), CN60/CL60-1,"NM")</f>
        <v>1.4109819048686463</v>
      </c>
      <c r="CO143" s="789" t="str">
        <f>+IF(AND(CO60&gt;0,CN60&gt;0), CO60/CN60-1,"NM")</f>
        <v>NM</v>
      </c>
      <c r="CP143" s="789" t="str">
        <f>+IF(AND(CP60&gt;0,CO60&gt;0), CP60/CO60-1,"NM")</f>
        <v>NM</v>
      </c>
      <c r="CQ143" s="789" t="str">
        <f>+IF(AND(CQ60&gt;0,CP60&gt;0), CQ60/CP60-1,"NM")</f>
        <v>NM</v>
      </c>
      <c r="CR143" s="821"/>
    </row>
    <row r="144" spans="1:96" s="1054" customFormat="1" ht="12" customHeight="1">
      <c r="A144" s="1057" t="str">
        <f t="shared" si="175"/>
        <v>Non-GAAP Net loss attributable E2open</v>
      </c>
      <c r="B144" s="1050"/>
      <c r="C144" s="1050"/>
      <c r="D144" s="1050"/>
      <c r="E144" s="1050"/>
      <c r="F144" s="1051"/>
      <c r="G144" s="1052"/>
      <c r="H144" s="1052"/>
      <c r="I144" s="1052"/>
      <c r="J144" s="1052"/>
      <c r="K144" s="1053"/>
      <c r="L144" s="1052"/>
      <c r="M144" s="1052"/>
      <c r="N144" s="1052"/>
      <c r="O144" s="1052"/>
      <c r="P144" s="1053"/>
      <c r="Q144" s="1052"/>
      <c r="R144" s="1052"/>
      <c r="S144" s="1052"/>
      <c r="T144" s="1052"/>
      <c r="U144" s="1053"/>
      <c r="V144" s="1052"/>
      <c r="W144" s="1052"/>
      <c r="X144" s="1052"/>
      <c r="Y144" s="1052"/>
      <c r="Z144" s="1053"/>
      <c r="AA144" s="1052"/>
      <c r="AB144" s="1052"/>
      <c r="AC144" s="1052"/>
      <c r="AD144" s="1052"/>
      <c r="AE144" s="1053"/>
      <c r="AF144" s="1052"/>
      <c r="AG144" s="1052"/>
      <c r="AH144" s="1052"/>
      <c r="AI144" s="1052"/>
      <c r="AJ144" s="1053"/>
      <c r="AK144" s="1052"/>
      <c r="AL144" s="1052"/>
      <c r="AM144" s="1052"/>
      <c r="AN144" s="1052"/>
      <c r="AO144" s="1053"/>
      <c r="AP144" s="1052"/>
      <c r="AQ144" s="1052" t="str">
        <f>+IF(AND(AQ73&gt;0,AP73&gt;0), AQ73/AP73-1,"NM")</f>
        <v>NM</v>
      </c>
      <c r="AR144" s="1052" t="str">
        <f>+IF(AND(AR73&gt;0,AQ73&gt;0), AR73/AQ73-1,"NM")</f>
        <v>NM</v>
      </c>
      <c r="AS144" s="1052" t="str">
        <f>+IF(AND(AS73&gt;0,AR73&gt;0), AS73/AR73-1,"NM")</f>
        <v>NM</v>
      </c>
      <c r="AT144" s="1053"/>
      <c r="AU144" s="1052" t="str">
        <f>+IF(AND(AU73&gt;0,AS73&gt;0), AU73/AS73-1,"NM")</f>
        <v>NM</v>
      </c>
      <c r="AV144" s="1052">
        <f>+IF(AND(AV73&gt;0,AU73&gt;0), AV73/AU73-1,"NM")</f>
        <v>0.35245202558634747</v>
      </c>
      <c r="AW144" s="1052">
        <f>+IF(AND(AW73&gt;0,AV73&gt;0), AW73/AV73-1,"NM")</f>
        <v>6.8894844710705616E-2</v>
      </c>
      <c r="AX144" s="1052">
        <f>+IF(AND(AX73&gt;0,AW73&gt;0), AX73/AW73-1,"NM")</f>
        <v>0.4828908554572251</v>
      </c>
      <c r="AY144" s="1053"/>
      <c r="AZ144" s="1052">
        <f>+IF(AND(AZ73&gt;0,AX73&gt;0), AZ73/AX73-1,"NM")</f>
        <v>0.92838671175651899</v>
      </c>
      <c r="BA144" s="1052">
        <f>+IF(AND(BA73&gt;0,AZ73&gt;0), BA73/AZ73-1,"NM")</f>
        <v>0.14854549205694267</v>
      </c>
      <c r="BB144" s="1052">
        <f>+IF(AND(BB73&gt;0,BA73&gt;0), BB73/BA73-1,"NM")</f>
        <v>0.30775103287228256</v>
      </c>
      <c r="BC144" s="1052">
        <f>+IF(AND(BC73&gt;0,BB73&gt;0), BC73/BB73-1,"NM")</f>
        <v>0.21717922859069128</v>
      </c>
      <c r="BD144" s="1053"/>
      <c r="BE144" s="1052">
        <f>+IF(AND(BE73&gt;0,BC73&gt;0), BE73/BC73-1,"NM")</f>
        <v>-0.17656629184586847</v>
      </c>
      <c r="BF144" s="1052">
        <f>+IF(AND(BF73&gt;0,BE73&gt;0), BF73/BE73-1,"NM")</f>
        <v>-0.2274985438722722</v>
      </c>
      <c r="BG144" s="1052">
        <f>+IF(AND(BG73&gt;0,BF73&gt;0), BG73/BF73-1,"NM")</f>
        <v>0.26646560518029094</v>
      </c>
      <c r="BH144" s="1052">
        <f>+IF(AND(BH73&gt;0,BG73&gt;0), BH73/BG73-1,"NM")</f>
        <v>0.10110313430222395</v>
      </c>
      <c r="BI144" s="1053"/>
      <c r="BJ144" s="1052">
        <f>+IF(AND(BJ73&gt;0,BH73&gt;0), BJ73/BH73-1,"NM")</f>
        <v>-0.33585649767826475</v>
      </c>
      <c r="BK144" s="1052">
        <f>+IF(AND(BK73&gt;0,BJ73&gt;0), BK73/BJ73-1,"NM")</f>
        <v>6.3499664783065679E-2</v>
      </c>
      <c r="BL144" s="1052">
        <f>+IF(AND(BL73&gt;0,BK73&gt;0), BL73/BK73-1,"NM")</f>
        <v>-3.3861671469739396E-2</v>
      </c>
      <c r="BM144" s="1052">
        <f>+IF(AND(BM73&gt;0,BL73&gt;0), BM73/BL73-1,"NM")</f>
        <v>-6.8978374347513638E-3</v>
      </c>
      <c r="BN144" s="1053"/>
      <c r="BO144" s="1052">
        <f>+IF(AND(BO73&gt;0,BM73&gt;0), BO73/BM73-1,"NM")</f>
        <v>-0.19631124460296523</v>
      </c>
      <c r="BP144" s="1052">
        <f>+IF(AND(BP73&gt;0,BO73&gt;0), BP73/BO73-1,"NM")</f>
        <v>0.27398540145985351</v>
      </c>
      <c r="BQ144" s="1052">
        <f>+IF(AND(BQ73&gt;0,BP73&gt;0), BQ73/BP73-1,"NM")</f>
        <v>-6.5086858871515885E-3</v>
      </c>
      <c r="BR144" s="1052">
        <f>+IF(AND(BR73&gt;0,BQ73&gt;0), BR73/BQ73-1,"NM")</f>
        <v>0.22791234140715111</v>
      </c>
      <c r="BS144" s="1053"/>
      <c r="BT144" s="1052">
        <f>+IF(AND(BT73&gt;0,BR73&gt;0), BT73/BR73-1,"NM")</f>
        <v>-0.14213789216607187</v>
      </c>
      <c r="BU144" s="1052">
        <f>+IF(AND(BU73&gt;0,BT73&gt;0), BU73/BT73-1,"NM")</f>
        <v>-9.3139353816125814E-2</v>
      </c>
      <c r="BV144" s="1052">
        <f>+IF(AND(BV73&gt;0,BU73&gt;0), BV73/BU73-1,"NM")</f>
        <v>-0.10766381452588636</v>
      </c>
      <c r="BW144" s="1052">
        <f>+IF(AND(BW73&gt;0,BV73&gt;0), BW73/BV73-1,"NM")</f>
        <v>0.31968501784206538</v>
      </c>
      <c r="BX144" s="1053"/>
      <c r="BY144" s="1052">
        <f>+IF(AND(BY73&gt;0,BW73&gt;0), BY73/BW73-1,"NM")</f>
        <v>5.5423588096747967E-3</v>
      </c>
      <c r="BZ144" s="1052">
        <f>+IF(AND(BZ73&gt;0,BY73&gt;0), BZ73/BY73-1,"NM")</f>
        <v>-0.1346062516812373</v>
      </c>
      <c r="CA144" s="1052">
        <f>+IF(AND(CA73&gt;0,BZ73&gt;0), CA73/BZ73-1,"NM")</f>
        <v>-3.5749909152414938E-2</v>
      </c>
      <c r="CB144" s="1052">
        <f>+IF(AND(CB73&gt;0,CA73&gt;0), CB73/CA73-1,"NM")</f>
        <v>0.37484102958805532</v>
      </c>
      <c r="CC144" s="1053"/>
      <c r="CD144" s="1052">
        <f>+IF(AND(CD73&gt;0,CB73&gt;0), CD73/CB73-1,"NM")</f>
        <v>0.1111002489515478</v>
      </c>
      <c r="CE144" s="1052">
        <f>+IF(AND(CE73&gt;0,CD73&gt;0), CE73/CD73-1,"NM")</f>
        <v>-0.19491851228738477</v>
      </c>
      <c r="CF144" s="1052">
        <f>+IF(AND(CF73&gt;0,CE73&gt;0), CF73/CE73-1,"NM")</f>
        <v>-2.5315216066065682E-2</v>
      </c>
      <c r="CG144" s="1052">
        <f>+IF(AND(CG73&gt;0,CF73&gt;0), CG73/CF73-1,"NM")</f>
        <v>0.32065455950592736</v>
      </c>
      <c r="CH144" s="1053"/>
      <c r="CI144" s="1052">
        <f>+IF(AND(CI73&gt;0,CG73&gt;0), CI73/CG73-1,"NM")</f>
        <v>0.17589926850506976</v>
      </c>
      <c r="CJ144" s="1052">
        <f>+IF(AND(CJ73&gt;0,CI73&gt;0), CJ73/CI73-1,"NM")</f>
        <v>-0.23401016042632494</v>
      </c>
      <c r="CK144" s="1052">
        <f>+IF(AND(CK73&gt;0,CJ73&gt;0), CK73/CJ73-1,"NM")</f>
        <v>-3.546902779151262E-3</v>
      </c>
      <c r="CL144" s="1052">
        <f>+IF(AND(CL73&gt;0,CK73&gt;0), CL73/CK73-1,"NM")</f>
        <v>0.28476187726603541</v>
      </c>
      <c r="CM144" s="1053"/>
      <c r="CN144" s="1052">
        <f>+IF(AND(CN73&gt;0,CL73&gt;0), CN73/CL73-1,"NM")</f>
        <v>0.22205544614297357</v>
      </c>
      <c r="CO144" s="1052">
        <f>+IF(AND(CO73&gt;0,CN73&gt;0), CO73/CN73-1,"NM")</f>
        <v>-0.27078673768337091</v>
      </c>
      <c r="CP144" s="1052">
        <f>+IF(AND(CP73&gt;0,CO73&gt;0), CP73/CO73-1,"NM")</f>
        <v>2.0801692074314593E-2</v>
      </c>
      <c r="CQ144" s="1052">
        <f>+IF(AND(CQ73&gt;0,CP73&gt;0), CQ73/CP73-1,"NM")</f>
        <v>0.25319102053271147</v>
      </c>
      <c r="CR144" s="1053"/>
    </row>
    <row r="145" spans="1:99" ht="12" customHeight="1" thickBot="1">
      <c r="A145" s="1041"/>
      <c r="F145" s="1030"/>
      <c r="K145" s="1030"/>
      <c r="P145" s="1030"/>
      <c r="U145" s="1030"/>
      <c r="Z145" s="1030"/>
      <c r="AE145" s="1030"/>
      <c r="AJ145" s="1030"/>
      <c r="AO145" s="1030"/>
      <c r="AT145" s="1030"/>
      <c r="AY145" s="1030"/>
      <c r="BD145" s="1030"/>
      <c r="BI145" s="1030"/>
      <c r="BN145" s="1030"/>
      <c r="BS145" s="1030"/>
      <c r="BX145" s="1030"/>
      <c r="CC145" s="1030"/>
      <c r="CH145" s="1030"/>
      <c r="CM145" s="1030"/>
      <c r="CR145" s="1030"/>
    </row>
    <row r="146" spans="1:99" ht="12" customHeight="1" thickBot="1">
      <c r="A146" s="1038" t="s">
        <v>1015</v>
      </c>
      <c r="B146" s="1039"/>
      <c r="C146" s="1039"/>
      <c r="D146" s="1039"/>
      <c r="E146" s="1039"/>
      <c r="F146" s="1040"/>
      <c r="G146" s="1039"/>
      <c r="H146" s="1039"/>
      <c r="I146" s="1039"/>
      <c r="J146" s="1039"/>
      <c r="K146" s="1040"/>
      <c r="L146" s="1039"/>
      <c r="M146" s="1039"/>
      <c r="N146" s="1039"/>
      <c r="O146" s="1039"/>
      <c r="P146" s="1040"/>
      <c r="Q146" s="1039"/>
      <c r="R146" s="1039"/>
      <c r="S146" s="1039"/>
      <c r="T146" s="1039"/>
      <c r="U146" s="1040"/>
      <c r="V146" s="1039"/>
      <c r="W146" s="1039"/>
      <c r="X146" s="1039"/>
      <c r="Y146" s="1039"/>
      <c r="Z146" s="1040"/>
      <c r="AA146" s="1039"/>
      <c r="AB146" s="1039"/>
      <c r="AC146" s="1039"/>
      <c r="AD146" s="1039"/>
      <c r="AE146" s="1040"/>
      <c r="AF146" s="1039"/>
      <c r="AG146" s="1039"/>
      <c r="AH146" s="1039"/>
      <c r="AI146" s="1039"/>
      <c r="AJ146" s="1040"/>
      <c r="AK146" s="1039"/>
      <c r="AL146" s="1039"/>
      <c r="AM146" s="1039"/>
      <c r="AN146" s="1039"/>
      <c r="AO146" s="1040"/>
      <c r="AP146" s="1039"/>
      <c r="AQ146" s="1039"/>
      <c r="AR146" s="1039"/>
      <c r="AS146" s="1039"/>
      <c r="AT146" s="1040"/>
      <c r="AU146" s="1039"/>
      <c r="AV146" s="1039"/>
      <c r="AW146" s="1039"/>
      <c r="AX146" s="1039"/>
      <c r="AY146" s="1040"/>
      <c r="AZ146" s="1039"/>
      <c r="BA146" s="1039"/>
      <c r="BB146" s="1039"/>
      <c r="BC146" s="1039"/>
      <c r="BD146" s="1040"/>
      <c r="BE146" s="1039"/>
      <c r="BF146" s="1039"/>
      <c r="BG146" s="1039"/>
      <c r="BH146" s="1039"/>
      <c r="BI146" s="1040"/>
      <c r="BJ146" s="1039"/>
      <c r="BK146" s="1039"/>
      <c r="BL146" s="1039"/>
      <c r="BM146" s="1039"/>
      <c r="BN146" s="1040"/>
      <c r="BO146" s="1039"/>
      <c r="BP146" s="1039"/>
      <c r="BQ146" s="1039"/>
      <c r="BR146" s="1039"/>
      <c r="BS146" s="1040"/>
      <c r="BT146" s="1039"/>
      <c r="BU146" s="1039"/>
      <c r="BV146" s="1039"/>
      <c r="BW146" s="1039"/>
      <c r="BX146" s="1040"/>
      <c r="BY146" s="1039"/>
      <c r="BZ146" s="1039"/>
      <c r="CA146" s="1039"/>
      <c r="CB146" s="1039"/>
      <c r="CC146" s="1040"/>
      <c r="CD146" s="1039"/>
      <c r="CE146" s="1039"/>
      <c r="CF146" s="1039"/>
      <c r="CG146" s="1039"/>
      <c r="CH146" s="1040"/>
      <c r="CI146" s="1039"/>
      <c r="CJ146" s="1039"/>
      <c r="CK146" s="1039"/>
      <c r="CL146" s="1039"/>
      <c r="CM146" s="1040"/>
      <c r="CN146" s="1039"/>
      <c r="CO146" s="1039"/>
      <c r="CP146" s="1039"/>
      <c r="CQ146" s="1039"/>
      <c r="CR146" s="1040"/>
    </row>
    <row r="147" spans="1:99" ht="12" customHeight="1">
      <c r="A147" s="1042" t="s">
        <v>1016</v>
      </c>
      <c r="F147" s="1030"/>
      <c r="G147" s="734"/>
      <c r="H147" s="734"/>
      <c r="I147" s="734"/>
      <c r="J147" s="734"/>
      <c r="K147" s="771"/>
      <c r="L147" s="734"/>
      <c r="M147" s="734"/>
      <c r="N147" s="734"/>
      <c r="O147" s="734"/>
      <c r="P147" s="771"/>
      <c r="Q147" s="734"/>
      <c r="R147" s="734"/>
      <c r="S147" s="734"/>
      <c r="T147" s="734"/>
      <c r="U147" s="771"/>
      <c r="V147" s="734"/>
      <c r="W147" s="734"/>
      <c r="X147" s="734"/>
      <c r="Y147" s="734"/>
      <c r="Z147" s="771"/>
      <c r="AA147" s="734"/>
      <c r="AB147" s="734"/>
      <c r="AC147" s="734"/>
      <c r="AD147" s="734"/>
      <c r="AE147" s="771"/>
      <c r="AF147" s="734"/>
      <c r="AG147" s="734"/>
      <c r="AH147" s="734"/>
      <c r="AI147" s="734"/>
      <c r="AJ147" s="771"/>
      <c r="AK147" s="734"/>
      <c r="AL147" s="734"/>
      <c r="AM147" s="734"/>
      <c r="AN147" s="734"/>
      <c r="AO147" s="771"/>
      <c r="AP147" s="734"/>
      <c r="AQ147" s="734"/>
      <c r="AR147" s="734"/>
      <c r="AS147" s="734"/>
      <c r="AT147" s="771"/>
      <c r="AU147" s="734"/>
      <c r="AV147" s="734"/>
      <c r="AW147" s="734"/>
      <c r="AX147" s="734"/>
      <c r="AY147" s="771"/>
      <c r="AZ147" s="734"/>
      <c r="BA147" s="734"/>
      <c r="BB147" s="734"/>
      <c r="BC147" s="734"/>
      <c r="BD147" s="771"/>
      <c r="BE147" s="734"/>
      <c r="BF147" s="734"/>
      <c r="BG147" s="734"/>
      <c r="BH147" s="734"/>
      <c r="BI147" s="771"/>
      <c r="BJ147" s="734"/>
      <c r="BK147" s="734"/>
      <c r="BL147" s="734"/>
      <c r="BM147" s="734"/>
      <c r="BN147" s="771"/>
      <c r="BO147" s="734"/>
      <c r="BP147" s="734"/>
      <c r="BQ147" s="734"/>
      <c r="BR147" s="734"/>
      <c r="BS147" s="771"/>
      <c r="BT147" s="734"/>
      <c r="BU147" s="734"/>
      <c r="BV147" s="734"/>
      <c r="BW147" s="734"/>
      <c r="BX147" s="771"/>
      <c r="BY147" s="734"/>
      <c r="BZ147" s="734"/>
      <c r="CA147" s="734"/>
      <c r="CB147" s="734"/>
      <c r="CC147" s="771"/>
      <c r="CD147" s="734"/>
      <c r="CE147" s="734"/>
      <c r="CF147" s="734"/>
      <c r="CG147" s="734"/>
      <c r="CH147" s="771"/>
      <c r="CI147" s="734"/>
      <c r="CJ147" s="734"/>
      <c r="CK147" s="734"/>
      <c r="CL147" s="734"/>
      <c r="CM147" s="771"/>
      <c r="CN147" s="734"/>
      <c r="CO147" s="734"/>
      <c r="CP147" s="734"/>
      <c r="CQ147" s="734"/>
      <c r="CR147" s="771"/>
    </row>
    <row r="148" spans="1:99" ht="12" customHeight="1">
      <c r="A148" s="1058" t="s">
        <v>1017</v>
      </c>
      <c r="F148" s="1030"/>
      <c r="G148" s="734"/>
      <c r="H148" s="734"/>
      <c r="I148" s="734"/>
      <c r="J148" s="734"/>
      <c r="K148" s="771"/>
      <c r="L148" s="734"/>
      <c r="M148" s="734"/>
      <c r="N148" s="734"/>
      <c r="O148" s="734"/>
      <c r="P148" s="771"/>
      <c r="Q148" s="734"/>
      <c r="R148" s="734"/>
      <c r="S148" s="734"/>
      <c r="T148" s="734"/>
      <c r="U148" s="771"/>
      <c r="V148" s="734"/>
      <c r="W148" s="734"/>
      <c r="X148" s="734"/>
      <c r="Y148" s="734"/>
      <c r="Z148" s="784"/>
      <c r="AA148" s="773"/>
      <c r="AB148" s="773"/>
      <c r="AC148" s="773"/>
      <c r="AD148" s="773"/>
      <c r="AE148" s="771"/>
      <c r="AF148" s="785"/>
      <c r="AG148" s="785"/>
      <c r="AH148" s="785"/>
      <c r="AI148" s="785"/>
      <c r="AJ148" s="735"/>
      <c r="AK148" s="785"/>
      <c r="AL148" s="785"/>
      <c r="AM148" s="785"/>
      <c r="AN148" s="785"/>
      <c r="AO148" s="735">
        <f t="shared" ref="AO148:BR148" si="198">+AO19/SUM(AO19,AO47)</f>
        <v>0.29390024990320646</v>
      </c>
      <c r="AP148" s="785">
        <f t="shared" si="198"/>
        <v>0.36170212765957444</v>
      </c>
      <c r="AQ148" s="785">
        <f t="shared" si="198"/>
        <v>0.35483870967741937</v>
      </c>
      <c r="AR148" s="785">
        <f t="shared" si="198"/>
        <v>0.38796327779666656</v>
      </c>
      <c r="AS148" s="785">
        <f t="shared" si="198"/>
        <v>0.42599915266205335</v>
      </c>
      <c r="AT148" s="735">
        <f t="shared" si="198"/>
        <v>0.38561588410602526</v>
      </c>
      <c r="AU148" s="785">
        <f t="shared" si="198"/>
        <v>0.39642144282862846</v>
      </c>
      <c r="AV148" s="785">
        <f t="shared" si="198"/>
        <v>0.36934448260415115</v>
      </c>
      <c r="AW148" s="785">
        <f t="shared" si="198"/>
        <v>0.36914004180352344</v>
      </c>
      <c r="AX148" s="785">
        <f t="shared" si="198"/>
        <v>0.51179759956355697</v>
      </c>
      <c r="AY148" s="735">
        <f t="shared" si="198"/>
        <v>0.41379186042320032</v>
      </c>
      <c r="AZ148" s="785">
        <f t="shared" si="198"/>
        <v>0.75034222019425068</v>
      </c>
      <c r="BA148" s="785">
        <f t="shared" si="198"/>
        <v>0.77690321768150616</v>
      </c>
      <c r="BB148" s="785">
        <f t="shared" si="198"/>
        <v>0.56253089471082551</v>
      </c>
      <c r="BC148" s="785">
        <f t="shared" si="198"/>
        <v>0.56077963583984158</v>
      </c>
      <c r="BD148" s="735">
        <f t="shared" si="198"/>
        <v>0.61419452558693066</v>
      </c>
      <c r="BE148" s="785">
        <f t="shared" si="198"/>
        <v>0.53624343182013956</v>
      </c>
      <c r="BF148" s="785">
        <f t="shared" si="198"/>
        <v>0.53885805786483576</v>
      </c>
      <c r="BG148" s="785">
        <f t="shared" si="198"/>
        <v>0.55000338089120293</v>
      </c>
      <c r="BH148" s="785">
        <f t="shared" si="198"/>
        <v>0.54864185446374936</v>
      </c>
      <c r="BI148" s="735">
        <f t="shared" si="198"/>
        <v>0.54334052045019654</v>
      </c>
      <c r="BJ148" s="785">
        <f t="shared" si="198"/>
        <v>0.55029268510657314</v>
      </c>
      <c r="BK148" s="785">
        <f t="shared" si="198"/>
        <v>0.55263923385021585</v>
      </c>
      <c r="BL148" s="785">
        <f t="shared" si="198"/>
        <v>0.55129584790601738</v>
      </c>
      <c r="BM148" s="785">
        <f t="shared" si="198"/>
        <v>0.55073498248979502</v>
      </c>
      <c r="BN148" s="735">
        <f t="shared" si="198"/>
        <v>0.55123990966212744</v>
      </c>
      <c r="BO148" s="785">
        <f t="shared" si="198"/>
        <v>0.55103044391792211</v>
      </c>
      <c r="BP148" s="785">
        <f t="shared" si="198"/>
        <v>0.55080058873377646</v>
      </c>
      <c r="BQ148" s="785">
        <f t="shared" si="198"/>
        <v>0.80874633581021205</v>
      </c>
      <c r="BR148" s="785">
        <f t="shared" si="198"/>
        <v>0.8076395085455419</v>
      </c>
      <c r="BS148" s="735">
        <f>+BS19/SUM(BS19,BS47)</f>
        <v>0.65253012373696451</v>
      </c>
      <c r="BT148" s="785">
        <f t="shared" ref="BT148" si="199">+BT19/SUM(BT19,BT47)</f>
        <v>0.80913018335204268</v>
      </c>
      <c r="BU148" s="1045">
        <f t="shared" ref="BU148:BW149" si="200">+BT148</f>
        <v>0.80913018335204268</v>
      </c>
      <c r="BV148" s="1045">
        <f t="shared" si="200"/>
        <v>0.80913018335204268</v>
      </c>
      <c r="BW148" s="1045">
        <f t="shared" si="200"/>
        <v>0.80913018335204268</v>
      </c>
      <c r="BX148" s="735">
        <f>+BX19/SUM(BX19,BX47)</f>
        <v>0.80913018335204256</v>
      </c>
      <c r="BY148" s="1045">
        <f>+BW148</f>
        <v>0.80913018335204268</v>
      </c>
      <c r="BZ148" s="1045">
        <f t="shared" ref="BZ148:CB149" si="201">+BY148</f>
        <v>0.80913018335204268</v>
      </c>
      <c r="CA148" s="1045">
        <f t="shared" si="201"/>
        <v>0.80913018335204268</v>
      </c>
      <c r="CB148" s="1045">
        <f t="shared" si="201"/>
        <v>0.80913018335204268</v>
      </c>
      <c r="CC148" s="735">
        <f>+CC19/SUM(CC19,CC47)</f>
        <v>0.80913018335204256</v>
      </c>
      <c r="CD148" s="1045">
        <f>+CB148</f>
        <v>0.80913018335204268</v>
      </c>
      <c r="CE148" s="1045">
        <f t="shared" ref="CE148:CG149" si="202">+CD148</f>
        <v>0.80913018335204268</v>
      </c>
      <c r="CF148" s="1045">
        <f t="shared" si="202"/>
        <v>0.80913018335204268</v>
      </c>
      <c r="CG148" s="1045">
        <f t="shared" si="202"/>
        <v>0.80913018335204268</v>
      </c>
      <c r="CH148" s="735">
        <f>+CH19/SUM(CH19,CH47)</f>
        <v>0.80913018335204268</v>
      </c>
      <c r="CI148" s="1045">
        <f>+CG148</f>
        <v>0.80913018335204268</v>
      </c>
      <c r="CJ148" s="1045">
        <f t="shared" ref="CJ148:CL149" si="203">+CI148</f>
        <v>0.80913018335204268</v>
      </c>
      <c r="CK148" s="1045">
        <f t="shared" si="203"/>
        <v>0.80913018335204268</v>
      </c>
      <c r="CL148" s="1045">
        <f t="shared" si="203"/>
        <v>0.80913018335204268</v>
      </c>
      <c r="CM148" s="735">
        <f>+CM19/SUM(CM19,CM47)</f>
        <v>0.80913018335204268</v>
      </c>
      <c r="CN148" s="1045">
        <f>+CL148</f>
        <v>0.80913018335204268</v>
      </c>
      <c r="CO148" s="1045">
        <f t="shared" ref="CO148:CQ149" si="204">+CN148</f>
        <v>0.80913018335204268</v>
      </c>
      <c r="CP148" s="1045">
        <f t="shared" si="204"/>
        <v>0.80913018335204268</v>
      </c>
      <c r="CQ148" s="1045">
        <f t="shared" si="204"/>
        <v>0.80913018335204268</v>
      </c>
      <c r="CR148" s="735">
        <f>+CR19/SUM(CR19,CR47)</f>
        <v>0.80913018335204268</v>
      </c>
    </row>
    <row r="149" spans="1:99" ht="12" customHeight="1">
      <c r="A149" s="1058" t="s">
        <v>1018</v>
      </c>
      <c r="F149" s="1030"/>
      <c r="G149" s="734"/>
      <c r="H149" s="734"/>
      <c r="I149" s="734"/>
      <c r="J149" s="734"/>
      <c r="K149" s="771"/>
      <c r="L149" s="734"/>
      <c r="M149" s="734"/>
      <c r="N149" s="734"/>
      <c r="O149" s="734"/>
      <c r="P149" s="771"/>
      <c r="Q149" s="734"/>
      <c r="R149" s="734"/>
      <c r="S149" s="734"/>
      <c r="T149" s="734"/>
      <c r="U149" s="771"/>
      <c r="V149" s="734"/>
      <c r="W149" s="734"/>
      <c r="X149" s="734"/>
      <c r="Y149" s="734"/>
      <c r="Z149" s="784"/>
      <c r="AA149" s="773"/>
      <c r="AB149" s="773"/>
      <c r="AC149" s="773"/>
      <c r="AD149" s="773"/>
      <c r="AE149" s="771"/>
      <c r="AF149" s="785"/>
      <c r="AG149" s="785"/>
      <c r="AH149" s="785"/>
      <c r="AI149" s="785"/>
      <c r="AJ149" s="735"/>
      <c r="AK149" s="785"/>
      <c r="AL149" s="785"/>
      <c r="AM149" s="785"/>
      <c r="AN149" s="785"/>
      <c r="AO149" s="735">
        <f>1-AO148</f>
        <v>0.7060997500967936</v>
      </c>
      <c r="AP149" s="785">
        <f t="shared" ref="AP149:BR149" si="205">1-AP148</f>
        <v>0.63829787234042556</v>
      </c>
      <c r="AQ149" s="785">
        <f t="shared" si="205"/>
        <v>0.64516129032258063</v>
      </c>
      <c r="AR149" s="785">
        <f t="shared" si="205"/>
        <v>0.61203672220333338</v>
      </c>
      <c r="AS149" s="785">
        <f t="shared" si="205"/>
        <v>0.57400084733794665</v>
      </c>
      <c r="AT149" s="735">
        <f t="shared" si="205"/>
        <v>0.61438411589397468</v>
      </c>
      <c r="AU149" s="785">
        <f t="shared" si="205"/>
        <v>0.60357855717137154</v>
      </c>
      <c r="AV149" s="785">
        <f t="shared" si="205"/>
        <v>0.6306555173958488</v>
      </c>
      <c r="AW149" s="785">
        <f t="shared" si="205"/>
        <v>0.63085995819647656</v>
      </c>
      <c r="AX149" s="785">
        <f t="shared" si="205"/>
        <v>0.48820240043644303</v>
      </c>
      <c r="AY149" s="735">
        <f t="shared" si="205"/>
        <v>0.58620813957679974</v>
      </c>
      <c r="AZ149" s="785">
        <f t="shared" si="205"/>
        <v>0.24965777980574932</v>
      </c>
      <c r="BA149" s="785">
        <f t="shared" si="205"/>
        <v>0.22309678231849384</v>
      </c>
      <c r="BB149" s="785">
        <f t="shared" si="205"/>
        <v>0.43746910528917449</v>
      </c>
      <c r="BC149" s="785">
        <f t="shared" si="205"/>
        <v>0.43922036416015842</v>
      </c>
      <c r="BD149" s="735">
        <f t="shared" si="205"/>
        <v>0.38580547441306934</v>
      </c>
      <c r="BE149" s="785">
        <f t="shared" si="205"/>
        <v>0.46375656817986044</v>
      </c>
      <c r="BF149" s="785">
        <f t="shared" si="205"/>
        <v>0.46114194213516424</v>
      </c>
      <c r="BG149" s="785">
        <f t="shared" si="205"/>
        <v>0.44999661910879707</v>
      </c>
      <c r="BH149" s="785">
        <f t="shared" si="205"/>
        <v>0.45135814553625064</v>
      </c>
      <c r="BI149" s="735">
        <f t="shared" si="205"/>
        <v>0.45665947954980346</v>
      </c>
      <c r="BJ149" s="785">
        <f t="shared" si="205"/>
        <v>0.44970731489342686</v>
      </c>
      <c r="BK149" s="785">
        <f t="shared" si="205"/>
        <v>0.44736076614978415</v>
      </c>
      <c r="BL149" s="785">
        <f t="shared" si="205"/>
        <v>0.44870415209398262</v>
      </c>
      <c r="BM149" s="785">
        <f t="shared" si="205"/>
        <v>0.44926501751020498</v>
      </c>
      <c r="BN149" s="735">
        <f t="shared" si="205"/>
        <v>0.44876009033787256</v>
      </c>
      <c r="BO149" s="785">
        <f t="shared" si="205"/>
        <v>0.44896955608207789</v>
      </c>
      <c r="BP149" s="785">
        <f t="shared" si="205"/>
        <v>0.44919941126622354</v>
      </c>
      <c r="BQ149" s="785">
        <f t="shared" si="205"/>
        <v>0.19125366418978795</v>
      </c>
      <c r="BR149" s="785">
        <f t="shared" si="205"/>
        <v>0.1923604914544581</v>
      </c>
      <c r="BS149" s="735">
        <f>1-BS148</f>
        <v>0.34746987626303549</v>
      </c>
      <c r="BT149" s="785">
        <f t="shared" ref="BT149" si="206">1-BT148</f>
        <v>0.19086981664795732</v>
      </c>
      <c r="BU149" s="1045">
        <f t="shared" si="200"/>
        <v>0.19086981664795732</v>
      </c>
      <c r="BV149" s="1045">
        <f t="shared" si="200"/>
        <v>0.19086981664795732</v>
      </c>
      <c r="BW149" s="1045">
        <f t="shared" si="200"/>
        <v>0.19086981664795732</v>
      </c>
      <c r="BX149" s="735">
        <f>1-BX148</f>
        <v>0.19086981664795744</v>
      </c>
      <c r="BY149" s="1045">
        <f>+BW149</f>
        <v>0.19086981664795732</v>
      </c>
      <c r="BZ149" s="1045">
        <f t="shared" si="201"/>
        <v>0.19086981664795732</v>
      </c>
      <c r="CA149" s="1045">
        <f t="shared" si="201"/>
        <v>0.19086981664795732</v>
      </c>
      <c r="CB149" s="1045">
        <f t="shared" si="201"/>
        <v>0.19086981664795732</v>
      </c>
      <c r="CC149" s="735">
        <f>1-CC148</f>
        <v>0.19086981664795744</v>
      </c>
      <c r="CD149" s="1045">
        <f>+CB149</f>
        <v>0.19086981664795732</v>
      </c>
      <c r="CE149" s="1045">
        <f t="shared" si="202"/>
        <v>0.19086981664795732</v>
      </c>
      <c r="CF149" s="1045">
        <f t="shared" si="202"/>
        <v>0.19086981664795732</v>
      </c>
      <c r="CG149" s="1045">
        <f t="shared" si="202"/>
        <v>0.19086981664795732</v>
      </c>
      <c r="CH149" s="735">
        <f>1-CH148</f>
        <v>0.19086981664795732</v>
      </c>
      <c r="CI149" s="1045">
        <f>+CG149</f>
        <v>0.19086981664795732</v>
      </c>
      <c r="CJ149" s="1045">
        <f t="shared" si="203"/>
        <v>0.19086981664795732</v>
      </c>
      <c r="CK149" s="1045">
        <f t="shared" si="203"/>
        <v>0.19086981664795732</v>
      </c>
      <c r="CL149" s="1045">
        <f t="shared" si="203"/>
        <v>0.19086981664795732</v>
      </c>
      <c r="CM149" s="735">
        <f>1-CM148</f>
        <v>0.19086981664795732</v>
      </c>
      <c r="CN149" s="1045">
        <f>+CL149</f>
        <v>0.19086981664795732</v>
      </c>
      <c r="CO149" s="1045">
        <f t="shared" si="204"/>
        <v>0.19086981664795732</v>
      </c>
      <c r="CP149" s="1045">
        <f t="shared" si="204"/>
        <v>0.19086981664795732</v>
      </c>
      <c r="CQ149" s="1045">
        <f t="shared" si="204"/>
        <v>0.19086981664795732</v>
      </c>
      <c r="CR149" s="735">
        <f>1-CR148</f>
        <v>0.19086981664795732</v>
      </c>
    </row>
    <row r="150" spans="1:99" ht="12" customHeight="1">
      <c r="A150" s="1042" t="s">
        <v>1019</v>
      </c>
      <c r="F150" s="1030"/>
      <c r="G150" s="734"/>
      <c r="H150" s="734"/>
      <c r="I150" s="734"/>
      <c r="J150" s="734"/>
      <c r="K150" s="771"/>
      <c r="L150" s="734"/>
      <c r="M150" s="734"/>
      <c r="N150" s="734"/>
      <c r="O150" s="734"/>
      <c r="P150" s="771"/>
      <c r="Q150" s="734"/>
      <c r="R150" s="734"/>
      <c r="S150" s="734"/>
      <c r="T150" s="734"/>
      <c r="U150" s="771"/>
      <c r="V150" s="734"/>
      <c r="W150" s="734"/>
      <c r="X150" s="734"/>
      <c r="Y150" s="734"/>
      <c r="Z150" s="771"/>
      <c r="AA150" s="734"/>
      <c r="AB150" s="734"/>
      <c r="AC150" s="734"/>
      <c r="AD150" s="734"/>
      <c r="AE150" s="771"/>
      <c r="AF150" s="734"/>
      <c r="AG150" s="734"/>
      <c r="AH150" s="734"/>
      <c r="AI150" s="734"/>
      <c r="AJ150" s="771"/>
      <c r="AK150" s="734"/>
      <c r="AL150" s="734"/>
      <c r="AM150" s="734"/>
      <c r="AN150" s="734"/>
      <c r="AO150" s="771"/>
      <c r="AP150" s="734"/>
      <c r="AQ150" s="734"/>
      <c r="AR150" s="734"/>
      <c r="AS150" s="734"/>
      <c r="AT150" s="771"/>
      <c r="AU150" s="734"/>
      <c r="AV150" s="734"/>
      <c r="AW150" s="734"/>
      <c r="AX150" s="734"/>
      <c r="AY150" s="771"/>
      <c r="AZ150" s="734"/>
      <c r="BA150" s="734"/>
      <c r="BB150" s="734"/>
      <c r="BC150" s="734"/>
      <c r="BD150" s="771"/>
      <c r="BE150" s="734"/>
      <c r="BF150" s="734"/>
      <c r="BG150" s="734"/>
      <c r="BH150" s="734"/>
      <c r="BI150" s="771"/>
      <c r="BJ150" s="734"/>
      <c r="BK150" s="734"/>
      <c r="BL150" s="734"/>
      <c r="BM150" s="734"/>
      <c r="BN150" s="771"/>
      <c r="BO150" s="734"/>
      <c r="BP150" s="734"/>
      <c r="BQ150" s="734"/>
      <c r="BR150" s="734"/>
      <c r="BS150" s="771"/>
      <c r="BT150" s="734"/>
      <c r="BU150" s="734"/>
      <c r="BV150" s="734"/>
      <c r="BW150" s="734"/>
      <c r="BX150" s="771"/>
      <c r="BY150" s="734"/>
      <c r="BZ150" s="734"/>
      <c r="CA150" s="734"/>
      <c r="CB150" s="734"/>
      <c r="CC150" s="771"/>
      <c r="CD150" s="734"/>
      <c r="CE150" s="734"/>
      <c r="CF150" s="734"/>
      <c r="CG150" s="734"/>
      <c r="CH150" s="771"/>
      <c r="CI150" s="734"/>
      <c r="CJ150" s="734"/>
      <c r="CK150" s="734"/>
      <c r="CL150" s="734"/>
      <c r="CM150" s="771"/>
      <c r="CN150" s="734"/>
      <c r="CO150" s="734"/>
      <c r="CP150" s="734"/>
      <c r="CQ150" s="734"/>
      <c r="CR150" s="771"/>
    </row>
    <row r="151" spans="1:99" ht="12" customHeight="1">
      <c r="A151" s="1058" t="s">
        <v>1017</v>
      </c>
      <c r="F151" s="1030"/>
      <c r="G151" s="734"/>
      <c r="H151" s="734"/>
      <c r="I151" s="734"/>
      <c r="J151" s="734"/>
      <c r="K151" s="771"/>
      <c r="L151" s="734"/>
      <c r="M151" s="734"/>
      <c r="N151" s="734"/>
      <c r="O151" s="734"/>
      <c r="P151" s="771"/>
      <c r="Q151" s="734"/>
      <c r="R151" s="734"/>
      <c r="S151" s="734"/>
      <c r="T151" s="734"/>
      <c r="U151" s="771"/>
      <c r="V151" s="734"/>
      <c r="W151" s="734"/>
      <c r="X151" s="734"/>
      <c r="Y151" s="734"/>
      <c r="Z151" s="771"/>
      <c r="AA151" s="734"/>
      <c r="AB151" s="734"/>
      <c r="AC151" s="734"/>
      <c r="AD151" s="734"/>
      <c r="AE151" s="771"/>
      <c r="AF151" s="734"/>
      <c r="AG151" s="734"/>
      <c r="AH151" s="734"/>
      <c r="AI151" s="734"/>
      <c r="AJ151" s="771"/>
      <c r="AK151" s="734"/>
      <c r="AL151" s="734"/>
      <c r="AM151" s="734"/>
      <c r="AN151" s="734"/>
      <c r="AO151" s="771">
        <f>+AO24/AO$51</f>
        <v>5.2534900808229243E-2</v>
      </c>
      <c r="AP151" s="734">
        <f t="shared" ref="AP151:BR151" si="207">+AP24/AP$51</f>
        <v>0.15049999999999999</v>
      </c>
      <c r="AQ151" s="734">
        <f t="shared" si="207"/>
        <v>3.0099999999999998E-2</v>
      </c>
      <c r="AR151" s="734">
        <f t="shared" si="207"/>
        <v>0.10033333333333333</v>
      </c>
      <c r="AS151" s="734">
        <f t="shared" si="207"/>
        <v>7.2234221262299017E-2</v>
      </c>
      <c r="AT151" s="771">
        <f t="shared" si="207"/>
        <v>6.2816298846976565E-2</v>
      </c>
      <c r="AU151" s="734">
        <f t="shared" si="207"/>
        <v>7.4398249452954049E-2</v>
      </c>
      <c r="AV151" s="734">
        <f t="shared" si="207"/>
        <v>5.6974459724950889E-2</v>
      </c>
      <c r="AW151" s="734">
        <f t="shared" si="207"/>
        <v>9.945900957136912E-2</v>
      </c>
      <c r="AX151" s="734">
        <f t="shared" si="207"/>
        <v>9.731348491015876E-2</v>
      </c>
      <c r="AY151" s="771">
        <f t="shared" si="207"/>
        <v>9.4168004280363829E-2</v>
      </c>
      <c r="AZ151" s="734">
        <f t="shared" si="207"/>
        <v>0.13350020859407594</v>
      </c>
      <c r="BA151" s="734">
        <f t="shared" si="207"/>
        <v>8.2774931020890813E-2</v>
      </c>
      <c r="BB151" s="734">
        <f t="shared" si="207"/>
        <v>0.11969207847032533</v>
      </c>
      <c r="BC151" s="734">
        <f t="shared" si="207"/>
        <v>0.12092624356775303</v>
      </c>
      <c r="BD151" s="771">
        <f t="shared" si="207"/>
        <v>0.11458425573364033</v>
      </c>
      <c r="BE151" s="734">
        <f t="shared" si="207"/>
        <v>7.1740486587648158E-2</v>
      </c>
      <c r="BF151" s="734">
        <f t="shared" si="207"/>
        <v>1.7462165308498253E-2</v>
      </c>
      <c r="BG151" s="734">
        <f t="shared" si="207"/>
        <v>0.11298728371899106</v>
      </c>
      <c r="BH151" s="734">
        <f t="shared" si="207"/>
        <v>0.14064182640534137</v>
      </c>
      <c r="BI151" s="771">
        <f t="shared" si="207"/>
        <v>8.5112359550561803E-2</v>
      </c>
      <c r="BJ151" s="734">
        <f t="shared" si="207"/>
        <v>0.13834080717488789</v>
      </c>
      <c r="BK151" s="734">
        <f t="shared" si="207"/>
        <v>0.15289533790138385</v>
      </c>
      <c r="BL151" s="734">
        <f t="shared" si="207"/>
        <v>0.19076158456366027</v>
      </c>
      <c r="BM151" s="734">
        <f t="shared" si="207"/>
        <v>0.14378775316830514</v>
      </c>
      <c r="BN151" s="771">
        <f t="shared" si="207"/>
        <v>0.15720748887335859</v>
      </c>
      <c r="BO151" s="734">
        <f t="shared" si="207"/>
        <v>0.1022312717400526</v>
      </c>
      <c r="BP151" s="734">
        <f t="shared" si="207"/>
        <v>0.13944130619825115</v>
      </c>
      <c r="BQ151" s="734">
        <f t="shared" si="207"/>
        <v>0.14440710513682192</v>
      </c>
      <c r="BR151" s="734">
        <f t="shared" si="207"/>
        <v>0.11868578767123288</v>
      </c>
      <c r="BS151" s="771">
        <f>+BS24/BS$51</f>
        <v>0.12638017495333828</v>
      </c>
      <c r="BT151" s="734">
        <f t="shared" ref="BT151" si="208">+BT24/BT$51</f>
        <v>0.14665363078837437</v>
      </c>
      <c r="BU151" s="1045">
        <f t="shared" ref="BU151:BW153" si="209">+BT151</f>
        <v>0.14665363078837437</v>
      </c>
      <c r="BV151" s="1045">
        <f t="shared" si="209"/>
        <v>0.14665363078837437</v>
      </c>
      <c r="BW151" s="1045">
        <f t="shared" si="209"/>
        <v>0.14665363078837437</v>
      </c>
      <c r="BX151" s="771">
        <f>+BX24/BX$51</f>
        <v>0.1466536307883744</v>
      </c>
      <c r="BY151" s="1045">
        <f>+BW151</f>
        <v>0.14665363078837437</v>
      </c>
      <c r="BZ151" s="1045">
        <f t="shared" ref="BZ151:CB153" si="210">+BY151</f>
        <v>0.14665363078837437</v>
      </c>
      <c r="CA151" s="1045">
        <f t="shared" si="210"/>
        <v>0.14665363078837437</v>
      </c>
      <c r="CB151" s="1045">
        <f t="shared" si="210"/>
        <v>0.14665363078837437</v>
      </c>
      <c r="CC151" s="771">
        <f>+CC24/CC$51</f>
        <v>0.14665363078837437</v>
      </c>
      <c r="CD151" s="1045">
        <f>+CB151</f>
        <v>0.14665363078837437</v>
      </c>
      <c r="CE151" s="1045">
        <f t="shared" ref="CE151:CG153" si="211">+CD151</f>
        <v>0.14665363078837437</v>
      </c>
      <c r="CF151" s="1045">
        <f t="shared" si="211"/>
        <v>0.14665363078837437</v>
      </c>
      <c r="CG151" s="1045">
        <f t="shared" si="211"/>
        <v>0.14665363078837437</v>
      </c>
      <c r="CH151" s="771">
        <f>+CH24/CH$51</f>
        <v>0.14665363078837437</v>
      </c>
      <c r="CI151" s="1045">
        <f>+CG151</f>
        <v>0.14665363078837437</v>
      </c>
      <c r="CJ151" s="1045">
        <f t="shared" ref="CJ151:CL153" si="212">+CI151</f>
        <v>0.14665363078837437</v>
      </c>
      <c r="CK151" s="1045">
        <f t="shared" si="212"/>
        <v>0.14665363078837437</v>
      </c>
      <c r="CL151" s="1045">
        <f t="shared" si="212"/>
        <v>0.14665363078837437</v>
      </c>
      <c r="CM151" s="771">
        <f>+CM24/CM$51</f>
        <v>0.14665363078837437</v>
      </c>
      <c r="CN151" s="1045">
        <f>+CL151</f>
        <v>0.14665363078837437</v>
      </c>
      <c r="CO151" s="1045">
        <f t="shared" ref="CO151:CQ153" si="213">+CN151</f>
        <v>0.14665363078837437</v>
      </c>
      <c r="CP151" s="1045">
        <f t="shared" si="213"/>
        <v>0.14665363078837437</v>
      </c>
      <c r="CQ151" s="1045">
        <f t="shared" si="213"/>
        <v>0.14665363078837437</v>
      </c>
      <c r="CR151" s="771">
        <f>+CR24/CR$51</f>
        <v>0.14665363078837437</v>
      </c>
    </row>
    <row r="152" spans="1:99" ht="12" customHeight="1">
      <c r="A152" s="1058" t="str">
        <f>+A157</f>
        <v xml:space="preserve">Research and development </v>
      </c>
      <c r="F152" s="1030"/>
      <c r="G152" s="734"/>
      <c r="H152" s="734"/>
      <c r="I152" s="734"/>
      <c r="J152" s="734"/>
      <c r="K152" s="771"/>
      <c r="L152" s="734"/>
      <c r="M152" s="734"/>
      <c r="N152" s="734"/>
      <c r="O152" s="734"/>
      <c r="P152" s="771"/>
      <c r="Q152" s="734"/>
      <c r="R152" s="734"/>
      <c r="S152" s="734"/>
      <c r="T152" s="734"/>
      <c r="U152" s="771"/>
      <c r="V152" s="734"/>
      <c r="W152" s="734"/>
      <c r="X152" s="734"/>
      <c r="Y152" s="734"/>
      <c r="Z152" s="771"/>
      <c r="AA152" s="734"/>
      <c r="AB152" s="734"/>
      <c r="AC152" s="734"/>
      <c r="AD152" s="734"/>
      <c r="AE152" s="771"/>
      <c r="AF152" s="734"/>
      <c r="AG152" s="734"/>
      <c r="AH152" s="734"/>
      <c r="AI152" s="734"/>
      <c r="AJ152" s="771"/>
      <c r="AK152" s="734"/>
      <c r="AL152" s="734"/>
      <c r="AM152" s="734"/>
      <c r="AN152" s="734"/>
      <c r="AO152" s="771">
        <f>+AO31/AO$51</f>
        <v>5.3881949546901786E-2</v>
      </c>
      <c r="AP152" s="734">
        <f t="shared" ref="AP152:BR152" si="214">+AP31/AP$51</f>
        <v>0</v>
      </c>
      <c r="AQ152" s="734">
        <f t="shared" si="214"/>
        <v>0</v>
      </c>
      <c r="AR152" s="734">
        <f t="shared" si="214"/>
        <v>0</v>
      </c>
      <c r="AS152" s="734">
        <f t="shared" si="214"/>
        <v>0</v>
      </c>
      <c r="AT152" s="771">
        <f t="shared" si="214"/>
        <v>0</v>
      </c>
      <c r="AU152" s="734">
        <f t="shared" si="214"/>
        <v>7.3960612691466088E-2</v>
      </c>
      <c r="AV152" s="734">
        <f t="shared" si="214"/>
        <v>6.0412573673870332E-2</v>
      </c>
      <c r="AW152" s="734">
        <f t="shared" si="214"/>
        <v>0.11027881814398668</v>
      </c>
      <c r="AX152" s="734">
        <f t="shared" si="214"/>
        <v>0.15020061638657906</v>
      </c>
      <c r="AY152" s="771">
        <f t="shared" si="214"/>
        <v>0.13918478525220096</v>
      </c>
      <c r="AZ152" s="734">
        <f t="shared" si="214"/>
        <v>0.16687526074259493</v>
      </c>
      <c r="BA152" s="734">
        <f t="shared" si="214"/>
        <v>0.15766653527788729</v>
      </c>
      <c r="BB152" s="734">
        <f t="shared" si="214"/>
        <v>0.17382666997765087</v>
      </c>
      <c r="BC152" s="734">
        <f t="shared" si="214"/>
        <v>0.25728987993138935</v>
      </c>
      <c r="BD152" s="771">
        <f t="shared" si="214"/>
        <v>0.18595590188612418</v>
      </c>
      <c r="BE152" s="734">
        <f t="shared" si="214"/>
        <v>0.15595757953836556</v>
      </c>
      <c r="BF152" s="734">
        <f t="shared" si="214"/>
        <v>0.15521924718665114</v>
      </c>
      <c r="BG152" s="734">
        <f t="shared" si="214"/>
        <v>0.18761726078799251</v>
      </c>
      <c r="BH152" s="734">
        <f t="shared" si="214"/>
        <v>0.21537798836958869</v>
      </c>
      <c r="BI152" s="771">
        <f t="shared" si="214"/>
        <v>0.17977528089887646</v>
      </c>
      <c r="BJ152" s="734">
        <f t="shared" si="214"/>
        <v>0.22421524663677131</v>
      </c>
      <c r="BK152" s="734">
        <f t="shared" si="214"/>
        <v>0.21496708316539032</v>
      </c>
      <c r="BL152" s="734">
        <f t="shared" si="214"/>
        <v>0.24850168104078349</v>
      </c>
      <c r="BM152" s="734">
        <f t="shared" si="214"/>
        <v>0.17766196849461088</v>
      </c>
      <c r="BN152" s="771">
        <f t="shared" si="214"/>
        <v>0.21333725677713611</v>
      </c>
      <c r="BO152" s="734">
        <f t="shared" si="214"/>
        <v>0.16119453635360989</v>
      </c>
      <c r="BP152" s="734">
        <f t="shared" si="214"/>
        <v>0.19345353246150271</v>
      </c>
      <c r="BQ152" s="734">
        <f t="shared" si="214"/>
        <v>0.10561689870379264</v>
      </c>
      <c r="BR152" s="734">
        <f t="shared" si="214"/>
        <v>0.12842465753424659</v>
      </c>
      <c r="BS152" s="771">
        <f>+BS31/BS$51</f>
        <v>0.15066675661696913</v>
      </c>
      <c r="BT152" s="734">
        <f t="shared" ref="BT152" si="215">+BT31/BT$51</f>
        <v>0.12443338369922673</v>
      </c>
      <c r="BU152" s="1045">
        <f t="shared" si="209"/>
        <v>0.12443338369922673</v>
      </c>
      <c r="BV152" s="1045">
        <f t="shared" si="209"/>
        <v>0.12443338369922673</v>
      </c>
      <c r="BW152" s="1045">
        <f t="shared" si="209"/>
        <v>0.12443338369922673</v>
      </c>
      <c r="BX152" s="771">
        <f>+BX31/BX$51</f>
        <v>0.12443338369922674</v>
      </c>
      <c r="BY152" s="1045">
        <f>+BW152</f>
        <v>0.12443338369922673</v>
      </c>
      <c r="BZ152" s="1045">
        <f t="shared" si="210"/>
        <v>0.12443338369922673</v>
      </c>
      <c r="CA152" s="1045">
        <f t="shared" si="210"/>
        <v>0.12443338369922673</v>
      </c>
      <c r="CB152" s="1045">
        <f t="shared" si="210"/>
        <v>0.12443338369922673</v>
      </c>
      <c r="CC152" s="771">
        <f>+CC31/CC$51</f>
        <v>0.12443338369922674</v>
      </c>
      <c r="CD152" s="1045">
        <f>+CB152</f>
        <v>0.12443338369922673</v>
      </c>
      <c r="CE152" s="1045">
        <f t="shared" si="211"/>
        <v>0.12443338369922673</v>
      </c>
      <c r="CF152" s="1045">
        <f t="shared" si="211"/>
        <v>0.12443338369922673</v>
      </c>
      <c r="CG152" s="1045">
        <f t="shared" si="211"/>
        <v>0.12443338369922673</v>
      </c>
      <c r="CH152" s="771">
        <f>+CH31/CH$51</f>
        <v>0.12443338369922671</v>
      </c>
      <c r="CI152" s="1045">
        <f>+CG152</f>
        <v>0.12443338369922673</v>
      </c>
      <c r="CJ152" s="1045">
        <f t="shared" si="212"/>
        <v>0.12443338369922673</v>
      </c>
      <c r="CK152" s="1045">
        <f t="shared" si="212"/>
        <v>0.12443338369922673</v>
      </c>
      <c r="CL152" s="1045">
        <f t="shared" si="212"/>
        <v>0.12443338369922673</v>
      </c>
      <c r="CM152" s="771">
        <f>+CM31/CM$51</f>
        <v>0.12443338369922673</v>
      </c>
      <c r="CN152" s="1045">
        <f>+CL152</f>
        <v>0.12443338369922673</v>
      </c>
      <c r="CO152" s="1045">
        <f t="shared" si="213"/>
        <v>0.12443338369922673</v>
      </c>
      <c r="CP152" s="1045">
        <f t="shared" si="213"/>
        <v>0.12443338369922673</v>
      </c>
      <c r="CQ152" s="1045">
        <f t="shared" si="213"/>
        <v>0.12443338369922673</v>
      </c>
      <c r="CR152" s="771">
        <f>+CR31/CR$51</f>
        <v>0.12443338369922673</v>
      </c>
    </row>
    <row r="153" spans="1:99" ht="12" customHeight="1">
      <c r="A153" s="1058" t="str">
        <f>+A158</f>
        <v>Sales and marketing</v>
      </c>
      <c r="F153" s="1030"/>
      <c r="G153" s="734"/>
      <c r="H153" s="734"/>
      <c r="I153" s="734"/>
      <c r="J153" s="734"/>
      <c r="K153" s="771"/>
      <c r="L153" s="734"/>
      <c r="M153" s="734"/>
      <c r="N153" s="734"/>
      <c r="O153" s="734"/>
      <c r="P153" s="771"/>
      <c r="Q153" s="734"/>
      <c r="R153" s="734"/>
      <c r="S153" s="734"/>
      <c r="T153" s="734"/>
      <c r="U153" s="771"/>
      <c r="V153" s="734"/>
      <c r="W153" s="734"/>
      <c r="X153" s="734"/>
      <c r="Y153" s="734"/>
      <c r="Z153" s="771"/>
      <c r="AA153" s="734"/>
      <c r="AB153" s="734"/>
      <c r="AC153" s="734"/>
      <c r="AD153" s="734"/>
      <c r="AE153" s="771"/>
      <c r="AF153" s="734"/>
      <c r="AG153" s="734"/>
      <c r="AH153" s="734"/>
      <c r="AI153" s="734"/>
      <c r="AJ153" s="771"/>
      <c r="AK153" s="734"/>
      <c r="AL153" s="734"/>
      <c r="AM153" s="734"/>
      <c r="AN153" s="734"/>
      <c r="AO153" s="771">
        <f>+AO37/AO$51</f>
        <v>0.12650012245897624</v>
      </c>
      <c r="AP153" s="734">
        <f t="shared" ref="AP153:BR153" si="216">+AP37/AP$51</f>
        <v>0</v>
      </c>
      <c r="AQ153" s="734">
        <f t="shared" si="216"/>
        <v>0</v>
      </c>
      <c r="AR153" s="734">
        <f t="shared" si="216"/>
        <v>0</v>
      </c>
      <c r="AS153" s="734">
        <f t="shared" si="216"/>
        <v>0</v>
      </c>
      <c r="AT153" s="771">
        <f t="shared" si="216"/>
        <v>0</v>
      </c>
      <c r="AU153" s="734">
        <f t="shared" si="216"/>
        <v>8.3588621444201303E-2</v>
      </c>
      <c r="AV153" s="734">
        <f t="shared" si="216"/>
        <v>9.0864440078585462E-2</v>
      </c>
      <c r="AW153" s="734">
        <f t="shared" si="216"/>
        <v>0.10611735330836454</v>
      </c>
      <c r="AX153" s="734">
        <f t="shared" si="216"/>
        <v>0.15008431703204048</v>
      </c>
      <c r="AY153" s="771">
        <f t="shared" si="216"/>
        <v>0.1408872026849555</v>
      </c>
      <c r="AZ153" s="734">
        <f t="shared" si="216"/>
        <v>0.1877346683354193</v>
      </c>
      <c r="BA153" s="734">
        <f t="shared" si="216"/>
        <v>0.17737485218762319</v>
      </c>
      <c r="BB153" s="734">
        <f t="shared" si="216"/>
        <v>0.17382666997765087</v>
      </c>
      <c r="BC153" s="734">
        <f t="shared" si="216"/>
        <v>8.5763293310463132E-2</v>
      </c>
      <c r="BD153" s="771">
        <f t="shared" si="216"/>
        <v>0.15939077304524929</v>
      </c>
      <c r="BE153" s="734">
        <f t="shared" si="216"/>
        <v>0.24953212726138493</v>
      </c>
      <c r="BF153" s="734">
        <f t="shared" si="216"/>
        <v>0.17462165308498254</v>
      </c>
      <c r="BG153" s="734">
        <f t="shared" si="216"/>
        <v>0.18761726078799251</v>
      </c>
      <c r="BH153" s="734">
        <f t="shared" si="216"/>
        <v>0.17230239069567096</v>
      </c>
      <c r="BI153" s="771">
        <f t="shared" si="216"/>
        <v>0.19101123595505623</v>
      </c>
      <c r="BJ153" s="734">
        <f t="shared" si="216"/>
        <v>0.11210762331838565</v>
      </c>
      <c r="BK153" s="734">
        <f t="shared" si="216"/>
        <v>0.18809619776971651</v>
      </c>
      <c r="BL153" s="734">
        <f t="shared" si="216"/>
        <v>0.23388393509720801</v>
      </c>
      <c r="BM153" s="734">
        <f t="shared" si="216"/>
        <v>0.26057088712542931</v>
      </c>
      <c r="BN153" s="771">
        <f t="shared" si="216"/>
        <v>0.2096590282120131</v>
      </c>
      <c r="BO153" s="734">
        <f t="shared" si="216"/>
        <v>0.13574276745567149</v>
      </c>
      <c r="BP153" s="734">
        <f t="shared" si="216"/>
        <v>0.17797724986458249</v>
      </c>
      <c r="BQ153" s="734">
        <f t="shared" si="216"/>
        <v>0.16322611617858862</v>
      </c>
      <c r="BR153" s="734">
        <f t="shared" si="216"/>
        <v>0.11772260273972604</v>
      </c>
      <c r="BS153" s="771">
        <f>+BS37/BS$51</f>
        <v>0.1506667566169691</v>
      </c>
      <c r="BT153" s="734">
        <f t="shared" ref="BT153" si="217">+BT37/BT$51</f>
        <v>0.22220247089147632</v>
      </c>
      <c r="BU153" s="1045">
        <f t="shared" si="209"/>
        <v>0.22220247089147632</v>
      </c>
      <c r="BV153" s="1045">
        <f t="shared" si="209"/>
        <v>0.22220247089147632</v>
      </c>
      <c r="BW153" s="1045">
        <f t="shared" si="209"/>
        <v>0.22220247089147632</v>
      </c>
      <c r="BX153" s="771">
        <f>+BX37/BX$51</f>
        <v>0.22220247089147635</v>
      </c>
      <c r="BY153" s="1045">
        <f>+BW153</f>
        <v>0.22220247089147632</v>
      </c>
      <c r="BZ153" s="1045">
        <f t="shared" si="210"/>
        <v>0.22220247089147632</v>
      </c>
      <c r="CA153" s="1045">
        <f t="shared" si="210"/>
        <v>0.22220247089147632</v>
      </c>
      <c r="CB153" s="1045">
        <f t="shared" si="210"/>
        <v>0.22220247089147632</v>
      </c>
      <c r="CC153" s="771">
        <f>+CC37/CC$51</f>
        <v>0.22220247089147638</v>
      </c>
      <c r="CD153" s="1045">
        <f>+CB153</f>
        <v>0.22220247089147632</v>
      </c>
      <c r="CE153" s="1045">
        <f t="shared" si="211"/>
        <v>0.22220247089147632</v>
      </c>
      <c r="CF153" s="1045">
        <f t="shared" si="211"/>
        <v>0.22220247089147632</v>
      </c>
      <c r="CG153" s="1045">
        <f t="shared" si="211"/>
        <v>0.22220247089147632</v>
      </c>
      <c r="CH153" s="771">
        <f>+CH37/CH$51</f>
        <v>0.22220247089147627</v>
      </c>
      <c r="CI153" s="1045">
        <f>+CG153</f>
        <v>0.22220247089147632</v>
      </c>
      <c r="CJ153" s="1045">
        <f t="shared" si="212"/>
        <v>0.22220247089147632</v>
      </c>
      <c r="CK153" s="1045">
        <f t="shared" si="212"/>
        <v>0.22220247089147632</v>
      </c>
      <c r="CL153" s="1045">
        <f t="shared" si="212"/>
        <v>0.22220247089147632</v>
      </c>
      <c r="CM153" s="771">
        <f>+CM37/CM$51</f>
        <v>0.22220247089147629</v>
      </c>
      <c r="CN153" s="1045">
        <f>+CL153</f>
        <v>0.22220247089147632</v>
      </c>
      <c r="CO153" s="1045">
        <f t="shared" si="213"/>
        <v>0.22220247089147632</v>
      </c>
      <c r="CP153" s="1045">
        <f t="shared" si="213"/>
        <v>0.22220247089147632</v>
      </c>
      <c r="CQ153" s="1045">
        <f t="shared" si="213"/>
        <v>0.22220247089147632</v>
      </c>
      <c r="CR153" s="771">
        <f>+CR37/CR$51</f>
        <v>0.22220247089147632</v>
      </c>
    </row>
    <row r="154" spans="1:99" ht="12" customHeight="1">
      <c r="A154" s="1058" t="str">
        <f>+A159</f>
        <v>General and administrative</v>
      </c>
      <c r="F154" s="1030"/>
      <c r="G154" s="734"/>
      <c r="H154" s="734"/>
      <c r="I154" s="734"/>
      <c r="J154" s="734"/>
      <c r="K154" s="771"/>
      <c r="L154" s="734"/>
      <c r="M154" s="734"/>
      <c r="N154" s="734"/>
      <c r="O154" s="734"/>
      <c r="P154" s="771"/>
      <c r="Q154" s="734"/>
      <c r="R154" s="734"/>
      <c r="S154" s="734"/>
      <c r="T154" s="734"/>
      <c r="U154" s="771"/>
      <c r="V154" s="734"/>
      <c r="W154" s="734"/>
      <c r="X154" s="734"/>
      <c r="Y154" s="734"/>
      <c r="Z154" s="771"/>
      <c r="AA154" s="734"/>
      <c r="AB154" s="734"/>
      <c r="AC154" s="734"/>
      <c r="AD154" s="734"/>
      <c r="AE154" s="771"/>
      <c r="AF154" s="734"/>
      <c r="AG154" s="734"/>
      <c r="AH154" s="734"/>
      <c r="AI154" s="734"/>
      <c r="AJ154" s="771"/>
      <c r="AK154" s="734"/>
      <c r="AL154" s="734"/>
      <c r="AM154" s="734"/>
      <c r="AN154" s="734"/>
      <c r="AO154" s="771">
        <f>+AO43/AO$51</f>
        <v>0.76708302718589272</v>
      </c>
      <c r="AP154" s="734">
        <f t="shared" ref="AP154:BR154" si="218">+AP43/AP$51</f>
        <v>0.84950000000000003</v>
      </c>
      <c r="AQ154" s="734">
        <f t="shared" si="218"/>
        <v>0.96989999999999998</v>
      </c>
      <c r="AR154" s="734">
        <f t="shared" si="218"/>
        <v>0.89966666666666661</v>
      </c>
      <c r="AS154" s="734">
        <f t="shared" si="218"/>
        <v>0.92776577873770094</v>
      </c>
      <c r="AT154" s="771">
        <f t="shared" si="218"/>
        <v>0.93718370115302341</v>
      </c>
      <c r="AU154" s="734">
        <f t="shared" si="218"/>
        <v>0.76805251641137851</v>
      </c>
      <c r="AV154" s="734">
        <f t="shared" si="218"/>
        <v>0.7917485265225932</v>
      </c>
      <c r="AW154" s="734">
        <f t="shared" si="218"/>
        <v>0.68414481897627966</v>
      </c>
      <c r="AX154" s="734">
        <f t="shared" si="218"/>
        <v>0.60240158167122182</v>
      </c>
      <c r="AY154" s="771">
        <f t="shared" si="218"/>
        <v>0.62576000778247964</v>
      </c>
      <c r="AZ154" s="734">
        <f t="shared" si="218"/>
        <v>0.51188986232790989</v>
      </c>
      <c r="BA154" s="734">
        <f t="shared" si="218"/>
        <v>0.58218368151359867</v>
      </c>
      <c r="BB154" s="734">
        <f t="shared" si="218"/>
        <v>0.53265458157437295</v>
      </c>
      <c r="BC154" s="734">
        <f t="shared" si="218"/>
        <v>0.53602058319039458</v>
      </c>
      <c r="BD154" s="771">
        <f t="shared" si="218"/>
        <v>0.54006906933498622</v>
      </c>
      <c r="BE154" s="734">
        <f t="shared" si="218"/>
        <v>0.52276980661260142</v>
      </c>
      <c r="BF154" s="734">
        <f t="shared" si="218"/>
        <v>0.65269693441986809</v>
      </c>
      <c r="BG154" s="734">
        <f t="shared" si="218"/>
        <v>0.51177819470502406</v>
      </c>
      <c r="BH154" s="734">
        <f t="shared" si="218"/>
        <v>0.47167779452939912</v>
      </c>
      <c r="BI154" s="771">
        <f t="shared" si="218"/>
        <v>0.54410112359550566</v>
      </c>
      <c r="BJ154" s="734">
        <f t="shared" si="218"/>
        <v>0.52533632286995513</v>
      </c>
      <c r="BK154" s="734">
        <f t="shared" si="218"/>
        <v>0.44404138116350927</v>
      </c>
      <c r="BL154" s="734">
        <f t="shared" si="218"/>
        <v>0.32685279929834826</v>
      </c>
      <c r="BM154" s="734">
        <f t="shared" si="218"/>
        <v>0.41797939121165478</v>
      </c>
      <c r="BN154" s="771">
        <f t="shared" si="218"/>
        <v>0.41979622613749223</v>
      </c>
      <c r="BO154" s="734">
        <f t="shared" si="218"/>
        <v>0.60083142445066606</v>
      </c>
      <c r="BP154" s="734">
        <f t="shared" si="218"/>
        <v>0.48912791147566359</v>
      </c>
      <c r="BQ154" s="734">
        <f t="shared" si="218"/>
        <v>0.58674987998079697</v>
      </c>
      <c r="BR154" s="734">
        <f t="shared" si="218"/>
        <v>0.63516695205479456</v>
      </c>
      <c r="BS154" s="771">
        <f>+BS43/BS$51</f>
        <v>0.57228631181272349</v>
      </c>
      <c r="BT154" s="734">
        <f t="shared" ref="BT154" si="219">+BT43/BT$51</f>
        <v>0.50671051462092254</v>
      </c>
      <c r="BU154" s="734">
        <f>1-SUM(BU151:BU153)</f>
        <v>0.50671051462092254</v>
      </c>
      <c r="BV154" s="734">
        <f>1-SUM(BV151:BV153)</f>
        <v>0.50671051462092254</v>
      </c>
      <c r="BW154" s="734">
        <f>1-SUM(BW151:BW153)</f>
        <v>0.50671051462092254</v>
      </c>
      <c r="BX154" s="771">
        <f>+BX43/BX$51</f>
        <v>0.50671051462092254</v>
      </c>
      <c r="BY154" s="734">
        <f>1-SUM(BY151:BY153)</f>
        <v>0.50671051462092254</v>
      </c>
      <c r="BZ154" s="734">
        <f>1-SUM(BZ151:BZ153)</f>
        <v>0.50671051462092254</v>
      </c>
      <c r="CA154" s="734">
        <f>1-SUM(CA151:CA153)</f>
        <v>0.50671051462092254</v>
      </c>
      <c r="CB154" s="734">
        <f>1-SUM(CB151:CB153)</f>
        <v>0.50671051462092254</v>
      </c>
      <c r="CC154" s="771">
        <f>+CC43/CC$51</f>
        <v>0.50671051462092254</v>
      </c>
      <c r="CD154" s="734">
        <f>1-SUM(CD151:CD153)</f>
        <v>0.50671051462092254</v>
      </c>
      <c r="CE154" s="734">
        <f>1-SUM(CE151:CE153)</f>
        <v>0.50671051462092254</v>
      </c>
      <c r="CF154" s="734">
        <f>1-SUM(CF151:CF153)</f>
        <v>0.50671051462092254</v>
      </c>
      <c r="CG154" s="734">
        <f>1-SUM(CG151:CG153)</f>
        <v>0.50671051462092254</v>
      </c>
      <c r="CH154" s="771">
        <f>+CH43/CH$51</f>
        <v>0.50671051462092254</v>
      </c>
      <c r="CI154" s="734">
        <f>1-SUM(CI151:CI153)</f>
        <v>0.50671051462092254</v>
      </c>
      <c r="CJ154" s="734">
        <f>1-SUM(CJ151:CJ153)</f>
        <v>0.50671051462092254</v>
      </c>
      <c r="CK154" s="734">
        <f>1-SUM(CK151:CK153)</f>
        <v>0.50671051462092254</v>
      </c>
      <c r="CL154" s="734">
        <f>1-SUM(CL151:CL153)</f>
        <v>0.50671051462092254</v>
      </c>
      <c r="CM154" s="771">
        <f>+CM43/CM$51</f>
        <v>0.50671051462092254</v>
      </c>
      <c r="CN154" s="734">
        <f>1-SUM(CN151:CN153)</f>
        <v>0.50671051462092254</v>
      </c>
      <c r="CO154" s="734">
        <f>1-SUM(CO151:CO153)</f>
        <v>0.50671051462092254</v>
      </c>
      <c r="CP154" s="734">
        <f>1-SUM(CP151:CP153)</f>
        <v>0.50671051462092254</v>
      </c>
      <c r="CQ154" s="734">
        <f>1-SUM(CQ151:CQ153)</f>
        <v>0.50671051462092254</v>
      </c>
      <c r="CR154" s="771">
        <f>+CR43/CR$51</f>
        <v>0.50671051462092254</v>
      </c>
      <c r="CT154" s="1054"/>
      <c r="CU154" s="1054"/>
    </row>
    <row r="155" spans="1:99" ht="12" customHeight="1">
      <c r="A155" s="1042" t="s">
        <v>713</v>
      </c>
      <c r="F155" s="1030"/>
      <c r="G155" s="734"/>
      <c r="H155" s="734"/>
      <c r="I155" s="734"/>
      <c r="J155" s="734"/>
      <c r="K155" s="771"/>
      <c r="L155" s="734"/>
      <c r="M155" s="734"/>
      <c r="N155" s="734"/>
      <c r="O155" s="734"/>
      <c r="P155" s="771"/>
      <c r="Q155" s="734"/>
      <c r="R155" s="734"/>
      <c r="S155" s="734"/>
      <c r="T155" s="734"/>
      <c r="U155" s="771"/>
      <c r="V155" s="734"/>
      <c r="W155" s="734"/>
      <c r="X155" s="734"/>
      <c r="Y155" s="734"/>
      <c r="Z155" s="771"/>
      <c r="AA155" s="734"/>
      <c r="AB155" s="734"/>
      <c r="AC155" s="734"/>
      <c r="AD155" s="734"/>
      <c r="AE155" s="771"/>
      <c r="AF155" s="734"/>
      <c r="AG155" s="734"/>
      <c r="AH155" s="734"/>
      <c r="AI155" s="734"/>
      <c r="AJ155" s="771"/>
      <c r="AK155" s="734"/>
      <c r="AL155" s="734"/>
      <c r="AM155" s="734"/>
      <c r="AN155" s="734"/>
      <c r="AO155" s="771"/>
      <c r="AP155" s="734"/>
      <c r="AQ155" s="734"/>
      <c r="AR155" s="734"/>
      <c r="AS155" s="734"/>
      <c r="AT155" s="771"/>
      <c r="AU155" s="734"/>
      <c r="AV155" s="734"/>
      <c r="AW155" s="734"/>
      <c r="AX155" s="734"/>
      <c r="AY155" s="771"/>
      <c r="AZ155" s="734"/>
      <c r="BA155" s="734"/>
      <c r="BB155" s="734"/>
      <c r="BC155" s="734"/>
      <c r="BD155" s="771"/>
      <c r="BE155" s="734"/>
      <c r="BF155" s="734"/>
      <c r="BG155" s="734"/>
      <c r="BH155" s="734"/>
      <c r="BI155" s="771"/>
      <c r="BJ155" s="734"/>
      <c r="BK155" s="734"/>
      <c r="BL155" s="734"/>
      <c r="BM155" s="734"/>
      <c r="BN155" s="771"/>
      <c r="BO155" s="734"/>
      <c r="BP155" s="734"/>
      <c r="BQ155" s="734"/>
      <c r="BR155" s="734"/>
      <c r="BS155" s="771"/>
      <c r="BT155" s="734"/>
      <c r="BU155" s="734"/>
      <c r="BV155" s="734"/>
      <c r="BW155" s="734"/>
      <c r="BX155" s="771"/>
      <c r="BY155" s="734"/>
      <c r="BZ155" s="734"/>
      <c r="CA155" s="734"/>
      <c r="CB155" s="734"/>
      <c r="CC155" s="771"/>
      <c r="CD155" s="734"/>
      <c r="CE155" s="734"/>
      <c r="CF155" s="734"/>
      <c r="CG155" s="734"/>
      <c r="CH155" s="771"/>
      <c r="CI155" s="734"/>
      <c r="CJ155" s="734"/>
      <c r="CK155" s="734"/>
      <c r="CL155" s="734"/>
      <c r="CM155" s="771"/>
      <c r="CN155" s="734"/>
      <c r="CO155" s="734"/>
      <c r="CP155" s="734"/>
      <c r="CQ155" s="734"/>
      <c r="CR155" s="771"/>
    </row>
    <row r="156" spans="1:99" ht="14.25">
      <c r="A156" s="1058" t="s">
        <v>1017</v>
      </c>
      <c r="F156" s="1030"/>
      <c r="G156" s="734"/>
      <c r="H156" s="734"/>
      <c r="I156" s="734"/>
      <c r="J156" s="734"/>
      <c r="K156" s="771"/>
      <c r="L156" s="734"/>
      <c r="M156" s="734"/>
      <c r="N156" s="734"/>
      <c r="O156" s="734"/>
      <c r="P156" s="771"/>
      <c r="Q156" s="734"/>
      <c r="R156" s="734"/>
      <c r="S156" s="734"/>
      <c r="T156" s="734"/>
      <c r="U156" s="771"/>
      <c r="V156" s="734"/>
      <c r="W156" s="734"/>
      <c r="X156" s="734"/>
      <c r="Y156" s="734"/>
      <c r="Z156" s="784"/>
      <c r="AA156" s="773"/>
      <c r="AB156" s="773"/>
      <c r="AC156" s="773"/>
      <c r="AD156" s="773"/>
      <c r="AE156" s="771"/>
      <c r="AF156" s="734"/>
      <c r="AG156" s="734"/>
      <c r="AH156" s="734"/>
      <c r="AI156" s="734"/>
      <c r="AJ156" s="771"/>
      <c r="AK156" s="734"/>
      <c r="AL156" s="734"/>
      <c r="AM156" s="734"/>
      <c r="AN156" s="734"/>
      <c r="AO156" s="735">
        <f t="shared" ref="AO156:BR156" si="220">+AO22/SUM(AO22,AO30,AO36,AO42,AO47)</f>
        <v>0.34063118667753578</v>
      </c>
      <c r="AP156" s="734">
        <f t="shared" si="220"/>
        <v>0.36363636363636365</v>
      </c>
      <c r="AQ156" s="734">
        <f t="shared" si="220"/>
        <v>0.4</v>
      </c>
      <c r="AR156" s="734">
        <f t="shared" si="220"/>
        <v>0.3888888888888889</v>
      </c>
      <c r="AS156" s="734">
        <f t="shared" si="220"/>
        <v>0.48982699805068225</v>
      </c>
      <c r="AT156" s="771">
        <f t="shared" si="220"/>
        <v>0.41447629766949157</v>
      </c>
      <c r="AU156" s="734">
        <f t="shared" si="220"/>
        <v>0.39763222994463421</v>
      </c>
      <c r="AV156" s="734">
        <f t="shared" si="220"/>
        <v>0.39246802463287539</v>
      </c>
      <c r="AW156" s="734">
        <f t="shared" si="220"/>
        <v>0.40404390525707684</v>
      </c>
      <c r="AX156" s="734">
        <f t="shared" si="220"/>
        <v>0.51447432498241452</v>
      </c>
      <c r="AY156" s="771">
        <f t="shared" si="220"/>
        <v>0.4289733982227199</v>
      </c>
      <c r="AZ156" s="734">
        <f t="shared" si="220"/>
        <v>0.69829250185597636</v>
      </c>
      <c r="BA156" s="734">
        <f t="shared" si="220"/>
        <v>0.71858619860543393</v>
      </c>
      <c r="BB156" s="734">
        <f t="shared" si="220"/>
        <v>0.54996435361216733</v>
      </c>
      <c r="BC156" s="734">
        <f t="shared" si="220"/>
        <v>0.54972316240486796</v>
      </c>
      <c r="BD156" s="771">
        <f t="shared" si="220"/>
        <v>0.59548135110687261</v>
      </c>
      <c r="BE156" s="734">
        <f t="shared" si="220"/>
        <v>0.53325703135260893</v>
      </c>
      <c r="BF156" s="734">
        <f t="shared" si="220"/>
        <v>0.52951944233862769</v>
      </c>
      <c r="BG156" s="734">
        <f t="shared" si="220"/>
        <v>0.54122895654992276</v>
      </c>
      <c r="BH156" s="734">
        <f t="shared" si="220"/>
        <v>0.53581388384585116</v>
      </c>
      <c r="BI156" s="771">
        <f t="shared" si="220"/>
        <v>0.53491043796304971</v>
      </c>
      <c r="BJ156" s="734">
        <f t="shared" si="220"/>
        <v>0.53678801177816537</v>
      </c>
      <c r="BK156" s="734">
        <f t="shared" si="220"/>
        <v>0.53482887333098117</v>
      </c>
      <c r="BL156" s="734">
        <f t="shared" si="220"/>
        <v>0.53519313304721028</v>
      </c>
      <c r="BM156" s="734">
        <f t="shared" si="220"/>
        <v>0.53439937742037069</v>
      </c>
      <c r="BN156" s="771">
        <f t="shared" si="220"/>
        <v>0.53529830901563391</v>
      </c>
      <c r="BO156" s="734">
        <f t="shared" si="220"/>
        <v>0.53136834250536336</v>
      </c>
      <c r="BP156" s="734">
        <f t="shared" si="220"/>
        <v>0.52801526574747915</v>
      </c>
      <c r="BQ156" s="734">
        <f t="shared" si="220"/>
        <v>0.71446693799883709</v>
      </c>
      <c r="BR156" s="734">
        <f t="shared" si="220"/>
        <v>0.71148089214919497</v>
      </c>
      <c r="BS156" s="771">
        <f>+BS22/SUM(BS22,BS30,BS36,BS42,BS47)</f>
        <v>0.60515455419700503</v>
      </c>
      <c r="BT156" s="734">
        <f t="shared" ref="BT156" si="221">+BT22/SUM(BT22,BT30,BT36,BT42,BT47)</f>
        <v>0.71799553109161263</v>
      </c>
      <c r="BU156" s="1045">
        <f>1-SUM(BU157:BU160)</f>
        <v>0.72218683485387081</v>
      </c>
      <c r="BV156" s="1045">
        <f>1-SUM(BV157:BV160)</f>
        <v>0.72317805823419845</v>
      </c>
      <c r="BW156" s="1045">
        <f>1-SUM(BW157:BW160)</f>
        <v>0.72422626646160093</v>
      </c>
      <c r="BX156" s="771">
        <f>+BX22/SUM(BX22,BX30,BX36,BX42,BX47)</f>
        <v>0.72193381139232093</v>
      </c>
      <c r="BY156" s="1045">
        <f>1-SUM(BY157:BY160)</f>
        <v>0.72024232379990849</v>
      </c>
      <c r="BZ156" s="1045">
        <f>1-SUM(BZ157:BZ160)</f>
        <v>0.72114314990012174</v>
      </c>
      <c r="CA156" s="1045">
        <f>1-SUM(CA157:CA160)</f>
        <v>0.72204044961217795</v>
      </c>
      <c r="CB156" s="1045">
        <f>1-SUM(CB157:CB160)</f>
        <v>0.72301853715675191</v>
      </c>
      <c r="CC156" s="771">
        <f>+CC22/SUM(CC22,CC30,CC36,CC42,CC47)</f>
        <v>0.72161824868395263</v>
      </c>
      <c r="CD156" s="1045">
        <f>1-SUM(CD157:CD160)</f>
        <v>0.72734494626550039</v>
      </c>
      <c r="CE156" s="1045">
        <f>1-SUM(CE157:CE160)</f>
        <v>0.72827745752646011</v>
      </c>
      <c r="CF156" s="1045">
        <f>1-SUM(CF157:CF160)</f>
        <v>0.72920880295792057</v>
      </c>
      <c r="CG156" s="1045">
        <f>1-SUM(CG157:CG160)</f>
        <v>0.73022056244325217</v>
      </c>
      <c r="CH156" s="771">
        <f>+CH22/SUM(CH22,CH30,CH36,CH42,CH47)</f>
        <v>0.7287709843310084</v>
      </c>
      <c r="CI156" s="1045">
        <f>1-SUM(CI157:CI160)</f>
        <v>0.72530834924919052</v>
      </c>
      <c r="CJ156" s="1045">
        <f>1-SUM(CJ157:CJ160)</f>
        <v>0.72615248410591915</v>
      </c>
      <c r="CK156" s="1045">
        <f>1-SUM(CK157:CK160)</f>
        <v>0.72699959233831235</v>
      </c>
      <c r="CL156" s="1045">
        <f>1-SUM(CL157:CL160)</f>
        <v>0.72792135430547844</v>
      </c>
      <c r="CM156" s="771">
        <f>+CM22/SUM(CM22,CM30,CM36,CM42,CM47)</f>
        <v>0.7266019869320629</v>
      </c>
      <c r="CN156" s="1045">
        <f>1-SUM(CN157:CN160)</f>
        <v>0.72381289136584792</v>
      </c>
      <c r="CO156" s="1045">
        <f>1-SUM(CO157:CO160)</f>
        <v>0.72458594604830173</v>
      </c>
      <c r="CP156" s="1045">
        <f>1-SUM(CP157:CP160)</f>
        <v>0.72536676866220218</v>
      </c>
      <c r="CQ156" s="1045">
        <f>1-SUM(CQ157:CQ160)</f>
        <v>0.72621540102852866</v>
      </c>
      <c r="CR156" s="771">
        <f>+CR22/SUM(CR22,CR30,CR36,CR42,CR47)</f>
        <v>0.72500072428556817</v>
      </c>
    </row>
    <row r="157" spans="1:99" ht="12" customHeight="1">
      <c r="A157" s="1058" t="s">
        <v>1020</v>
      </c>
      <c r="F157" s="1030"/>
      <c r="G157" s="734"/>
      <c r="H157" s="734"/>
      <c r="I157" s="734"/>
      <c r="J157" s="734"/>
      <c r="K157" s="771"/>
      <c r="L157" s="734"/>
      <c r="M157" s="734"/>
      <c r="N157" s="734"/>
      <c r="O157" s="734"/>
      <c r="P157" s="771"/>
      <c r="Q157" s="734"/>
      <c r="R157" s="734"/>
      <c r="S157" s="734"/>
      <c r="T157" s="734"/>
      <c r="U157" s="771"/>
      <c r="V157" s="734"/>
      <c r="W157" s="734"/>
      <c r="X157" s="734"/>
      <c r="Y157" s="734"/>
      <c r="Z157" s="784"/>
      <c r="AA157" s="773"/>
      <c r="AB157" s="773"/>
      <c r="AC157" s="773"/>
      <c r="AD157" s="773"/>
      <c r="AE157" s="771"/>
      <c r="AF157" s="734"/>
      <c r="AG157" s="734"/>
      <c r="AH157" s="734"/>
      <c r="AI157" s="734"/>
      <c r="AJ157" s="771"/>
      <c r="AK157" s="734"/>
      <c r="AL157" s="734"/>
      <c r="AM157" s="734"/>
      <c r="AN157" s="734"/>
      <c r="AO157" s="735">
        <f t="shared" ref="AO157:BR157" si="222">+AO30/SUM(AO22,AO30,AO36,AO42,AO47)</f>
        <v>0</v>
      </c>
      <c r="AP157" s="734">
        <f t="shared" si="222"/>
        <v>0</v>
      </c>
      <c r="AQ157" s="734">
        <f t="shared" si="222"/>
        <v>0</v>
      </c>
      <c r="AR157" s="734">
        <f t="shared" si="222"/>
        <v>0</v>
      </c>
      <c r="AS157" s="734">
        <f t="shared" si="222"/>
        <v>0</v>
      </c>
      <c r="AT157" s="771">
        <f t="shared" si="222"/>
        <v>0</v>
      </c>
      <c r="AU157" s="734">
        <f t="shared" si="222"/>
        <v>0</v>
      </c>
      <c r="AV157" s="734">
        <f t="shared" si="222"/>
        <v>0</v>
      </c>
      <c r="AW157" s="734">
        <f t="shared" si="222"/>
        <v>0</v>
      </c>
      <c r="AX157" s="734">
        <f t="shared" si="222"/>
        <v>0</v>
      </c>
      <c r="AY157" s="771">
        <f t="shared" si="222"/>
        <v>0</v>
      </c>
      <c r="AZ157" s="734">
        <f t="shared" si="222"/>
        <v>8.9086859688196005E-2</v>
      </c>
      <c r="BA157" s="734">
        <f t="shared" si="222"/>
        <v>8.6559269055061311E-2</v>
      </c>
      <c r="BB157" s="734">
        <f t="shared" si="222"/>
        <v>3.9607097591888463E-2</v>
      </c>
      <c r="BC157" s="734">
        <f t="shared" si="222"/>
        <v>4.4998337017979777E-2</v>
      </c>
      <c r="BD157" s="771">
        <f t="shared" si="222"/>
        <v>5.5396223239767471E-2</v>
      </c>
      <c r="BE157" s="734">
        <f t="shared" si="222"/>
        <v>4.1278120719740331E-2</v>
      </c>
      <c r="BF157" s="734">
        <f t="shared" si="222"/>
        <v>6.1017325222343433E-2</v>
      </c>
      <c r="BG157" s="734">
        <f t="shared" si="222"/>
        <v>5.9102781643819942E-2</v>
      </c>
      <c r="BH157" s="734">
        <f t="shared" si="222"/>
        <v>6.7379138670010635E-2</v>
      </c>
      <c r="BI157" s="771">
        <f t="shared" si="222"/>
        <v>5.7207164962955998E-2</v>
      </c>
      <c r="BJ157" s="734">
        <f t="shared" si="222"/>
        <v>6.7518145501603566E-2</v>
      </c>
      <c r="BK157" s="734">
        <f t="shared" si="222"/>
        <v>7.7995877360768087E-2</v>
      </c>
      <c r="BL157" s="734">
        <f t="shared" si="222"/>
        <v>7.8372830752005976E-2</v>
      </c>
      <c r="BM157" s="734">
        <f t="shared" si="222"/>
        <v>8.3381200318701457E-2</v>
      </c>
      <c r="BN157" s="771">
        <f t="shared" si="222"/>
        <v>7.6841757207989692E-2</v>
      </c>
      <c r="BO157" s="734">
        <f t="shared" si="222"/>
        <v>8.3947392967073972E-2</v>
      </c>
      <c r="BP157" s="734">
        <f t="shared" si="222"/>
        <v>8.605690980861691E-2</v>
      </c>
      <c r="BQ157" s="734">
        <f t="shared" si="222"/>
        <v>0.12685659918600348</v>
      </c>
      <c r="BR157" s="734">
        <f t="shared" si="222"/>
        <v>0.12675638501577705</v>
      </c>
      <c r="BS157" s="771">
        <f>+BS30/SUM(BS22,BS30,BS36,BS42,BS47)</f>
        <v>0.10221184228602828</v>
      </c>
      <c r="BT157" s="734">
        <f t="shared" ref="BT157" si="223">+BT30/SUM(BT22,BT30,BT36,BT42,BT47)</f>
        <v>0.11989754210038694</v>
      </c>
      <c r="BU157" s="1045">
        <f t="shared" ref="BU157:BW159" si="224">+BT157</f>
        <v>0.11989754210038694</v>
      </c>
      <c r="BV157" s="1045">
        <f t="shared" si="224"/>
        <v>0.11989754210038694</v>
      </c>
      <c r="BW157" s="1045">
        <f t="shared" si="224"/>
        <v>0.11989754210038694</v>
      </c>
      <c r="BX157" s="771">
        <f>+BX30/SUM(BX22,BX30,BX36,BX42,BX47)</f>
        <v>0.11989754210038694</v>
      </c>
      <c r="BY157" s="1045">
        <f>+BW157</f>
        <v>0.11989754210038694</v>
      </c>
      <c r="BZ157" s="1045">
        <f t="shared" ref="BZ157:CB159" si="225">+BY157</f>
        <v>0.11989754210038694</v>
      </c>
      <c r="CA157" s="1045">
        <f t="shared" si="225"/>
        <v>0.11989754210038694</v>
      </c>
      <c r="CB157" s="1045">
        <f t="shared" si="225"/>
        <v>0.11989754210038694</v>
      </c>
      <c r="CC157" s="771">
        <f>+CC30/SUM(CC22,CC30,CC36,CC42,CC47)</f>
        <v>0.11989754210038693</v>
      </c>
      <c r="CD157" s="1045">
        <f>+CB157</f>
        <v>0.11989754210038694</v>
      </c>
      <c r="CE157" s="1045">
        <f t="shared" ref="CE157:CG159" si="226">+CD157</f>
        <v>0.11989754210038694</v>
      </c>
      <c r="CF157" s="1045">
        <f t="shared" si="226"/>
        <v>0.11989754210038694</v>
      </c>
      <c r="CG157" s="1045">
        <f t="shared" si="226"/>
        <v>0.11989754210038694</v>
      </c>
      <c r="CH157" s="771">
        <f>+CH30/SUM(CH22,CH30,CH36,CH42,CH47)</f>
        <v>0.11989754210038693</v>
      </c>
      <c r="CI157" s="1045">
        <f>+CG157</f>
        <v>0.11989754210038694</v>
      </c>
      <c r="CJ157" s="1045">
        <f t="shared" ref="CJ157:CL159" si="227">+CI157</f>
        <v>0.11989754210038694</v>
      </c>
      <c r="CK157" s="1045">
        <f t="shared" si="227"/>
        <v>0.11989754210038694</v>
      </c>
      <c r="CL157" s="1045">
        <f t="shared" si="227"/>
        <v>0.11989754210038694</v>
      </c>
      <c r="CM157" s="771">
        <f>+CM30/SUM(CM22,CM30,CM36,CM42,CM47)</f>
        <v>0.11989754210038694</v>
      </c>
      <c r="CN157" s="1045">
        <f>+CL157</f>
        <v>0.11989754210038694</v>
      </c>
      <c r="CO157" s="1045">
        <f t="shared" ref="CO157:CQ159" si="228">+CN157</f>
        <v>0.11989754210038694</v>
      </c>
      <c r="CP157" s="1045">
        <f t="shared" si="228"/>
        <v>0.11989754210038694</v>
      </c>
      <c r="CQ157" s="1045">
        <f t="shared" si="228"/>
        <v>0.11989754210038694</v>
      </c>
      <c r="CR157" s="771">
        <f>+CR30/SUM(CR22,CR30,CR36,CR42,CR47)</f>
        <v>0.11989754210038696</v>
      </c>
    </row>
    <row r="158" spans="1:99" ht="12" customHeight="1">
      <c r="A158" s="1058" t="s">
        <v>1021</v>
      </c>
      <c r="F158" s="1030"/>
      <c r="G158" s="734"/>
      <c r="H158" s="734"/>
      <c r="I158" s="734"/>
      <c r="J158" s="734"/>
      <c r="K158" s="771"/>
      <c r="L158" s="734"/>
      <c r="M158" s="734"/>
      <c r="N158" s="734"/>
      <c r="O158" s="734"/>
      <c r="P158" s="771"/>
      <c r="Q158" s="734"/>
      <c r="R158" s="734"/>
      <c r="S158" s="734"/>
      <c r="T158" s="734"/>
      <c r="U158" s="771"/>
      <c r="V158" s="734"/>
      <c r="W158" s="734"/>
      <c r="X158" s="734"/>
      <c r="Y158" s="734"/>
      <c r="Z158" s="784"/>
      <c r="AA158" s="773"/>
      <c r="AB158" s="773"/>
      <c r="AC158" s="773"/>
      <c r="AD158" s="773"/>
      <c r="AE158" s="771"/>
      <c r="AF158" s="734"/>
      <c r="AG158" s="734"/>
      <c r="AH158" s="734"/>
      <c r="AI158" s="734"/>
      <c r="AJ158" s="771"/>
      <c r="AK158" s="734"/>
      <c r="AL158" s="734"/>
      <c r="AM158" s="734"/>
      <c r="AN158" s="734"/>
      <c r="AO158" s="735">
        <f t="shared" ref="AO158:BR158" si="229">+AO36/SUM(AO22,AO30,AO36,AO42,AO47)</f>
        <v>0</v>
      </c>
      <c r="AP158" s="734">
        <f t="shared" si="229"/>
        <v>0</v>
      </c>
      <c r="AQ158" s="734">
        <f t="shared" si="229"/>
        <v>0</v>
      </c>
      <c r="AR158" s="734">
        <f t="shared" si="229"/>
        <v>0</v>
      </c>
      <c r="AS158" s="734">
        <f t="shared" si="229"/>
        <v>0</v>
      </c>
      <c r="AT158" s="771">
        <f t="shared" si="229"/>
        <v>0</v>
      </c>
      <c r="AU158" s="734">
        <f t="shared" si="229"/>
        <v>0</v>
      </c>
      <c r="AV158" s="734">
        <f t="shared" si="229"/>
        <v>0</v>
      </c>
      <c r="AW158" s="734">
        <f t="shared" si="229"/>
        <v>0</v>
      </c>
      <c r="AX158" s="734">
        <f t="shared" si="229"/>
        <v>0</v>
      </c>
      <c r="AY158" s="771">
        <f t="shared" si="229"/>
        <v>0</v>
      </c>
      <c r="AZ158" s="734">
        <f t="shared" si="229"/>
        <v>1.4847809948032666E-2</v>
      </c>
      <c r="BA158" s="734">
        <f t="shared" si="229"/>
        <v>1.4426544842510217E-2</v>
      </c>
      <c r="BB158" s="734">
        <f t="shared" si="229"/>
        <v>5.9410646387832696E-3</v>
      </c>
      <c r="BC158" s="734">
        <f t="shared" si="229"/>
        <v>5.8693483066930147E-3</v>
      </c>
      <c r="BD158" s="771">
        <f t="shared" si="229"/>
        <v>8.4146161883191101E-3</v>
      </c>
      <c r="BE158" s="734">
        <f t="shared" si="229"/>
        <v>5.628834643600953E-3</v>
      </c>
      <c r="BF158" s="734">
        <f t="shared" si="229"/>
        <v>5.547029565667585E-3</v>
      </c>
      <c r="BG158" s="734">
        <f t="shared" si="229"/>
        <v>5.7196240300470902E-3</v>
      </c>
      <c r="BH158" s="734">
        <f t="shared" si="229"/>
        <v>5.6149282225008857E-3</v>
      </c>
      <c r="BI158" s="771">
        <f t="shared" si="229"/>
        <v>5.6269342586514103E-3</v>
      </c>
      <c r="BJ158" s="734">
        <f t="shared" si="229"/>
        <v>5.6265121251336302E-3</v>
      </c>
      <c r="BK158" s="734">
        <f t="shared" si="229"/>
        <v>5.5711340971977205E-3</v>
      </c>
      <c r="BL158" s="734">
        <f t="shared" si="229"/>
        <v>5.5980593394289978E-3</v>
      </c>
      <c r="BM158" s="734">
        <f t="shared" si="229"/>
        <v>5.55874668791343E-3</v>
      </c>
      <c r="BN158" s="771">
        <f t="shared" si="229"/>
        <v>5.5884914333083407E-3</v>
      </c>
      <c r="BO158" s="734">
        <f t="shared" si="229"/>
        <v>5.5964928644715983E-3</v>
      </c>
      <c r="BP158" s="734">
        <f t="shared" si="229"/>
        <v>5.6124071614315381E-3</v>
      </c>
      <c r="BQ158" s="734">
        <f t="shared" si="229"/>
        <v>5.2856916327501452E-3</v>
      </c>
      <c r="BR158" s="734">
        <f t="shared" si="229"/>
        <v>5.3938887240756192E-3</v>
      </c>
      <c r="BS158" s="771">
        <f>+BS36/SUM(BS22,BS30,BS36,BS42,BS47)</f>
        <v>5.4952603379585102E-3</v>
      </c>
      <c r="BT158" s="734">
        <f t="shared" ref="BT158" si="230">+BT36/SUM(BT22,BT30,BT36,BT42,BT47)</f>
        <v>5.4498882772903157E-3</v>
      </c>
      <c r="BU158" s="1045">
        <f t="shared" si="224"/>
        <v>5.4498882772903157E-3</v>
      </c>
      <c r="BV158" s="1045">
        <f t="shared" si="224"/>
        <v>5.4498882772903157E-3</v>
      </c>
      <c r="BW158" s="1045">
        <f t="shared" si="224"/>
        <v>5.4498882772903157E-3</v>
      </c>
      <c r="BX158" s="771">
        <f>+BX36/SUM(BX22,BX30,BX36,BX42,BX47)</f>
        <v>5.4498882772903157E-3</v>
      </c>
      <c r="BY158" s="1045">
        <f>+BW158</f>
        <v>5.4498882772903157E-3</v>
      </c>
      <c r="BZ158" s="1045">
        <f t="shared" si="225"/>
        <v>5.4498882772903157E-3</v>
      </c>
      <c r="CA158" s="1045">
        <f t="shared" si="225"/>
        <v>5.4498882772903157E-3</v>
      </c>
      <c r="CB158" s="1045">
        <f t="shared" si="225"/>
        <v>5.4498882772903157E-3</v>
      </c>
      <c r="CC158" s="771">
        <f>+CC36/SUM(CC22,CC30,CC36,CC42,CC47)</f>
        <v>5.4498882772903148E-3</v>
      </c>
      <c r="CD158" s="1045">
        <f>+CB158</f>
        <v>5.4498882772903157E-3</v>
      </c>
      <c r="CE158" s="1045">
        <f t="shared" si="226"/>
        <v>5.4498882772903157E-3</v>
      </c>
      <c r="CF158" s="1045">
        <f t="shared" si="226"/>
        <v>5.4498882772903157E-3</v>
      </c>
      <c r="CG158" s="1045">
        <f t="shared" si="226"/>
        <v>5.4498882772903157E-3</v>
      </c>
      <c r="CH158" s="771">
        <f>+CH36/SUM(CH22,CH30,CH36,CH42,CH47)</f>
        <v>5.4498882772903148E-3</v>
      </c>
      <c r="CI158" s="1045">
        <f>+CG158</f>
        <v>5.4498882772903157E-3</v>
      </c>
      <c r="CJ158" s="1045">
        <f t="shared" si="227"/>
        <v>5.4498882772903157E-3</v>
      </c>
      <c r="CK158" s="1045">
        <f t="shared" si="227"/>
        <v>5.4498882772903157E-3</v>
      </c>
      <c r="CL158" s="1045">
        <f t="shared" si="227"/>
        <v>5.4498882772903157E-3</v>
      </c>
      <c r="CM158" s="771">
        <f>+CM36/SUM(CM22,CM30,CM36,CM42,CM47)</f>
        <v>5.4498882772903165E-3</v>
      </c>
      <c r="CN158" s="1045">
        <f>+CL158</f>
        <v>5.4498882772903157E-3</v>
      </c>
      <c r="CO158" s="1045">
        <f t="shared" si="228"/>
        <v>5.4498882772903157E-3</v>
      </c>
      <c r="CP158" s="1045">
        <f t="shared" si="228"/>
        <v>5.4498882772903157E-3</v>
      </c>
      <c r="CQ158" s="1045">
        <f t="shared" si="228"/>
        <v>5.4498882772903157E-3</v>
      </c>
      <c r="CR158" s="771">
        <f>+CR36/SUM(CR22,CR30,CR36,CR42,CR47)</f>
        <v>5.4498882772903157E-3</v>
      </c>
    </row>
    <row r="159" spans="1:99" ht="12" customHeight="1">
      <c r="A159" s="1058" t="s">
        <v>1022</v>
      </c>
      <c r="F159" s="1030"/>
      <c r="G159" s="734"/>
      <c r="H159" s="734"/>
      <c r="I159" s="734"/>
      <c r="J159" s="734"/>
      <c r="K159" s="771"/>
      <c r="L159" s="734"/>
      <c r="M159" s="734"/>
      <c r="N159" s="734"/>
      <c r="O159" s="734"/>
      <c r="P159" s="771"/>
      <c r="Q159" s="734"/>
      <c r="R159" s="734"/>
      <c r="S159" s="734"/>
      <c r="T159" s="734"/>
      <c r="U159" s="771"/>
      <c r="V159" s="734"/>
      <c r="W159" s="734"/>
      <c r="X159" s="734"/>
      <c r="Y159" s="734"/>
      <c r="Z159" s="771"/>
      <c r="AA159" s="734"/>
      <c r="AB159" s="734"/>
      <c r="AC159" s="734"/>
      <c r="AD159" s="734"/>
      <c r="AE159" s="771"/>
      <c r="AF159" s="734"/>
      <c r="AG159" s="734"/>
      <c r="AH159" s="734"/>
      <c r="AI159" s="734"/>
      <c r="AJ159" s="771"/>
      <c r="AK159" s="734"/>
      <c r="AL159" s="734"/>
      <c r="AM159" s="734"/>
      <c r="AN159" s="734"/>
      <c r="AO159" s="735">
        <f t="shared" ref="AO159:BR159" si="231">+AO42/SUM(AO22,AO30,AO36,AO47)</f>
        <v>8.1452095337048572E-2</v>
      </c>
      <c r="AP159" s="734">
        <f t="shared" si="231"/>
        <v>0.1</v>
      </c>
      <c r="AQ159" s="734">
        <f t="shared" si="231"/>
        <v>7.1428571428571425E-2</v>
      </c>
      <c r="AR159" s="734">
        <f t="shared" si="231"/>
        <v>0.125</v>
      </c>
      <c r="AS159" s="734">
        <f t="shared" si="231"/>
        <v>1.5213358070500843E-2</v>
      </c>
      <c r="AT159" s="771">
        <f t="shared" si="231"/>
        <v>7.5591952999821937E-2</v>
      </c>
      <c r="AU159" s="734">
        <f t="shared" si="231"/>
        <v>0.11565251675647265</v>
      </c>
      <c r="AV159" s="734">
        <f t="shared" si="231"/>
        <v>0.12026533996683267</v>
      </c>
      <c r="AW159" s="734">
        <f t="shared" si="231"/>
        <v>0.12075105212042722</v>
      </c>
      <c r="AX159" s="734">
        <f t="shared" si="231"/>
        <v>0.10883782324353491</v>
      </c>
      <c r="AY159" s="771">
        <f t="shared" si="231"/>
        <v>0.11620863712843518</v>
      </c>
      <c r="AZ159" s="734">
        <f t="shared" si="231"/>
        <v>8.2838464993263087E-3</v>
      </c>
      <c r="BA159" s="734">
        <f t="shared" si="231"/>
        <v>1.0152530846206305E-2</v>
      </c>
      <c r="BB159" s="734">
        <f t="shared" si="231"/>
        <v>1.927696251589598E-2</v>
      </c>
      <c r="BC159" s="734">
        <f t="shared" si="231"/>
        <v>1.7923645271144508E-2</v>
      </c>
      <c r="BD159" s="771">
        <f t="shared" si="231"/>
        <v>1.5885566929526387E-2</v>
      </c>
      <c r="BE159" s="734">
        <f t="shared" si="231"/>
        <v>1.6032484367851103E-2</v>
      </c>
      <c r="BF159" s="734">
        <f t="shared" si="231"/>
        <v>1.5433431591596122E-2</v>
      </c>
      <c r="BG159" s="734">
        <f t="shared" si="231"/>
        <v>1.3487140842076769E-2</v>
      </c>
      <c r="BH159" s="734">
        <f t="shared" si="231"/>
        <v>1.1587178370600935E-2</v>
      </c>
      <c r="BI159" s="771">
        <f t="shared" si="231"/>
        <v>1.4137821168213096E-2</v>
      </c>
      <c r="BJ159" s="734">
        <f t="shared" si="231"/>
        <v>1.272578776425011E-2</v>
      </c>
      <c r="BK159" s="734">
        <f t="shared" si="231"/>
        <v>1.0432889872966316E-2</v>
      </c>
      <c r="BL159" s="734">
        <f t="shared" si="231"/>
        <v>7.4255099163455813E-3</v>
      </c>
      <c r="BM159" s="734">
        <f t="shared" si="231"/>
        <v>3.4769997396903976E-3</v>
      </c>
      <c r="BN159" s="771">
        <f t="shared" si="231"/>
        <v>8.491492069754367E-3</v>
      </c>
      <c r="BO159" s="734">
        <f t="shared" si="231"/>
        <v>4.4032227843357084E-3</v>
      </c>
      <c r="BP159" s="734">
        <f t="shared" si="231"/>
        <v>3.4918429797060587E-3</v>
      </c>
      <c r="BQ159" s="734">
        <f t="shared" si="231"/>
        <v>5.1268428742198158E-3</v>
      </c>
      <c r="BR159" s="734">
        <f t="shared" si="231"/>
        <v>5.2323374722119086E-3</v>
      </c>
      <c r="BS159" s="771">
        <f>+BS42/SUM(BS22,BS30,BS36,BS47)</f>
        <v>4.4544290382408196E-3</v>
      </c>
      <c r="BT159" s="734">
        <f t="shared" ref="BT159" si="232">+BT42/SUM(BT22,BT30,BT36,BT47)</f>
        <v>3.7746170678336706E-3</v>
      </c>
      <c r="BU159" s="1045">
        <f t="shared" si="224"/>
        <v>3.7746170678336706E-3</v>
      </c>
      <c r="BV159" s="1045">
        <f t="shared" si="224"/>
        <v>3.7746170678336706E-3</v>
      </c>
      <c r="BW159" s="1045">
        <f t="shared" si="224"/>
        <v>3.7746170678336706E-3</v>
      </c>
      <c r="BX159" s="771">
        <f>+BX42/SUM(BX22,BX30,BX36,BX47)</f>
        <v>3.785435664708593E-3</v>
      </c>
      <c r="BY159" s="1045">
        <f>+BW159</f>
        <v>3.7746170678336706E-3</v>
      </c>
      <c r="BZ159" s="1045">
        <f t="shared" si="225"/>
        <v>3.7746170678336706E-3</v>
      </c>
      <c r="CA159" s="1045">
        <f t="shared" si="225"/>
        <v>3.7746170678336706E-3</v>
      </c>
      <c r="CB159" s="1045">
        <f t="shared" si="225"/>
        <v>3.7746170678336706E-3</v>
      </c>
      <c r="CC159" s="771">
        <f>+CC42/SUM(CC22,CC30,CC36,CC47)</f>
        <v>3.788918785349486E-3</v>
      </c>
      <c r="CD159" s="1045">
        <f>+CB159</f>
        <v>3.7746170678336706E-3</v>
      </c>
      <c r="CE159" s="1045">
        <f t="shared" si="226"/>
        <v>3.7746170678336706E-3</v>
      </c>
      <c r="CF159" s="1045">
        <f t="shared" si="226"/>
        <v>3.7746170678336706E-3</v>
      </c>
      <c r="CG159" s="1045">
        <f t="shared" si="226"/>
        <v>3.7746170678336706E-3</v>
      </c>
      <c r="CH159" s="771">
        <f>+CH42/SUM(CH22,CH30,CH36,CH47)</f>
        <v>3.788918785349486E-3</v>
      </c>
      <c r="CI159" s="1045">
        <f>+CG159</f>
        <v>3.7746170678336706E-3</v>
      </c>
      <c r="CJ159" s="1045">
        <f t="shared" si="227"/>
        <v>3.7746170678336706E-3</v>
      </c>
      <c r="CK159" s="1045">
        <f t="shared" si="227"/>
        <v>3.7746170678336706E-3</v>
      </c>
      <c r="CL159" s="1045">
        <f t="shared" si="227"/>
        <v>3.7746170678336706E-3</v>
      </c>
      <c r="CM159" s="771">
        <f>+CM42/SUM(CM22,CM30,CM36,CM47)</f>
        <v>3.7889187853494865E-3</v>
      </c>
      <c r="CN159" s="1045">
        <f>+CL159</f>
        <v>3.7746170678336706E-3</v>
      </c>
      <c r="CO159" s="1045">
        <f t="shared" si="228"/>
        <v>3.7746170678336706E-3</v>
      </c>
      <c r="CP159" s="1045">
        <f t="shared" si="228"/>
        <v>3.7746170678336706E-3</v>
      </c>
      <c r="CQ159" s="1045">
        <f t="shared" si="228"/>
        <v>3.7746170678336706E-3</v>
      </c>
      <c r="CR159" s="771">
        <f>+CR42/SUM(CR22,CR30,CR36,CR47)</f>
        <v>3.788918785349486E-3</v>
      </c>
      <c r="CT159" s="1054"/>
      <c r="CU159" s="1054"/>
    </row>
    <row r="160" spans="1:99" ht="12" customHeight="1">
      <c r="A160" s="1058" t="s">
        <v>1023</v>
      </c>
      <c r="F160" s="1030"/>
      <c r="G160" s="734"/>
      <c r="H160" s="734"/>
      <c r="I160" s="734"/>
      <c r="J160" s="734"/>
      <c r="K160" s="771"/>
      <c r="L160" s="734"/>
      <c r="M160" s="734"/>
      <c r="N160" s="734"/>
      <c r="O160" s="734"/>
      <c r="P160" s="771"/>
      <c r="Q160" s="734"/>
      <c r="R160" s="734"/>
      <c r="S160" s="734"/>
      <c r="T160" s="734"/>
      <c r="U160" s="771"/>
      <c r="V160" s="734"/>
      <c r="W160" s="734"/>
      <c r="X160" s="734"/>
      <c r="Y160" s="734"/>
      <c r="Z160" s="771"/>
      <c r="AA160" s="734"/>
      <c r="AB160" s="734"/>
      <c r="AC160" s="734"/>
      <c r="AD160" s="734"/>
      <c r="AE160" s="771"/>
      <c r="AF160" s="734"/>
      <c r="AG160" s="734"/>
      <c r="AH160" s="734"/>
      <c r="AI160" s="734"/>
      <c r="AJ160" s="771"/>
      <c r="AK160" s="734"/>
      <c r="AL160" s="734"/>
      <c r="AM160" s="734"/>
      <c r="AN160" s="734"/>
      <c r="AO160" s="735">
        <f t="shared" ref="AO160:CR160" si="233">+AO47/AO50</f>
        <v>0.58405147315709793</v>
      </c>
      <c r="AP160" s="734">
        <f t="shared" si="233"/>
        <v>0.54545454545454541</v>
      </c>
      <c r="AQ160" s="734">
        <f t="shared" si="233"/>
        <v>0.53333333333333333</v>
      </c>
      <c r="AR160" s="734">
        <f t="shared" si="233"/>
        <v>0.5</v>
      </c>
      <c r="AS160" s="734">
        <f t="shared" si="233"/>
        <v>0.49518762183235876</v>
      </c>
      <c r="AT160" s="771">
        <f t="shared" si="233"/>
        <v>0.5152443061440678</v>
      </c>
      <c r="AU160" s="734">
        <f t="shared" si="233"/>
        <v>0.49870420544233712</v>
      </c>
      <c r="AV160" s="734">
        <f t="shared" si="233"/>
        <v>0.50017764092846984</v>
      </c>
      <c r="AW160" s="734">
        <f t="shared" si="233"/>
        <v>0.48821490467937617</v>
      </c>
      <c r="AX160" s="734">
        <f t="shared" si="233"/>
        <v>0.38737081326768047</v>
      </c>
      <c r="AY160" s="771">
        <f t="shared" si="233"/>
        <v>0.46691646209282633</v>
      </c>
      <c r="AZ160" s="734">
        <f t="shared" si="233"/>
        <v>0.18955704033655038</v>
      </c>
      <c r="BA160" s="734">
        <f t="shared" si="233"/>
        <v>0.17037749459004567</v>
      </c>
      <c r="BB160" s="734">
        <f t="shared" si="233"/>
        <v>0.38557509505703419</v>
      </c>
      <c r="BC160" s="734">
        <f t="shared" si="233"/>
        <v>0.38180110735038064</v>
      </c>
      <c r="BD160" s="771">
        <f t="shared" si="233"/>
        <v>0.32507064771508115</v>
      </c>
      <c r="BE160" s="734">
        <f t="shared" si="233"/>
        <v>0.4040565134998218</v>
      </c>
      <c r="BF160" s="734">
        <f>+BF47/BF50</f>
        <v>0.38871734186343215</v>
      </c>
      <c r="BG160" s="734">
        <f>+BG47/BG50</f>
        <v>0.38064097919963391</v>
      </c>
      <c r="BH160" s="734">
        <f>+BH47/BH50</f>
        <v>0.37973759568773496</v>
      </c>
      <c r="BI160" s="771">
        <f t="shared" si="233"/>
        <v>0.38831473318953386</v>
      </c>
      <c r="BJ160" s="734">
        <f>+BJ47/BJ50</f>
        <v>0.3775014535156323</v>
      </c>
      <c r="BK160" s="734">
        <f>+BK47/BK50</f>
        <v>0.37127894668424671</v>
      </c>
      <c r="BL160" s="734">
        <f>+BL47/BL50</f>
        <v>0.37346519873110651</v>
      </c>
      <c r="BM160" s="734">
        <f>+BM47/BM50</f>
        <v>0.37319572347088126</v>
      </c>
      <c r="BN160" s="771">
        <f t="shared" si="233"/>
        <v>0.37385144858355018</v>
      </c>
      <c r="BO160" s="734">
        <f t="shared" si="233"/>
        <v>0.3747038522525884</v>
      </c>
      <c r="BP160" s="734">
        <f>+BP47/BP50</f>
        <v>0.37683572484238487</v>
      </c>
      <c r="BQ160" s="734">
        <f>+BQ47/BQ50</f>
        <v>0.14829007875680528</v>
      </c>
      <c r="BR160" s="734">
        <f>+BR47/BR50</f>
        <v>0.15116373149221923</v>
      </c>
      <c r="BS160" s="771">
        <f t="shared" si="233"/>
        <v>0.28270366808627551</v>
      </c>
      <c r="BT160" s="734">
        <f t="shared" si="233"/>
        <v>0.15289661561937978</v>
      </c>
      <c r="BU160" s="734">
        <f t="shared" si="233"/>
        <v>0.14869111770061827</v>
      </c>
      <c r="BV160" s="734">
        <f t="shared" si="233"/>
        <v>0.14769989432029063</v>
      </c>
      <c r="BW160" s="734">
        <f t="shared" si="233"/>
        <v>0.14665168609288814</v>
      </c>
      <c r="BX160" s="771">
        <f t="shared" si="233"/>
        <v>0.14894759804953758</v>
      </c>
      <c r="BY160" s="734">
        <f t="shared" si="233"/>
        <v>0.15063562875458053</v>
      </c>
      <c r="BZ160" s="734">
        <f t="shared" si="233"/>
        <v>0.14973480265436728</v>
      </c>
      <c r="CA160" s="734">
        <f t="shared" si="233"/>
        <v>0.14883750294231113</v>
      </c>
      <c r="CB160" s="734">
        <f t="shared" si="233"/>
        <v>0.14785941539773712</v>
      </c>
      <c r="CC160" s="771">
        <f t="shared" si="233"/>
        <v>0.14925970387053636</v>
      </c>
      <c r="CD160" s="734">
        <f t="shared" si="233"/>
        <v>0.14353300628898868</v>
      </c>
      <c r="CE160" s="734">
        <f t="shared" si="233"/>
        <v>0.14260049502802902</v>
      </c>
      <c r="CF160" s="734">
        <f t="shared" si="233"/>
        <v>0.14166914959656854</v>
      </c>
      <c r="CG160" s="734">
        <f t="shared" si="233"/>
        <v>0.14065739011123693</v>
      </c>
      <c r="CH160" s="771">
        <f t="shared" si="233"/>
        <v>0.14210696822348068</v>
      </c>
      <c r="CI160" s="734">
        <f t="shared" si="233"/>
        <v>0.14556960330529856</v>
      </c>
      <c r="CJ160" s="734">
        <f t="shared" si="233"/>
        <v>0.1447254684485699</v>
      </c>
      <c r="CK160" s="734">
        <f t="shared" si="233"/>
        <v>0.14387836021617673</v>
      </c>
      <c r="CL160" s="734">
        <f t="shared" si="233"/>
        <v>0.14295659824901066</v>
      </c>
      <c r="CM160" s="771">
        <f t="shared" si="233"/>
        <v>0.14427596562242623</v>
      </c>
      <c r="CN160" s="734">
        <f t="shared" si="233"/>
        <v>0.14706506118864118</v>
      </c>
      <c r="CO160" s="734">
        <f t="shared" si="233"/>
        <v>0.14629200650618729</v>
      </c>
      <c r="CP160" s="734">
        <f t="shared" si="233"/>
        <v>0.1455111838922869</v>
      </c>
      <c r="CQ160" s="734">
        <f t="shared" si="233"/>
        <v>0.14466255152596039</v>
      </c>
      <c r="CR160" s="771">
        <f t="shared" si="233"/>
        <v>0.14587722826892099</v>
      </c>
      <c r="CT160" s="1054"/>
      <c r="CU160" s="1054"/>
    </row>
    <row r="161" spans="1:99" ht="12" customHeight="1" thickBot="1">
      <c r="A161" s="1059"/>
      <c r="B161" s="1060"/>
      <c r="C161" s="1060"/>
      <c r="D161" s="1060"/>
      <c r="E161" s="1060"/>
      <c r="F161" s="1036"/>
      <c r="G161" s="1061"/>
      <c r="H161" s="1061"/>
      <c r="I161" s="1061"/>
      <c r="J161" s="1061"/>
      <c r="K161" s="1062"/>
      <c r="L161" s="1061"/>
      <c r="M161" s="1061"/>
      <c r="N161" s="1061"/>
      <c r="O161" s="1061"/>
      <c r="P161" s="1062"/>
      <c r="Q161" s="1061"/>
      <c r="R161" s="1061"/>
      <c r="S161" s="1061"/>
      <c r="T161" s="1061"/>
      <c r="U161" s="1062"/>
      <c r="V161" s="1061"/>
      <c r="W161" s="1061"/>
      <c r="X161" s="1061"/>
      <c r="Y161" s="1061"/>
      <c r="Z161" s="1062"/>
      <c r="AA161" s="1061"/>
      <c r="AB161" s="1061"/>
      <c r="AC161" s="1061"/>
      <c r="AD161" s="1061"/>
      <c r="AE161" s="1062"/>
      <c r="AF161" s="1061"/>
      <c r="AG161" s="1061"/>
      <c r="AH161" s="1061"/>
      <c r="AI161" s="1061"/>
      <c r="AJ161" s="1062"/>
      <c r="AK161" s="1061"/>
      <c r="AL161" s="1061"/>
      <c r="AM161" s="1061"/>
      <c r="AN161" s="1061"/>
      <c r="AO161" s="1062"/>
      <c r="AP161" s="1061"/>
      <c r="AQ161" s="1061"/>
      <c r="AR161" s="1061"/>
      <c r="AS161" s="1061"/>
      <c r="AT161" s="1062"/>
      <c r="AU161" s="1061"/>
      <c r="AV161" s="1061"/>
      <c r="AW161" s="1061"/>
      <c r="AX161" s="1061"/>
      <c r="AY161" s="1062"/>
      <c r="AZ161" s="1061"/>
      <c r="BA161" s="1061"/>
      <c r="BB161" s="1061"/>
      <c r="BC161" s="1061"/>
      <c r="BD161" s="1062"/>
      <c r="BE161" s="1061"/>
      <c r="BF161" s="1061"/>
      <c r="BG161" s="1061"/>
      <c r="BH161" s="1061"/>
      <c r="BI161" s="1062"/>
      <c r="BJ161" s="1061"/>
      <c r="BK161" s="1061"/>
      <c r="BL161" s="1061"/>
      <c r="BM161" s="1061"/>
      <c r="BN161" s="1062"/>
      <c r="BO161" s="1061"/>
      <c r="BP161" s="1061"/>
      <c r="BQ161" s="1061"/>
      <c r="BR161" s="1061"/>
      <c r="BS161" s="1062"/>
      <c r="BT161" s="1061"/>
      <c r="BU161" s="1061"/>
      <c r="BV161" s="1061"/>
      <c r="BW161" s="1061"/>
      <c r="BX161" s="1062"/>
      <c r="BY161" s="1061"/>
      <c r="BZ161" s="1061"/>
      <c r="CA161" s="1061"/>
      <c r="CB161" s="1061"/>
      <c r="CC161" s="1062"/>
      <c r="CD161" s="1061"/>
      <c r="CE161" s="1061"/>
      <c r="CF161" s="1061"/>
      <c r="CG161" s="1061"/>
      <c r="CH161" s="1062"/>
      <c r="CI161" s="1061"/>
      <c r="CJ161" s="1061"/>
      <c r="CK161" s="1061"/>
      <c r="CL161" s="1061"/>
      <c r="CM161" s="1062"/>
      <c r="CN161" s="1061"/>
      <c r="CO161" s="1061"/>
      <c r="CP161" s="1061"/>
      <c r="CQ161" s="1061"/>
      <c r="CR161" s="1062"/>
      <c r="CT161" s="1054"/>
      <c r="CU161" s="1054"/>
    </row>
    <row r="162" spans="1:99" ht="12" customHeight="1" outlineLevel="1">
      <c r="A162" s="1041" t="s">
        <v>1024</v>
      </c>
      <c r="F162" s="1030"/>
      <c r="G162" s="734"/>
      <c r="H162" s="734"/>
      <c r="I162" s="734"/>
      <c r="J162" s="734"/>
      <c r="K162" s="771"/>
      <c r="L162" s="734"/>
      <c r="M162" s="734"/>
      <c r="N162" s="734"/>
      <c r="O162" s="734"/>
      <c r="P162" s="771"/>
      <c r="Q162" s="734"/>
      <c r="R162" s="734"/>
      <c r="S162" s="734"/>
      <c r="T162" s="734"/>
      <c r="U162" s="771"/>
      <c r="V162" s="1063"/>
      <c r="W162" s="1063"/>
      <c r="X162" s="1063"/>
      <c r="Y162" s="1063"/>
      <c r="Z162" s="1064"/>
      <c r="AA162" s="1063"/>
      <c r="AB162" s="1063"/>
      <c r="AC162" s="1063"/>
      <c r="AD162" s="1063"/>
      <c r="AE162" s="1064"/>
      <c r="AF162" s="1063"/>
      <c r="AG162" s="1063"/>
      <c r="AH162" s="1063"/>
      <c r="AI162" s="1063"/>
      <c r="AJ162" s="1064"/>
      <c r="AK162" s="1063"/>
      <c r="AL162" s="1063"/>
      <c r="AM162" s="1063"/>
      <c r="AN162" s="1063"/>
      <c r="AO162" s="1064" t="b">
        <f t="shared" ref="AO162:CB162" si="234">+SUM(AO148:AO149)=1</f>
        <v>1</v>
      </c>
      <c r="AP162" s="1063" t="b">
        <f t="shared" si="234"/>
        <v>1</v>
      </c>
      <c r="AQ162" s="1063" t="b">
        <f t="shared" si="234"/>
        <v>1</v>
      </c>
      <c r="AR162" s="1063" t="b">
        <f t="shared" si="234"/>
        <v>1</v>
      </c>
      <c r="AS162" s="1063" t="b">
        <f t="shared" si="234"/>
        <v>1</v>
      </c>
      <c r="AT162" s="1064" t="b">
        <f t="shared" si="234"/>
        <v>1</v>
      </c>
      <c r="AU162" s="1063" t="b">
        <f t="shared" si="234"/>
        <v>1</v>
      </c>
      <c r="AV162" s="1063" t="b">
        <f t="shared" si="234"/>
        <v>1</v>
      </c>
      <c r="AW162" s="1063" t="b">
        <f t="shared" si="234"/>
        <v>1</v>
      </c>
      <c r="AX162" s="1063" t="b">
        <f t="shared" si="234"/>
        <v>1</v>
      </c>
      <c r="AY162" s="1064" t="b">
        <f t="shared" si="234"/>
        <v>1</v>
      </c>
      <c r="AZ162" s="1063" t="b">
        <f t="shared" si="234"/>
        <v>1</v>
      </c>
      <c r="BA162" s="1063" t="b">
        <f t="shared" si="234"/>
        <v>1</v>
      </c>
      <c r="BB162" s="1063" t="b">
        <f t="shared" si="234"/>
        <v>1</v>
      </c>
      <c r="BC162" s="1063" t="b">
        <f t="shared" si="234"/>
        <v>1</v>
      </c>
      <c r="BD162" s="1064" t="b">
        <f t="shared" si="234"/>
        <v>1</v>
      </c>
      <c r="BE162" s="1063" t="b">
        <f t="shared" si="234"/>
        <v>1</v>
      </c>
      <c r="BF162" s="1063" t="b">
        <f t="shared" si="234"/>
        <v>1</v>
      </c>
      <c r="BG162" s="1063" t="b">
        <f t="shared" si="234"/>
        <v>1</v>
      </c>
      <c r="BH162" s="1063" t="b">
        <f>+SUM(BH148:BH149)=1</f>
        <v>1</v>
      </c>
      <c r="BI162" s="1064" t="b">
        <f t="shared" si="234"/>
        <v>1</v>
      </c>
      <c r="BJ162" s="1063" t="b">
        <f>+SUM(BJ148:BJ149)=1</f>
        <v>1</v>
      </c>
      <c r="BK162" s="1063" t="b">
        <f>+SUM(BK148:BK149)=1</f>
        <v>1</v>
      </c>
      <c r="BL162" s="1063" t="b">
        <f t="shared" si="234"/>
        <v>1</v>
      </c>
      <c r="BM162" s="1063" t="b">
        <f>+SUM(BM148:BM149)=1</f>
        <v>1</v>
      </c>
      <c r="BN162" s="1064" t="b">
        <f t="shared" si="234"/>
        <v>1</v>
      </c>
      <c r="BO162" s="1063" t="b">
        <f>+SUM(BO148:BO149)=1</f>
        <v>1</v>
      </c>
      <c r="BP162" s="1063" t="b">
        <f t="shared" si="234"/>
        <v>1</v>
      </c>
      <c r="BQ162" s="1063" t="b">
        <f t="shared" ref="BQ162" si="235">+SUM(BQ148:BQ149)=1</f>
        <v>1</v>
      </c>
      <c r="BR162" s="1063" t="b">
        <f>+SUM(BR148:BR149)=1</f>
        <v>1</v>
      </c>
      <c r="BS162" s="1064" t="b">
        <f t="shared" si="234"/>
        <v>1</v>
      </c>
      <c r="BT162" s="1063" t="b">
        <f>+SUM(BT148:BT149)=1</f>
        <v>1</v>
      </c>
      <c r="BU162" s="1063" t="b">
        <f t="shared" si="234"/>
        <v>1</v>
      </c>
      <c r="BV162" s="1063" t="b">
        <f t="shared" si="234"/>
        <v>1</v>
      </c>
      <c r="BW162" s="1063" t="b">
        <f t="shared" si="234"/>
        <v>1</v>
      </c>
      <c r="BX162" s="1064" t="b">
        <f t="shared" si="234"/>
        <v>1</v>
      </c>
      <c r="BY162" s="1063" t="b">
        <f t="shared" si="234"/>
        <v>1</v>
      </c>
      <c r="BZ162" s="1063" t="b">
        <f t="shared" si="234"/>
        <v>1</v>
      </c>
      <c r="CA162" s="1063" t="b">
        <f t="shared" si="234"/>
        <v>1</v>
      </c>
      <c r="CB162" s="1063" t="b">
        <f t="shared" si="234"/>
        <v>1</v>
      </c>
      <c r="CC162" s="1064" t="b">
        <f t="shared" ref="CC162:CR162" si="236">+SUM(CC148:CC149)=1</f>
        <v>1</v>
      </c>
      <c r="CD162" s="1063" t="b">
        <f t="shared" si="236"/>
        <v>1</v>
      </c>
      <c r="CE162" s="1063" t="b">
        <f t="shared" si="236"/>
        <v>1</v>
      </c>
      <c r="CF162" s="1063" t="b">
        <f t="shared" si="236"/>
        <v>1</v>
      </c>
      <c r="CG162" s="1063" t="b">
        <f t="shared" si="236"/>
        <v>1</v>
      </c>
      <c r="CH162" s="1064" t="b">
        <f t="shared" si="236"/>
        <v>1</v>
      </c>
      <c r="CI162" s="1063" t="b">
        <f t="shared" si="236"/>
        <v>1</v>
      </c>
      <c r="CJ162" s="1063" t="b">
        <f t="shared" si="236"/>
        <v>1</v>
      </c>
      <c r="CK162" s="1063" t="b">
        <f t="shared" si="236"/>
        <v>1</v>
      </c>
      <c r="CL162" s="1063" t="b">
        <f t="shared" si="236"/>
        <v>1</v>
      </c>
      <c r="CM162" s="1064" t="b">
        <f t="shared" si="236"/>
        <v>1</v>
      </c>
      <c r="CN162" s="1063" t="b">
        <f t="shared" si="236"/>
        <v>1</v>
      </c>
      <c r="CO162" s="1063" t="b">
        <f t="shared" si="236"/>
        <v>1</v>
      </c>
      <c r="CP162" s="1063" t="b">
        <f t="shared" si="236"/>
        <v>1</v>
      </c>
      <c r="CQ162" s="1063" t="b">
        <f t="shared" si="236"/>
        <v>1</v>
      </c>
      <c r="CR162" s="1064" t="b">
        <f t="shared" si="236"/>
        <v>1</v>
      </c>
      <c r="CT162" s="1054"/>
      <c r="CU162" s="1054"/>
    </row>
    <row r="163" spans="1:99" ht="12" customHeight="1" outlineLevel="1">
      <c r="A163" s="1041" t="s">
        <v>1025</v>
      </c>
      <c r="F163" s="1030"/>
      <c r="G163" s="734"/>
      <c r="H163" s="734"/>
      <c r="I163" s="734"/>
      <c r="J163" s="734"/>
      <c r="K163" s="771"/>
      <c r="L163" s="734"/>
      <c r="M163" s="734"/>
      <c r="N163" s="734"/>
      <c r="O163" s="734"/>
      <c r="P163" s="771"/>
      <c r="Q163" s="734"/>
      <c r="R163" s="734"/>
      <c r="S163" s="734"/>
      <c r="T163" s="734"/>
      <c r="U163" s="771"/>
      <c r="V163" s="1063"/>
      <c r="W163" s="1063"/>
      <c r="X163" s="1063"/>
      <c r="Y163" s="1063"/>
      <c r="Z163" s="1064"/>
      <c r="AA163" s="1063"/>
      <c r="AB163" s="1063"/>
      <c r="AC163" s="1063"/>
      <c r="AD163" s="1063"/>
      <c r="AE163" s="1064"/>
      <c r="AF163" s="1063"/>
      <c r="AG163" s="1063"/>
      <c r="AH163" s="1063"/>
      <c r="AI163" s="1063"/>
      <c r="AJ163" s="1064"/>
      <c r="AK163" s="1063"/>
      <c r="AL163" s="1063"/>
      <c r="AM163" s="1063"/>
      <c r="AN163" s="1063"/>
      <c r="AO163" s="1064" t="b">
        <f>+SUM(AO151:AO154)=1</f>
        <v>1</v>
      </c>
      <c r="AP163" s="1063" t="b">
        <f t="shared" ref="AP163:CR163" si="237">+SUM(AP151:AP154)=1</f>
        <v>1</v>
      </c>
      <c r="AQ163" s="1063" t="b">
        <f t="shared" si="237"/>
        <v>1</v>
      </c>
      <c r="AR163" s="1063" t="b">
        <f t="shared" si="237"/>
        <v>1</v>
      </c>
      <c r="AS163" s="1063" t="b">
        <f t="shared" si="237"/>
        <v>1</v>
      </c>
      <c r="AT163" s="1064" t="b">
        <f t="shared" si="237"/>
        <v>1</v>
      </c>
      <c r="AU163" s="1063" t="b">
        <f t="shared" si="237"/>
        <v>1</v>
      </c>
      <c r="AV163" s="1063" t="b">
        <f t="shared" si="237"/>
        <v>1</v>
      </c>
      <c r="AW163" s="1063" t="b">
        <f t="shared" si="237"/>
        <v>1</v>
      </c>
      <c r="AX163" s="1063" t="b">
        <f t="shared" si="237"/>
        <v>1</v>
      </c>
      <c r="AY163" s="1064" t="b">
        <f t="shared" si="237"/>
        <v>1</v>
      </c>
      <c r="AZ163" s="1063" t="b">
        <f t="shared" si="237"/>
        <v>1</v>
      </c>
      <c r="BA163" s="1063" t="b">
        <f t="shared" si="237"/>
        <v>1</v>
      </c>
      <c r="BB163" s="1063" t="b">
        <f t="shared" si="237"/>
        <v>1</v>
      </c>
      <c r="BC163" s="1063" t="b">
        <f t="shared" si="237"/>
        <v>1</v>
      </c>
      <c r="BD163" s="1064" t="b">
        <f t="shared" si="237"/>
        <v>1</v>
      </c>
      <c r="BE163" s="1063" t="b">
        <f t="shared" si="237"/>
        <v>1</v>
      </c>
      <c r="BF163" s="1063" t="b">
        <f t="shared" si="237"/>
        <v>1</v>
      </c>
      <c r="BG163" s="1063" t="b">
        <f t="shared" si="237"/>
        <v>1</v>
      </c>
      <c r="BH163" s="1063" t="b">
        <f>+SUM(BH151:BH154)=1</f>
        <v>1</v>
      </c>
      <c r="BI163" s="1064" t="b">
        <f t="shared" si="237"/>
        <v>1</v>
      </c>
      <c r="BJ163" s="1063" t="b">
        <f>+SUM(BJ151:BJ154)=1</f>
        <v>1</v>
      </c>
      <c r="BK163" s="1063" t="b">
        <f>+SUM(BK151:BK154)=1</f>
        <v>1</v>
      </c>
      <c r="BL163" s="1063" t="b">
        <f t="shared" si="237"/>
        <v>1</v>
      </c>
      <c r="BM163" s="1063" t="b">
        <f t="shared" si="237"/>
        <v>1</v>
      </c>
      <c r="BN163" s="1064" t="b">
        <f t="shared" si="237"/>
        <v>1</v>
      </c>
      <c r="BO163" s="1063" t="b">
        <f t="shared" si="237"/>
        <v>1</v>
      </c>
      <c r="BP163" s="1063" t="b">
        <f t="shared" si="237"/>
        <v>1</v>
      </c>
      <c r="BQ163" s="1063" t="b">
        <f t="shared" si="237"/>
        <v>1</v>
      </c>
      <c r="BR163" s="1063" t="b">
        <f t="shared" si="237"/>
        <v>1</v>
      </c>
      <c r="BS163" s="1064" t="b">
        <f t="shared" si="237"/>
        <v>1</v>
      </c>
      <c r="BT163" s="1063" t="b">
        <f t="shared" si="237"/>
        <v>1</v>
      </c>
      <c r="BU163" s="1063" t="b">
        <f t="shared" si="237"/>
        <v>1</v>
      </c>
      <c r="BV163" s="1063" t="b">
        <f t="shared" si="237"/>
        <v>1</v>
      </c>
      <c r="BW163" s="1063" t="b">
        <f t="shared" si="237"/>
        <v>1</v>
      </c>
      <c r="BX163" s="1064" t="b">
        <f t="shared" si="237"/>
        <v>1</v>
      </c>
      <c r="BY163" s="1063" t="b">
        <f t="shared" si="237"/>
        <v>1</v>
      </c>
      <c r="BZ163" s="1063" t="b">
        <f t="shared" si="237"/>
        <v>1</v>
      </c>
      <c r="CA163" s="1063" t="b">
        <f t="shared" si="237"/>
        <v>1</v>
      </c>
      <c r="CB163" s="1063" t="b">
        <f t="shared" si="237"/>
        <v>1</v>
      </c>
      <c r="CC163" s="1064" t="b">
        <f t="shared" si="237"/>
        <v>1</v>
      </c>
      <c r="CD163" s="1063" t="b">
        <f t="shared" si="237"/>
        <v>1</v>
      </c>
      <c r="CE163" s="1063" t="b">
        <f t="shared" si="237"/>
        <v>1</v>
      </c>
      <c r="CF163" s="1063" t="b">
        <f t="shared" si="237"/>
        <v>1</v>
      </c>
      <c r="CG163" s="1063" t="b">
        <f t="shared" si="237"/>
        <v>1</v>
      </c>
      <c r="CH163" s="1064" t="b">
        <f t="shared" si="237"/>
        <v>1</v>
      </c>
      <c r="CI163" s="1063" t="b">
        <f t="shared" si="237"/>
        <v>1</v>
      </c>
      <c r="CJ163" s="1063" t="b">
        <f t="shared" si="237"/>
        <v>1</v>
      </c>
      <c r="CK163" s="1063" t="b">
        <f t="shared" si="237"/>
        <v>1</v>
      </c>
      <c r="CL163" s="1063" t="b">
        <f t="shared" si="237"/>
        <v>1</v>
      </c>
      <c r="CM163" s="1064" t="b">
        <f t="shared" si="237"/>
        <v>1</v>
      </c>
      <c r="CN163" s="1063" t="b">
        <f t="shared" si="237"/>
        <v>1</v>
      </c>
      <c r="CO163" s="1063" t="b">
        <f t="shared" si="237"/>
        <v>1</v>
      </c>
      <c r="CP163" s="1063" t="b">
        <f t="shared" si="237"/>
        <v>1</v>
      </c>
      <c r="CQ163" s="1063" t="b">
        <f t="shared" si="237"/>
        <v>1</v>
      </c>
      <c r="CR163" s="1064" t="b">
        <f t="shared" si="237"/>
        <v>1</v>
      </c>
      <c r="CT163" s="1054"/>
      <c r="CU163" s="1054"/>
    </row>
    <row r="164" spans="1:99" ht="12" customHeight="1" outlineLevel="1" thickBot="1">
      <c r="A164" s="1059" t="s">
        <v>1026</v>
      </c>
      <c r="B164" s="1060"/>
      <c r="C164" s="1060"/>
      <c r="D164" s="1060"/>
      <c r="E164" s="1060"/>
      <c r="F164" s="1036"/>
      <c r="G164" s="1060"/>
      <c r="H164" s="1060"/>
      <c r="I164" s="1060"/>
      <c r="J164" s="1060"/>
      <c r="K164" s="1036"/>
      <c r="L164" s="1060"/>
      <c r="M164" s="1060"/>
      <c r="N164" s="1060"/>
      <c r="O164" s="1060"/>
      <c r="P164" s="1036"/>
      <c r="Q164" s="1060"/>
      <c r="R164" s="1060"/>
      <c r="S164" s="1060"/>
      <c r="T164" s="1060"/>
      <c r="U164" s="1036"/>
      <c r="V164" s="1065"/>
      <c r="W164" s="1065"/>
      <c r="X164" s="1065"/>
      <c r="Y164" s="1065"/>
      <c r="Z164" s="1066"/>
      <c r="AA164" s="1065"/>
      <c r="AB164" s="1065"/>
      <c r="AC164" s="1065"/>
      <c r="AD164" s="1065"/>
      <c r="AE164" s="1066"/>
      <c r="AF164" s="1065"/>
      <c r="AG164" s="1065"/>
      <c r="AH164" s="1065"/>
      <c r="AI164" s="1065"/>
      <c r="AJ164" s="1066"/>
      <c r="AK164" s="1065"/>
      <c r="AL164" s="1065"/>
      <c r="AM164" s="1065"/>
      <c r="AN164" s="1065"/>
      <c r="AO164" s="1067" t="str">
        <f>+IF(ROUND(SUM(AO156:AO160),1)=1,"TRUE", SUM(AO156:AO160)-1)</f>
        <v>TRUE</v>
      </c>
      <c r="AP164" s="1068" t="str">
        <f t="shared" ref="AP164:BD164" si="238">+IF(ROUND(SUM(AP156:AP160),1)=1,"TRUE", SUM(AP156:AP160)-1)</f>
        <v>TRUE</v>
      </c>
      <c r="AQ164" s="1068" t="str">
        <f t="shared" si="238"/>
        <v>TRUE</v>
      </c>
      <c r="AR164" s="1068" t="str">
        <f t="shared" si="238"/>
        <v>TRUE</v>
      </c>
      <c r="AS164" s="1068" t="str">
        <f t="shared" si="238"/>
        <v>TRUE</v>
      </c>
      <c r="AT164" s="1067" t="str">
        <f t="shared" si="238"/>
        <v>TRUE</v>
      </c>
      <c r="AU164" s="1068" t="str">
        <f t="shared" si="238"/>
        <v>TRUE</v>
      </c>
      <c r="AV164" s="1068" t="str">
        <f t="shared" si="238"/>
        <v>TRUE</v>
      </c>
      <c r="AW164" s="1068" t="str">
        <f t="shared" si="238"/>
        <v>TRUE</v>
      </c>
      <c r="AX164" s="1068" t="str">
        <f t="shared" si="238"/>
        <v>TRUE</v>
      </c>
      <c r="AY164" s="1067" t="str">
        <f t="shared" si="238"/>
        <v>TRUE</v>
      </c>
      <c r="AZ164" s="1068" t="str">
        <f t="shared" si="238"/>
        <v>TRUE</v>
      </c>
      <c r="BA164" s="1068" t="str">
        <f t="shared" si="238"/>
        <v>TRUE</v>
      </c>
      <c r="BB164" s="1068" t="str">
        <f t="shared" si="238"/>
        <v>TRUE</v>
      </c>
      <c r="BC164" s="1068" t="str">
        <f t="shared" si="238"/>
        <v>TRUE</v>
      </c>
      <c r="BD164" s="1067" t="str">
        <f t="shared" si="238"/>
        <v>TRUE</v>
      </c>
      <c r="BE164" s="1068" t="str">
        <f>+IF(ROUND(SUM(BE156:BE160),3)=1,"TRUE", SUM(BE156:BE160)-1)</f>
        <v>TRUE</v>
      </c>
      <c r="BF164" s="1068" t="str">
        <f t="shared" ref="BF164:CR164" si="239">+IF(ROUND(SUM(BF156:BF160),3)=1,"TRUE", SUM(BF156:BF160)-1)</f>
        <v>TRUE</v>
      </c>
      <c r="BG164" s="1068" t="str">
        <f t="shared" si="239"/>
        <v>TRUE</v>
      </c>
      <c r="BH164" s="1068" t="str">
        <f>+IF(ROUND(SUM(BH156:BH160),1)=1,"TRUE", SUM(BH156:BH160)-1)</f>
        <v>TRUE</v>
      </c>
      <c r="BI164" s="1067" t="str">
        <f t="shared" si="239"/>
        <v>TRUE</v>
      </c>
      <c r="BJ164" s="1068" t="str">
        <f>+IF(ROUND(SUM(BJ156:BJ160),3)=1,"TRUE", SUM(BJ156:BJ160)-1)</f>
        <v>TRUE</v>
      </c>
      <c r="BK164" s="1068" t="str">
        <f>+IF(ROUND(SUM(BK156:BK160),3)=1,"TRUE", SUM(BK156:BK160)-1)</f>
        <v>TRUE</v>
      </c>
      <c r="BL164" s="1068" t="str">
        <f t="shared" si="239"/>
        <v>TRUE</v>
      </c>
      <c r="BM164" s="1068" t="str">
        <f>+IF(ROUND(SUM(BM156:BM160),1)=1,"TRUE", SUM(BM156:BM160)-1)</f>
        <v>TRUE</v>
      </c>
      <c r="BN164" s="1067" t="str">
        <f t="shared" si="239"/>
        <v>TRUE</v>
      </c>
      <c r="BO164" s="1068" t="str">
        <f>+IF(ROUND(SUM(BO156:BO160),3)=1,"TRUE", SUM(BO156:BO160)-1)</f>
        <v>TRUE</v>
      </c>
      <c r="BP164" s="1068" t="str">
        <f t="shared" si="239"/>
        <v>TRUE</v>
      </c>
      <c r="BQ164" s="1068" t="str">
        <f t="shared" si="239"/>
        <v>TRUE</v>
      </c>
      <c r="BR164" s="1068" t="str">
        <f>+IF(ROUND(SUM(BR156:BR160),1)=1,"TRUE", SUM(BR156:BR160)-1)</f>
        <v>TRUE</v>
      </c>
      <c r="BS164" s="1067" t="str">
        <f t="shared" si="239"/>
        <v>TRUE</v>
      </c>
      <c r="BT164" s="1068" t="str">
        <f>+IF(ROUND(SUM(BT156:BT160),3)=1,"TRUE", SUM(BT156:BT160)-1)</f>
        <v>TRUE</v>
      </c>
      <c r="BU164" s="1068" t="str">
        <f t="shared" si="239"/>
        <v>TRUE</v>
      </c>
      <c r="BV164" s="1068" t="str">
        <f t="shared" si="239"/>
        <v>TRUE</v>
      </c>
      <c r="BW164" s="1068" t="str">
        <f t="shared" si="239"/>
        <v>TRUE</v>
      </c>
      <c r="BX164" s="1067" t="str">
        <f t="shared" si="239"/>
        <v>TRUE</v>
      </c>
      <c r="BY164" s="1068" t="str">
        <f t="shared" si="239"/>
        <v>TRUE</v>
      </c>
      <c r="BZ164" s="1068" t="str">
        <f t="shared" si="239"/>
        <v>TRUE</v>
      </c>
      <c r="CA164" s="1068" t="str">
        <f t="shared" si="239"/>
        <v>TRUE</v>
      </c>
      <c r="CB164" s="1068" t="str">
        <f t="shared" si="239"/>
        <v>TRUE</v>
      </c>
      <c r="CC164" s="1067" t="str">
        <f t="shared" si="239"/>
        <v>TRUE</v>
      </c>
      <c r="CD164" s="1068" t="str">
        <f t="shared" si="239"/>
        <v>TRUE</v>
      </c>
      <c r="CE164" s="1068" t="str">
        <f t="shared" si="239"/>
        <v>TRUE</v>
      </c>
      <c r="CF164" s="1068" t="str">
        <f t="shared" si="239"/>
        <v>TRUE</v>
      </c>
      <c r="CG164" s="1068" t="str">
        <f t="shared" si="239"/>
        <v>TRUE</v>
      </c>
      <c r="CH164" s="1067" t="str">
        <f t="shared" si="239"/>
        <v>TRUE</v>
      </c>
      <c r="CI164" s="1068" t="str">
        <f t="shared" si="239"/>
        <v>TRUE</v>
      </c>
      <c r="CJ164" s="1068" t="str">
        <f t="shared" si="239"/>
        <v>TRUE</v>
      </c>
      <c r="CK164" s="1068" t="str">
        <f t="shared" si="239"/>
        <v>TRUE</v>
      </c>
      <c r="CL164" s="1068" t="str">
        <f t="shared" si="239"/>
        <v>TRUE</v>
      </c>
      <c r="CM164" s="1067" t="str">
        <f t="shared" si="239"/>
        <v>TRUE</v>
      </c>
      <c r="CN164" s="1068" t="str">
        <f t="shared" si="239"/>
        <v>TRUE</v>
      </c>
      <c r="CO164" s="1068" t="str">
        <f t="shared" si="239"/>
        <v>TRUE</v>
      </c>
      <c r="CP164" s="1068" t="str">
        <f t="shared" si="239"/>
        <v>TRUE</v>
      </c>
      <c r="CQ164" s="1068" t="str">
        <f t="shared" si="239"/>
        <v>TRUE</v>
      </c>
      <c r="CR164" s="1067" t="str">
        <f t="shared" si="239"/>
        <v>TRUE</v>
      </c>
      <c r="CT164" s="1054"/>
      <c r="CU164" s="1054"/>
    </row>
    <row r="167" spans="1:99" ht="12" customHeight="1">
      <c r="AU167" s="905"/>
      <c r="AV167" s="905"/>
      <c r="AW167" s="905"/>
      <c r="AX167" s="905"/>
      <c r="AY167" s="905"/>
      <c r="AZ167" s="905"/>
    </row>
  </sheetData>
  <mergeCells count="19">
    <mergeCell ref="CN6:CQ6"/>
    <mergeCell ref="BJ6:BM6"/>
    <mergeCell ref="BO6:BR6"/>
    <mergeCell ref="BT6:BW6"/>
    <mergeCell ref="BY6:CB6"/>
    <mergeCell ref="CD6:CG6"/>
    <mergeCell ref="CI6:CL6"/>
    <mergeCell ref="BE6:BH6"/>
    <mergeCell ref="B6:E6"/>
    <mergeCell ref="G6:J6"/>
    <mergeCell ref="L6:O6"/>
    <mergeCell ref="Q6:T6"/>
    <mergeCell ref="V6:Y6"/>
    <mergeCell ref="AA6:AD6"/>
    <mergeCell ref="AF6:AI6"/>
    <mergeCell ref="AK6:AN6"/>
    <mergeCell ref="AP6:AS6"/>
    <mergeCell ref="AU6:AX6"/>
    <mergeCell ref="AZ6:BC6"/>
  </mergeCells>
  <printOptions horizontalCentered="1" verticalCentered="1"/>
  <pageMargins left="0.7" right="0.7" top="0.75" bottom="0.75" header="0.3" footer="0.3"/>
  <pageSetup orientation="portrait" r:id="rId1"/>
  <customProperties>
    <customPr name="Qube.Worksheet.Visibility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36985520"><![CDATA[{"^P_PRICE_AVG(45108,06/30/24)":null,"^P_PRICE_AVG(45108,45473)":null,"AUDUSD^P_PRICE_AVG(45108,45473)":0.6557505,"AUDUSD FY25YTD^FG_PRICE(45838)":null,"GMG-AU^FG_PRICE(-1AY,0)":[24.29,24.37,24.3,24.44,24.35,24.32,23.93,24.34,24.66,24.58,24.76,24.92,25.03,25.28,25.6,25.41,26.98,27.08,26.74,26.83,26.66,26.64,26.74,26.61,26.6,28.47,28.61,28.08,28.71,28.67,28.63,28.74,28.95,28.77,28.82,29.9,30.48,31.19,31.0,31.08,30.97,30.79,30.15,30.1,30.85,30.96,30.86,29.74,30.42,30.42,31.0,32.05,33.24,32.93,33.17,33.81,33.38,32.5,32.67,32.33,32.15,31.81,32.33,32.07,32.04,31.77,31.15,31.29,30.97,30.49,30.62,30.85,31.36,30.81,31.19,31.69,31.51,31.77,32.63,33.98,34.38,34.29,33.76,33.65,33.75,33.47,33.37,34.73,34.35,33.99,33.76,33.93,34.17,33.67,34.45,34.26,34.08,34.15,33.52,34.14,34.33,34.86,35.08,35.31,34.73,34.72,35.53,35.77,35.33,35.67,35.43,35.54,35.88,35.18,35.5,34.78,34.48,34.75,35.01,34.29,34.64,35.38,35.43,34.89,34.88,35.06,35.46,35.57,35.7,36.25,36.67,37.17,37.1,36.35,36.0,35.25,34.15,34.52,35.23,35.05,35.1,36.44,34.58,32.12,32.82,33.05,32.33,33.37,33.8,34.11,35.16,34.71,34.33,33.89,33.41,32.2,32.27,32.56,32.4,32.79,33.27,33.11,33.4,33.33,33.07,32.67,33.19,33.2,33.43,33.36,33.72,34.54,35.38,35.63,35.92,35.95,36.5,36.29,35.74,36.14,36.16,36.34,35.93,36.99,37.08,37.22,37.8,37.07,36.59,36.82,36.3,36.73,36.46,36.41,36.68,36.79,37.42,36.56,37.06,36.07,35.86,35.95,36.04,35.82,36.24,36.68,36.64,36.51,36.5,36.3,36.22,35.34,35.7,36.6,36.52,36.53,37.09,37.5,37.12,37.53,37.45,37.05,37.25,37.81,38.16,38.46,38.23,37.91,37.75,38.12,37.02,36.26,36.57,37.8,36.98,37.61,37.24,36.78,36.12,36.75,36.83,36.0,35.92,36.55,36.53,36.89,36.37,35.64,36.03,36.53,37.17,37.34,37.24,37.34,37.42],"AUDUSD^FG_PRICE(-1AY,0)":[0.66965,0.66605,0.66995,0.66625,0.65985,0.65315,0.65555,0.65845,0.659,0.65645003,0.66034997,0.65815,0.65905,0.65924996,0.65805,0.66104996,0.6546,0.6519,0.64725,0.65135,0.65295,0.64865,0.65204996,0.65305,0.64605004,0.64860004,0.65175,0.65265,0.65365,0.65685004,0.65435,0.6545,0.65604997,0.65395004,0.65465003,0.6494,0.65115,0.6533,0.6519,0.65204996,0.65675,0.66165,0.66395,0.6608,0.65995,0.66230005,0.6585,0.65685004,0.656,0.6528,0.65285,0.65695,0.652,0.65375,0.65365,0.6524,0.6524,0.65240407,0.64925,0.65145,0.6546,0.66179997,0.65715003,0.66005003,0.66230005,0.6526,0.65175,0.647,0.64575,0.6401,0.6421,0.6434,0.6422,0.64360005,0.64765,0.64935,0.64994997,0.65265,0.65585,0.64935,0.64905,0.65365,0.66099995,0.66265,0.662,0.65755,0.6607,0.6603,0.66205,0.66244996,0.66644996,0.66765,0.66885,0.66754997,0.66705,0.66410005,0.6626,0.66295,0.66595,0.66635,0.66205,0.66425,0.66504997,0.6678,0.66475,0.66295,0.66510004,0.65924996,0.65975004,0.65955,0.66925,0.664,0.6609,0.65929997,0.66410005,0.6675,0.66655004,0.6637,0.66585,0.66389996,0.66515005,0.66585,0.66785,0.66504997,0.66635,0.67205,0.67249995,0.67370003,0.67464995,0.67324996,0.67429996,0.6783,0.67904997,0.67765003,0.67235005,0.67300004,0.67340004,0.6694,0.664,0.66155,0.66065,0.65535,0.65535,0.65345,0.654,0.653,0.6528,0.6519,0.64745,0.65055,0.65565,0.657,0.6583,0.6601,0.6609,0.6621,0.66290003,0.66375,0.67155004,0.67455,0.67385,0.67155004,0.67715,0.6781,0.67805,0.67910004,0.67920005,0.6785,0.67920005,0.67155004,0.67355,0.67219996,0.67135,0.66525,0.66485,0.6634,0.66915,0.67155004,0.67345005,0.67635,0.67684996,0.68055004,0.67935,0.68505,0.6868,0.68625,0.68875,0.69305,0.69375,0.68885,0.68805003,0.68405,0.68005,0.67645,0.67295,0.6714,0.67219996,0.6746,0.67265,0.67184997,0.66675,0.67005,0.67065,0.66725,0.66825,0.66355,0.66335,0.66405,0.65865,0.65575004,0.65815,0.65500003,0.65835,0.66,0.66345,0.65745,0.6686,0.66005003,0.65685004,0.65445,0.65,0.64814997,0.64605004,0.64845,0.65204996,0.649,0.65165,0.64935,0.65015,0.64664996,0.64935,0.64994997,0.65145,0.64475,0.64775,0.64335,0.64355,0.639,0.64664996,0.637,0.6365,0.63805,0.6359,0.63705,0.63420004,0.63054997,0.62535,0.62474996,0.62315,0.6228,0.6227961,0.62165,0.62135,0.62165,0.61915,0.6191418,0.62105,0.62045,0.62465,0.6247,0.62085,0.6192,0.61555],"AUDUSD^FG_PRICE(45838,0)":[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,0.61555],"AUDUSD^FG_PRICE(45838)":0.61555,"AUDUSD^P_PRICE_AVG(45474,45670)":0.6585368,"AUDUSD^FG_PRICE(45670)":0.61555,"^FG_PRICE()":null,"^P_PRICE_AVG(,)":null,"AUDUSD^P_PRICE_AVG(45474,45671)":0.658227,"AUDUSD^FG_PRICE(45671)":0.61505,"AUDUSD^P_PRICE_AVG(45474,45672)":0.657988,"AUDUSD^FG_PRICE(45672)":0.61955,"USDAUD^FG_PRICE(45673)":1.6059097,"EURAUD^FG_PRICE(45673)":1.6549703,"GBPAUD^FG_PRICE(45673)":1.9686044,"ZARAUD^FG_PRICE(45673)":0.08547756,"TRYAUD^FG_PRICE(45673)":0.045291435,"NZDAUD^FG_PRICE(45673)":0.90308326,"RMBAUD^FG_PRICE(45673)":null,"CHFAUD^FG_PRICE(45673)":1.7615418,"0.66^P_PRICE_AVG(45474,45673)":null,"0.61^P_PRICE_AVG(45474,45673)":null,"0.52^P_PRICE_AVG(45474,45673)":null,"12^P_PRICE_AVG(45474,45673)":null,"22.5^P_PRICE_AVG(45474,45673)":null,"1.11^P_PRICE_AVG(45474,45673)":null,"4.75^P_PRICE_AVG(45474,45673)":null,"0.58^P_PRICE_AVG(45474,45673)":null,"USDAUD^P_PRICE_AVG(45474,45673)":1.5217034,"EURAUD^P_PRICE_AVG(45474,45673)":1.6397318,"GBPAUD^P_PRICE_AVG(45474,45673)":1.9560049,"ZARAUD^P_PRICE_AVG(45474,45673)":0.084435225,"TRYAUD^P_PRICE_AVG(45474,45673)":0.044548187,"NZDAUD^P_PRICE_AVG(45474,45673)":0.90888584,"RMBAUD^P_PRICE_AVG(45474,45673)":null,"CHFAUD^P_PRICE_AVG(45474,45673)":1.7383633,"AUDZAR^P_PRICE_AVG(45474,45673)":11.847745,"AUDEUR^P_PRICE_AVG(45474,45673)":0.6099487,"AUDCHF^FG_PRICE(45673)":0.5676845,"AUDTRY^FG_PRICE(45673)":22.07923,"AUDGBP^FG_PRICE(45673)":0.5079741,"AUDAUD^FG_PRICE(45673)":1.0,"AUDUSD^FG_PRICE(45673)":0.62270004,"AUDTRY^P_PRICE_AVG(45474,45673)":22.45934,"AUDGBP^P_PRICE_AVG(45474,45673)":0.5113506,"AUDUSD^P_PRICE_AVG(45474,45673)":0.65776485,"AUDZNZD^FG_PRICE(45673)":null,"AUDZAR^FG_PRICE(45673)":11.698977,"AUDAUD^P_PRICE_AVG(45474,45673)":1.0,"AUDEUR^FG_PRICE(45673)":0.6042405,"AUDZNZD^P_PRICE_AVG(45474,45673)":null,"AUDCHF^P_PRICE_AVG(45474,45673)":0.5754889,"AUDNZD^FG_PRICE(45673)":1.1073176,"AUDNZD^P_PRICE_AVG(45474,45673)":1.100304}]]></FdsFormulaCache>
</file>

<file path=customXml/itemProps1.xml><?xml version="1.0" encoding="utf-8"?>
<ds:datastoreItem xmlns:ds="http://schemas.openxmlformats.org/officeDocument/2006/customXml" ds:itemID="{974DF2FF-3B7E-4195-AE9B-2648AD181144}">
  <ds:schemaRefs>
    <ds:schemaRef ds:uri="urn:fdsformulacache"/>
  </ds:schemaRefs>
</ds:datastoreItem>
</file>

<file path=docMetadata/LabelInfo.xml><?xml version="1.0" encoding="utf-8"?>
<clbl:labelList xmlns:clbl="http://schemas.microsoft.com/office/2020/mipLabelMetadata">
  <clbl:label id="{a64882d5-5c68-43ae-b974-91da18426e9b}" enabled="1" method="Standard" siteId="{38651f6f-836b-4bdf-9615-4e255c290fea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153</vt:i4>
      </vt:variant>
    </vt:vector>
  </HeadingPairs>
  <TitlesOfParts>
    <vt:vector size="165" baseType="lpstr">
      <vt:lpstr>WTC.AX</vt:lpstr>
      <vt:lpstr>DCF</vt:lpstr>
      <vt:lpstr>MODEL</vt:lpstr>
      <vt:lpstr>REVENUE</vt:lpstr>
      <vt:lpstr>SOTP</vt:lpstr>
      <vt:lpstr>E2 --&gt;</vt:lpstr>
      <vt:lpstr>Revenue Build</vt:lpstr>
      <vt:lpstr>VA Consensus</vt:lpstr>
      <vt:lpstr>Cross Check</vt:lpstr>
      <vt:lpstr>M&amp;A Summary</vt:lpstr>
      <vt:lpstr>Earnings changes</vt:lpstr>
      <vt:lpstr>Income Statement</vt:lpstr>
      <vt:lpstr>_2012</vt:lpstr>
      <vt:lpstr>_2012H1</vt:lpstr>
      <vt:lpstr>_2012H2</vt:lpstr>
      <vt:lpstr>_2013</vt:lpstr>
      <vt:lpstr>_2013H1</vt:lpstr>
      <vt:lpstr>_2013h2</vt:lpstr>
      <vt:lpstr>_2014</vt:lpstr>
      <vt:lpstr>_2014H1</vt:lpstr>
      <vt:lpstr>_2014H2</vt:lpstr>
      <vt:lpstr>_2015</vt:lpstr>
      <vt:lpstr>_2015H1</vt:lpstr>
      <vt:lpstr>_2015H2</vt:lpstr>
      <vt:lpstr>_2016</vt:lpstr>
      <vt:lpstr>_2016H1</vt:lpstr>
      <vt:lpstr>_2016H2</vt:lpstr>
      <vt:lpstr>_2017</vt:lpstr>
      <vt:lpstr>_2017H1</vt:lpstr>
      <vt:lpstr>_2017H2</vt:lpstr>
      <vt:lpstr>_2018</vt:lpstr>
      <vt:lpstr>_2018H1</vt:lpstr>
      <vt:lpstr>_2018H2</vt:lpstr>
      <vt:lpstr>_2019</vt:lpstr>
      <vt:lpstr>_2019H1</vt:lpstr>
      <vt:lpstr>_2019H2</vt:lpstr>
      <vt:lpstr>_2020</vt:lpstr>
      <vt:lpstr>_2020H1</vt:lpstr>
      <vt:lpstr>_2020H2</vt:lpstr>
      <vt:lpstr>_2021</vt:lpstr>
      <vt:lpstr>_2021H1</vt:lpstr>
      <vt:lpstr>_2021H2</vt:lpstr>
      <vt:lpstr>_2022</vt:lpstr>
      <vt:lpstr>_2022H1</vt:lpstr>
      <vt:lpstr>_2022H2</vt:lpstr>
      <vt:lpstr>_2023</vt:lpstr>
      <vt:lpstr>_2024</vt:lpstr>
      <vt:lpstr>_2025</vt:lpstr>
      <vt:lpstr>_2026</vt:lpstr>
      <vt:lpstr>_2027</vt:lpstr>
      <vt:lpstr>Abnormal_items_after_tax</vt:lpstr>
      <vt:lpstr>Accumulated_amortisation_goodwill</vt:lpstr>
      <vt:lpstr>Accumulated_amortisation_other</vt:lpstr>
      <vt:lpstr>Accumulated_depreciation_ppe</vt:lpstr>
      <vt:lpstr>Acquisitions</vt:lpstr>
      <vt:lpstr>Acquisitions_equity</vt:lpstr>
      <vt:lpstr>Acquisitions_op_bus</vt:lpstr>
      <vt:lpstr>Amortisation</vt:lpstr>
      <vt:lpstr>Asset_sales</vt:lpstr>
      <vt:lpstr>Asset_sales_equity</vt:lpstr>
      <vt:lpstr>Asset_sales_op_bus</vt:lpstr>
      <vt:lpstr>Asset_sales_ppe</vt:lpstr>
      <vt:lpstr>Average_net_debt</vt:lpstr>
      <vt:lpstr>Borrowings_incurred</vt:lpstr>
      <vt:lpstr>Cash</vt:lpstr>
      <vt:lpstr>CBIT</vt:lpstr>
      <vt:lpstr>Change_in_working_capital</vt:lpstr>
      <vt:lpstr>Closing_issued_shares</vt:lpstr>
      <vt:lpstr>Converting_preference_dividends</vt:lpstr>
      <vt:lpstr>Current_borrowings</vt:lpstr>
      <vt:lpstr>Current_investments</vt:lpstr>
      <vt:lpstr>Current_provisions</vt:lpstr>
      <vt:lpstr>DCF!DCF_INF</vt:lpstr>
      <vt:lpstr>DCF!DCF_Result</vt:lpstr>
      <vt:lpstr>DCF!DCF_WACC</vt:lpstr>
      <vt:lpstr>Depreciation</vt:lpstr>
      <vt:lpstr>Dividend_payout</vt:lpstr>
      <vt:lpstr>Dividends_paid</vt:lpstr>
      <vt:lpstr>Dividends_received_from_associates</vt:lpstr>
      <vt:lpstr>Dividends_received_from_other_investments</vt:lpstr>
      <vt:lpstr>DPS</vt:lpstr>
      <vt:lpstr>EBITDA_classified</vt:lpstr>
      <vt:lpstr>EFPO</vt:lpstr>
      <vt:lpstr>EPS</vt:lpstr>
      <vt:lpstr>EPS_Basic_Post_ab</vt:lpstr>
      <vt:lpstr>EPS_Diluted_Post_ab</vt:lpstr>
      <vt:lpstr>EPS_post_abs</vt:lpstr>
      <vt:lpstr>EPS_pre_ga</vt:lpstr>
      <vt:lpstr>EPS_pre_goodwill_amortisation</vt:lpstr>
      <vt:lpstr>Equity_profits</vt:lpstr>
      <vt:lpstr>Expansionary_capex</vt:lpstr>
      <vt:lpstr>FCFPS</vt:lpstr>
      <vt:lpstr>Final_dividend</vt:lpstr>
      <vt:lpstr>FITB</vt:lpstr>
      <vt:lpstr>Franking</vt:lpstr>
      <vt:lpstr>Goodwill</vt:lpstr>
      <vt:lpstr>Gross_ppe</vt:lpstr>
      <vt:lpstr>DCF!Imp_Credit</vt:lpstr>
      <vt:lpstr>int_copy</vt:lpstr>
      <vt:lpstr>int_paste</vt:lpstr>
      <vt:lpstr>Interest_Expense</vt:lpstr>
      <vt:lpstr>Interest_Income</vt:lpstr>
      <vt:lpstr>Interim_dividend</vt:lpstr>
      <vt:lpstr>Inventories</vt:lpstr>
      <vt:lpstr>Investments</vt:lpstr>
      <vt:lpstr>Investments_associates</vt:lpstr>
      <vt:lpstr>Investments_Other</vt:lpstr>
      <vt:lpstr>LAST_UPDATED</vt:lpstr>
      <vt:lpstr>Maintenance_capex</vt:lpstr>
      <vt:lpstr>Minorities_profit</vt:lpstr>
      <vt:lpstr>Minority_interests</vt:lpstr>
      <vt:lpstr>Net_debt</vt:lpstr>
      <vt:lpstr>Net_goodwill</vt:lpstr>
      <vt:lpstr>Net_interest_expense</vt:lpstr>
      <vt:lpstr>Net_interest_paid</vt:lpstr>
      <vt:lpstr>Net_other_intangibles</vt:lpstr>
      <vt:lpstr>Net_ppe</vt:lpstr>
      <vt:lpstr>Net_Profit_Post_ab</vt:lpstr>
      <vt:lpstr>Non_Current_Assets</vt:lpstr>
      <vt:lpstr>Non_current_borrowings</vt:lpstr>
      <vt:lpstr>Non_current_inventories</vt:lpstr>
      <vt:lpstr>Non_current_provisions</vt:lpstr>
      <vt:lpstr>Non_current_receivables</vt:lpstr>
      <vt:lpstr>NPAT_pre_ab</vt:lpstr>
      <vt:lpstr>Options_in_the_money</vt:lpstr>
      <vt:lpstr>Other_creditors</vt:lpstr>
      <vt:lpstr>Other_current_assets</vt:lpstr>
      <vt:lpstr>Other_current_liabilities</vt:lpstr>
      <vt:lpstr>Other_inflows</vt:lpstr>
      <vt:lpstr>Other_intangibles</vt:lpstr>
      <vt:lpstr>Other_investing_cashflows</vt:lpstr>
      <vt:lpstr>Other_non_current_assets</vt:lpstr>
      <vt:lpstr>Other_non_current_liabilities</vt:lpstr>
      <vt:lpstr>Other_operating</vt:lpstr>
      <vt:lpstr>Other_receivables</vt:lpstr>
      <vt:lpstr>PDIT</vt:lpstr>
      <vt:lpstr>Pre_tax_profit</vt:lpstr>
      <vt:lpstr>MODEL!Print_Area</vt:lpstr>
      <vt:lpstr>MODEL!Print_Titles</vt:lpstr>
      <vt:lpstr>DCF!PVCF</vt:lpstr>
      <vt:lpstr>Reserves</vt:lpstr>
      <vt:lpstr>Retained_profits</vt:lpstr>
      <vt:lpstr>Sales_classified</vt:lpstr>
      <vt:lpstr>Sales_learning</vt:lpstr>
      <vt:lpstr>Share_capital</vt:lpstr>
      <vt:lpstr>Shares_issued</vt:lpstr>
      <vt:lpstr>Tax_expense</vt:lpstr>
      <vt:lpstr>Tax_paid</vt:lpstr>
      <vt:lpstr>Television_licences_mastheads</vt:lpstr>
      <vt:lpstr>total_assets</vt:lpstr>
      <vt:lpstr>Total_current_assets</vt:lpstr>
      <vt:lpstr>Total_current_liabilities</vt:lpstr>
      <vt:lpstr>Total_equity</vt:lpstr>
      <vt:lpstr>total_liabilities</vt:lpstr>
      <vt:lpstr>Total_Non_Current_Assets</vt:lpstr>
      <vt:lpstr>Total_operating_costs</vt:lpstr>
      <vt:lpstr>Total_operating_EBIT</vt:lpstr>
      <vt:lpstr>Total_operating_EBITDA</vt:lpstr>
      <vt:lpstr>Total_sales</vt:lpstr>
      <vt:lpstr>Trade_creditors</vt:lpstr>
      <vt:lpstr>Trade_debtors</vt:lpstr>
      <vt:lpstr>DCF!zDebt</vt:lpstr>
      <vt:lpstr>DCF!zEquityValue</vt:lpstr>
      <vt:lpstr>DCF!zIssued_Shares</vt:lpstr>
      <vt:lpstr>DCF!zMktValue_investments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SI: The Contrarian</dc:title>
  <dc:creator>Rada Martin</dc:creator>
  <cp:lastModifiedBy>Lim, Nicholas [GIR]</cp:lastModifiedBy>
  <cp:lastPrinted>2025-08-27T11:56:05Z</cp:lastPrinted>
  <dcterms:created xsi:type="dcterms:W3CDTF">1996-12-30T00:08:36Z</dcterms:created>
  <dcterms:modified xsi:type="dcterms:W3CDTF">2025-12-08T22:18:21Z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c78979df-26cd-4872-8294-3b28edfad524</vt:lpwstr>
  </property>
  <property fmtid="{D5CDD505-2E9C-101B-9397-08002B2CF9AE}" pid="3" name="Classification">
    <vt:lpwstr>I</vt:lpwstr>
  </property>
  <property fmtid="{D5CDD505-2E9C-101B-9397-08002B2CF9AE}" pid="4" name="GSRUdf">
    <vt:lpwstr>True</vt:lpwstr>
  </property>
  <property fmtid="{D5CDD505-2E9C-101B-9397-08002B2CF9AE}" pid="5" name="DocNoClass">
    <vt:lpwstr>Not In Use</vt:lpwstr>
  </property>
</Properties>
</file>