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andes-my.sharepoint.com/personal/pm_deoliveiradejes_uniandes_edu_co/Documents/MASEP-OPE/DE/MSExcel/"/>
    </mc:Choice>
  </mc:AlternateContent>
  <xr:revisionPtr revIDLastSave="964" documentId="8_{5760BE0F-1F64-447B-A6AD-E34E46961D31}" xr6:coauthVersionLast="46" xr6:coauthVersionMax="46" xr10:uidLastSave="{6AC71DBC-4BBA-1746-86DF-62263F706725}"/>
  <bookViews>
    <workbookView xWindow="36700" yWindow="1520" windowWidth="29740" windowHeight="18720" activeTab="1" xr2:uid="{00000000-000D-0000-FFFF-FFFF00000000}"/>
  </bookViews>
  <sheets>
    <sheet name="Sensitivity Report 2" sheetId="36" r:id="rId1"/>
    <sheet name="DE Básico + Congestion" sheetId="21" r:id="rId2"/>
    <sheet name="Database" sheetId="33" r:id="rId3"/>
  </sheets>
  <definedNames>
    <definedName name="_B11" localSheetId="1">'DE Básico + Congestion'!$K$8</definedName>
    <definedName name="_B11">#REF!</definedName>
    <definedName name="_B12" localSheetId="1">'DE Básico + Congestion'!$L$8</definedName>
    <definedName name="_B12">#REF!</definedName>
    <definedName name="_B13" localSheetId="1">'DE Básico + Congestion'!$M$8</definedName>
    <definedName name="_B13">#REF!</definedName>
    <definedName name="_B21" localSheetId="1">'DE Básico + Congestion'!$K$9</definedName>
    <definedName name="_B21">#REF!</definedName>
    <definedName name="_B22" localSheetId="1">'DE Básico + Congestion'!$L$9</definedName>
    <definedName name="_B22">#REF!</definedName>
    <definedName name="_B23" localSheetId="1">'DE Básico + Congestion'!$M$9</definedName>
    <definedName name="_B23">#REF!</definedName>
    <definedName name="_B31" localSheetId="1">'DE Básico + Congestion'!$K$10</definedName>
    <definedName name="_B31">#REF!</definedName>
    <definedName name="_B32" localSheetId="1">'DE Básico + Congestion'!$L$10</definedName>
    <definedName name="_B32">#REF!</definedName>
    <definedName name="_B33" localSheetId="1">'DE Básico + Congestion'!$M$10</definedName>
    <definedName name="_B33">#REF!</definedName>
    <definedName name="_G11" localSheetId="1">'DE Básico + Congestion'!$G$8</definedName>
    <definedName name="_G11">#REF!</definedName>
    <definedName name="_G12" localSheetId="1">'DE Básico + Congestion'!$H$8</definedName>
    <definedName name="_G12">#REF!</definedName>
    <definedName name="_G13" localSheetId="1">'DE Básico + Congestion'!$I$8</definedName>
    <definedName name="_G13">#REF!</definedName>
    <definedName name="_G21" localSheetId="1">'DE Básico + Congestion'!$G$9</definedName>
    <definedName name="_G21">#REF!</definedName>
    <definedName name="_G22" localSheetId="1">'DE Básico + Congestion'!$H$9</definedName>
    <definedName name="_G22">#REF!</definedName>
    <definedName name="_G23" localSheetId="1">'DE Básico + Congestion'!$I$9</definedName>
    <definedName name="_G23">#REF!</definedName>
    <definedName name="_G31" localSheetId="1">'DE Básico + Congestion'!$G$10</definedName>
    <definedName name="_G31">#REF!</definedName>
    <definedName name="_G32" localSheetId="1">'DE Básico + Congestion'!$H$10</definedName>
    <definedName name="_G32">#REF!</definedName>
    <definedName name="_G33" localSheetId="1">'DE Básico + Congestion'!$I$10</definedName>
    <definedName name="_G33">#REF!</definedName>
    <definedName name="_PD1" localSheetId="1">'DE Básico + Congestion'!$B$13</definedName>
    <definedName name="_PD1">#REF!</definedName>
    <definedName name="_PD2" localSheetId="1">'DE Básico + Congestion'!$B$14</definedName>
    <definedName name="_PD2">#REF!</definedName>
    <definedName name="_PD3" localSheetId="1">'DE Básico + Congestion'!$B$15</definedName>
    <definedName name="_PD3">#REF!</definedName>
    <definedName name="_PG1" localSheetId="1">'DE Básico + Congestion'!$D$13</definedName>
    <definedName name="_PG1">#REF!</definedName>
    <definedName name="_PG2" localSheetId="1">'DE Básico + Congestion'!$D$14</definedName>
    <definedName name="_PG2">#REF!</definedName>
    <definedName name="_PG3" localSheetId="1">'DE Básico + Congestion'!$B$19</definedName>
    <definedName name="_PG3">#REF!</definedName>
    <definedName name="_QD1" localSheetId="1">'DE Básico + Congestion'!$B$16</definedName>
    <definedName name="_QD1">#REF!</definedName>
    <definedName name="_QD2" localSheetId="1">'DE Básico + Congestion'!$B$17</definedName>
    <definedName name="_QD2">#REF!</definedName>
    <definedName name="_QD3" localSheetId="1">'DE Básico + Congestion'!$B$18</definedName>
    <definedName name="_QD3">#REF!</definedName>
    <definedName name="_QG1" localSheetId="1">'DE Básico + Congestion'!$D$15</definedName>
    <definedName name="_QG1">#REF!</definedName>
    <definedName name="_QG2" localSheetId="1">'DE Básico + Congestion'!$D$16</definedName>
    <definedName name="_QG2">#REF!</definedName>
    <definedName name="_QG3" localSheetId="1">'DE Básico + Congestion'!$B$20</definedName>
    <definedName name="_QG3">#REF!</definedName>
    <definedName name="_T1" localSheetId="1">'DE Básico + Congestion'!$B$10</definedName>
    <definedName name="_T1">#REF!</definedName>
    <definedName name="_T2" localSheetId="1">'DE Básico + Congestion'!$D$11</definedName>
    <definedName name="_T2">#REF!</definedName>
    <definedName name="_T3" localSheetId="1">'DE Básico + Congestion'!$D$12</definedName>
    <definedName name="_T3">#REF!</definedName>
    <definedName name="_V1" localSheetId="1">'DE Básico + Congestion'!$B$11</definedName>
    <definedName name="_V1">#REF!</definedName>
    <definedName name="_V2" localSheetId="1">'DE Básico + Congestion'!$B$12</definedName>
    <definedName name="_V2">#REF!</definedName>
    <definedName name="_V3" localSheetId="1">'DE Básico + Congestion'!$D$10</definedName>
    <definedName name="_V3">#REF!</definedName>
    <definedName name="Sbase">'DE Básico + Congestion'!$B$7</definedName>
    <definedName name="solver_adj" localSheetId="1" hidden="1">'DE Básico + Congestion'!$D$10,'DE Básico + Congestion'!$D$11,'DE Básico + Congestion'!$D$12,'DE Básico + Congestion'!$D$13,'DE Básico + Congestion'!$D$14,'DE Básico + Congestion'!$D$15,'DE Básico + Congestion'!$D$16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hs0" localSheetId="1" hidden="1">'DE Básico + Congestion'!$C$30:$C$31</definedName>
    <definedName name="solver_lhs1" localSheetId="1" hidden="1">'DE Básico + Congestion'!$C$29:$C$34</definedName>
    <definedName name="solver_lhs2" localSheetId="1" hidden="1">'DE Básico + Congestion'!$H$46</definedName>
    <definedName name="solver_lhs3" localSheetId="1" hidden="1">'DE Básico + Congestion'!$D$13:$D$14</definedName>
    <definedName name="solver_lhs4" localSheetId="1" hidden="1">'DE Básico + Congestion'!$D$14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0.0001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'DE Básico + Congestion'!$D$27</definedName>
    <definedName name="solver_pre" localSheetId="1" hidden="1">0.000001</definedName>
    <definedName name="solver_rbv" localSheetId="1" hidden="1">2</definedName>
    <definedName name="solver_rel0" localSheetId="1" hidden="1">2</definedName>
    <definedName name="solver_rel1" localSheetId="1" hidden="1">2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hs0" localSheetId="1" hidden="1">'DE Básico + Congestion'!#REF!</definedName>
    <definedName name="solver_rhs1" localSheetId="1" hidden="1">'DE Básico + Congestion'!$D$29:$D$34</definedName>
    <definedName name="solver_rhs2" localSheetId="1" hidden="1">'DE Básico + Congestion'!$J$46</definedName>
    <definedName name="solver_rhs3" localSheetId="1" hidden="1">0</definedName>
    <definedName name="solver_rhs4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21" l="1"/>
  <c r="D24" i="21"/>
  <c r="D27" i="21"/>
  <c r="D53" i="21"/>
  <c r="H53" i="21"/>
  <c r="D54" i="21"/>
  <c r="K26" i="21"/>
  <c r="K25" i="21"/>
  <c r="H29" i="21"/>
  <c r="H28" i="21"/>
  <c r="H25" i="21"/>
  <c r="H26" i="21"/>
  <c r="H24" i="21"/>
  <c r="I8" i="21"/>
  <c r="M8" i="21"/>
  <c r="B46" i="21"/>
  <c r="C46" i="21"/>
  <c r="F46" i="21"/>
  <c r="H46" i="21"/>
  <c r="I9" i="21"/>
  <c r="M9" i="21"/>
  <c r="B47" i="21"/>
  <c r="C47" i="21"/>
  <c r="F47" i="21"/>
  <c r="H47" i="21"/>
  <c r="H8" i="21"/>
  <c r="L8" i="21"/>
  <c r="B45" i="21"/>
  <c r="C45" i="21"/>
  <c r="F45" i="21"/>
  <c r="H45" i="21"/>
  <c r="D45" i="21"/>
  <c r="G9" i="21"/>
  <c r="K9" i="21"/>
  <c r="E45" i="21"/>
  <c r="G45" i="21"/>
  <c r="D46" i="21"/>
  <c r="G10" i="21"/>
  <c r="K10" i="21"/>
  <c r="E46" i="21"/>
  <c r="G46" i="21"/>
  <c r="D47" i="21"/>
  <c r="H10" i="21"/>
  <c r="L10" i="21"/>
  <c r="E47" i="21"/>
  <c r="G47" i="21"/>
  <c r="I10" i="21"/>
  <c r="B11" i="21"/>
  <c r="B10" i="21"/>
  <c r="B12" i="21"/>
  <c r="D31" i="21"/>
  <c r="J17" i="33"/>
  <c r="B7" i="21"/>
  <c r="B15" i="21"/>
  <c r="G37" i="21"/>
  <c r="G39" i="21"/>
  <c r="B37" i="21"/>
  <c r="B38" i="21"/>
  <c r="B39" i="21"/>
  <c r="K39" i="21"/>
  <c r="B13" i="21"/>
  <c r="B14" i="21"/>
  <c r="B19" i="21"/>
  <c r="L49" i="21"/>
  <c r="D55" i="21"/>
  <c r="K37" i="21"/>
  <c r="B16" i="21"/>
  <c r="B17" i="21"/>
  <c r="B18" i="21"/>
  <c r="B20" i="21"/>
  <c r="M49" i="21"/>
  <c r="B25" i="21"/>
  <c r="C25" i="21"/>
  <c r="C38" i="21"/>
  <c r="D38" i="21"/>
  <c r="B24" i="21"/>
  <c r="C24" i="21"/>
  <c r="C37" i="21"/>
  <c r="C39" i="21"/>
  <c r="D39" i="21"/>
  <c r="D37" i="21"/>
  <c r="Z22" i="21"/>
  <c r="W23" i="21"/>
  <c r="Y17" i="21"/>
  <c r="Y27" i="21"/>
  <c r="Y26" i="21"/>
  <c r="AA19" i="21"/>
  <c r="AA18" i="21"/>
  <c r="W21" i="21"/>
  <c r="W20" i="21"/>
  <c r="F25" i="21"/>
  <c r="F24" i="21"/>
  <c r="C30" i="21"/>
  <c r="C32" i="21"/>
  <c r="C33" i="21"/>
  <c r="C29" i="21"/>
  <c r="M10" i="21"/>
  <c r="D34" i="21"/>
  <c r="L9" i="21"/>
  <c r="D33" i="21"/>
  <c r="K8" i="21"/>
  <c r="D32" i="21"/>
  <c r="H9" i="21"/>
  <c r="D30" i="21"/>
  <c r="G8" i="21"/>
  <c r="D29" i="21"/>
  <c r="C34" i="21"/>
  <c r="C31" i="21"/>
  <c r="G14" i="21"/>
  <c r="H13" i="21"/>
  <c r="H14" i="21"/>
  <c r="G13" i="21"/>
  <c r="E16" i="21"/>
  <c r="E15" i="21"/>
  <c r="L45" i="21"/>
  <c r="M45" i="21"/>
  <c r="M46" i="21"/>
  <c r="M47" i="21"/>
  <c r="M48" i="21"/>
  <c r="L46" i="21"/>
  <c r="L47" i="21"/>
  <c r="L48" i="21"/>
</calcChain>
</file>

<file path=xl/sharedStrings.xml><?xml version="1.0" encoding="utf-8"?>
<sst xmlns="http://schemas.openxmlformats.org/spreadsheetml/2006/main" count="215" uniqueCount="152">
  <si>
    <t>Sbase</t>
  </si>
  <si>
    <t>MVA</t>
  </si>
  <si>
    <t>+j</t>
  </si>
  <si>
    <t>Pij</t>
  </si>
  <si>
    <t>Pji</t>
  </si>
  <si>
    <t>Qij</t>
  </si>
  <si>
    <t>Qji</t>
  </si>
  <si>
    <t>Pline</t>
  </si>
  <si>
    <t>Qline</t>
  </si>
  <si>
    <t>Sline</t>
  </si>
  <si>
    <t>(pu)</t>
  </si>
  <si>
    <t>PG1=</t>
  </si>
  <si>
    <t>PG2=</t>
  </si>
  <si>
    <t>PG3=</t>
  </si>
  <si>
    <t>QG1=</t>
  </si>
  <si>
    <t>QG2=</t>
  </si>
  <si>
    <t>QG3=</t>
  </si>
  <si>
    <t>PD1=</t>
  </si>
  <si>
    <t>PD2=</t>
  </si>
  <si>
    <t>PD3=</t>
  </si>
  <si>
    <t>QD1=</t>
  </si>
  <si>
    <t>QD2=</t>
  </si>
  <si>
    <t>QD3=</t>
  </si>
  <si>
    <t>Real (pu)</t>
  </si>
  <si>
    <t>Reactive (pu)</t>
  </si>
  <si>
    <t>z12 (pu)=</t>
  </si>
  <si>
    <t>z13 (pu)=</t>
  </si>
  <si>
    <t>z23 (pu)=</t>
  </si>
  <si>
    <t>Smax</t>
  </si>
  <si>
    <t>&lt;</t>
  </si>
  <si>
    <t>Ybus=</t>
  </si>
  <si>
    <t>v1=</t>
  </si>
  <si>
    <t>v3=</t>
  </si>
  <si>
    <t>theta1=</t>
  </si>
  <si>
    <t>v2=</t>
  </si>
  <si>
    <t>theta2=</t>
  </si>
  <si>
    <t>theta3=</t>
  </si>
  <si>
    <t>PG1-&gt;</t>
  </si>
  <si>
    <t>PG2-&gt;</t>
  </si>
  <si>
    <t>LMPs</t>
  </si>
  <si>
    <t>Operación Económica de Sistemas de Potencia</t>
  </si>
  <si>
    <t>Ejemplo 1: Despacho Económico Básico</t>
  </si>
  <si>
    <t>Ejemplo 3: Despacho Económico Básico + Red</t>
  </si>
  <si>
    <t xml:space="preserve">Database tomada de </t>
  </si>
  <si>
    <t>Caso de Estudio 1</t>
  </si>
  <si>
    <t>Generation data</t>
  </si>
  <si>
    <t>Unit</t>
  </si>
  <si>
    <t>Co</t>
  </si>
  <si>
    <t>a</t>
  </si>
  <si>
    <t>b</t>
  </si>
  <si>
    <r>
      <t>P</t>
    </r>
    <r>
      <rPr>
        <vertAlign val="subscript"/>
        <sz val="12"/>
        <color theme="1"/>
        <rFont val="Calibri (Body)"/>
      </rPr>
      <t>Gmin</t>
    </r>
  </si>
  <si>
    <r>
      <t>P</t>
    </r>
    <r>
      <rPr>
        <vertAlign val="subscript"/>
        <sz val="12"/>
        <color theme="1"/>
        <rFont val="Calibri (Body)"/>
      </rPr>
      <t>Gmax</t>
    </r>
  </si>
  <si>
    <t>$/h</t>
  </si>
  <si>
    <t>$/MWh</t>
  </si>
  <si>
    <r>
      <t>$/MWh</t>
    </r>
    <r>
      <rPr>
        <vertAlign val="superscript"/>
        <sz val="12"/>
        <color theme="1"/>
        <rFont val="Calibri (Body)"/>
      </rPr>
      <t>2</t>
    </r>
  </si>
  <si>
    <t>MW</t>
  </si>
  <si>
    <t>Demand data</t>
  </si>
  <si>
    <t>Pd</t>
  </si>
  <si>
    <t>Sistema de Ttransmisión</t>
  </si>
  <si>
    <t>Control</t>
  </si>
  <si>
    <t>Incógnitas</t>
  </si>
  <si>
    <t>Despacho</t>
  </si>
  <si>
    <t>mvar</t>
  </si>
  <si>
    <t>Otras variables de interes:</t>
  </si>
  <si>
    <t>Flujos por las lineas</t>
  </si>
  <si>
    <t>a =$/MWh</t>
  </si>
  <si>
    <t>Production Cost Curves= aPg+(1/2)bPg^2</t>
  </si>
  <si>
    <t>OBJETIVO - Minimizar Production Cost=</t>
  </si>
  <si>
    <t>P1=PG1-PD1=0 -&gt;</t>
  </si>
  <si>
    <t>P2=PG2-PD2=0 -&gt;</t>
  </si>
  <si>
    <t>P3=PG3-PD3=0 -&gt;</t>
  </si>
  <si>
    <t>Q1=QG1-QD1=0 -&gt;</t>
  </si>
  <si>
    <t>Q2=QG2-QD2=0 -&gt;</t>
  </si>
  <si>
    <t>Q3=QG3-QD3=0 -&gt;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</si>
  <si>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</si>
  <si>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</si>
  <si>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</si>
  <si>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</si>
  <si>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</si>
  <si>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</si>
  <si>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</si>
  <si>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</si>
  <si>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</si>
  <si>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</si>
  <si>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</si>
  <si>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$D$10</t>
  </si>
  <si>
    <t>_V3</t>
  </si>
  <si>
    <t>$D$11</t>
  </si>
  <si>
    <t>_T2</t>
  </si>
  <si>
    <t>$D$12</t>
  </si>
  <si>
    <t>_T3</t>
  </si>
  <si>
    <t>$D$13</t>
  </si>
  <si>
    <t>_PG1</t>
  </si>
  <si>
    <t>$D$14</t>
  </si>
  <si>
    <t>_PG2</t>
  </si>
  <si>
    <t>$D$15</t>
  </si>
  <si>
    <t>_QG1</t>
  </si>
  <si>
    <t>$D$16</t>
  </si>
  <si>
    <t>_QG2</t>
  </si>
  <si>
    <t>$C$29</t>
  </si>
  <si>
    <t>P1=PG1-PD1=0 -&gt; b =$/MWh2</t>
  </si>
  <si>
    <t>$C$30</t>
  </si>
  <si>
    <t>P2=PG2-PD2=0 -&gt; b =$/MWh2</t>
  </si>
  <si>
    <t>$C$31</t>
  </si>
  <si>
    <t>P3=PG3-PD3=0 -&gt; b =$/MWh2</t>
  </si>
  <si>
    <t>$C$32</t>
  </si>
  <si>
    <t>Q1=QG1-QD1=0 -&gt; b =$/MWh2</t>
  </si>
  <si>
    <t>$C$33</t>
  </si>
  <si>
    <t>Q2=QG2-QD2=0 -&gt; b =$/MWh2</t>
  </si>
  <si>
    <t>$C$34</t>
  </si>
  <si>
    <t>Q3=QG3-QD3=0 -&gt; b =$/MWh2</t>
  </si>
  <si>
    <t>ICs</t>
  </si>
  <si>
    <t>C(Pg)</t>
  </si>
  <si>
    <r>
      <t>b =$/MWh</t>
    </r>
    <r>
      <rPr>
        <b/>
        <vertAlign val="superscript"/>
        <sz val="11"/>
        <color theme="1"/>
        <rFont val="Calibri (Body)"/>
      </rPr>
      <t>2</t>
    </r>
  </si>
  <si>
    <t>(53)</t>
  </si>
  <si>
    <t>(54)</t>
  </si>
  <si>
    <t>(55)</t>
  </si>
  <si>
    <t>(56)</t>
  </si>
  <si>
    <t>(57)</t>
  </si>
  <si>
    <t>(58)</t>
  </si>
  <si>
    <t>(59)</t>
  </si>
  <si>
    <t>Sujeto a:</t>
  </si>
  <si>
    <t>Mvar</t>
  </si>
  <si>
    <t>G1</t>
  </si>
  <si>
    <t>G2</t>
  </si>
  <si>
    <t>Ingreso $/h</t>
  </si>
  <si>
    <t>Total</t>
  </si>
  <si>
    <t>Costo $/h</t>
  </si>
  <si>
    <t>Lucro $/h</t>
  </si>
  <si>
    <t>Pérdidas</t>
  </si>
  <si>
    <t>Pago $/h</t>
  </si>
  <si>
    <t>D1</t>
  </si>
  <si>
    <t>pu</t>
  </si>
  <si>
    <t>Modelo:</t>
  </si>
  <si>
    <t>Red</t>
  </si>
  <si>
    <t>Remun. $/h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</si>
  <si>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1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</si>
  <si>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</si>
  <si>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charset val="2"/>
        <scheme val="minor"/>
      </rPr>
      <t xml:space="preserve"> =</t>
    </r>
  </si>
  <si>
    <t>max</t>
  </si>
  <si>
    <t>min</t>
  </si>
  <si>
    <t>Worksheet: [Despacho_Economico_Basico_RedCongest.xlsx]DE Básico + Red</t>
  </si>
  <si>
    <t>$H$46</t>
  </si>
  <si>
    <t>Report Created: 30/03/2021 9:43:22 a. m.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</si>
  <si>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</si>
  <si>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charset val="2"/>
        <scheme val="minor"/>
      </rPr>
      <t xml:space="preserve"> =</t>
    </r>
  </si>
  <si>
    <t>Reparto de  cargos de congestion</t>
  </si>
  <si>
    <t>G1 paga porcongestion</t>
  </si>
  <si>
    <t>Demandas pagan por congestion</t>
  </si>
  <si>
    <t>La red recibe ingresos por congestion</t>
  </si>
  <si>
    <t xml:space="preserve">realmente recibe </t>
  </si>
  <si>
    <t>por elivio de congestion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</si>
</sst>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b/>
      <sz val="1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vertAlign val="superscript"/>
      <sz val="11"/>
      <color theme="1"/>
      <name val="Calibri (Body)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"/>
      <scheme val="minor"/>
    </font>
    <font>
      <vertAlign val="subscript"/>
      <sz val="11"/>
      <color theme="1"/>
      <name val="Calibri (Body)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1"/>
      <charset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7" borderId="0" applyNumberFormat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1" xfId="0" applyNumberForma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Border="1"/>
    <xf numFmtId="2" fontId="0" fillId="2" borderId="0" xfId="0" applyNumberFormat="1" applyFill="1"/>
    <xf numFmtId="0" fontId="3" fillId="2" borderId="0" xfId="0" applyFont="1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2" fontId="3" fillId="2" borderId="0" xfId="0" applyNumberFormat="1" applyFont="1" applyFill="1" applyAlignment="1">
      <alignment horizontal="right"/>
    </xf>
    <xf numFmtId="0" fontId="0" fillId="2" borderId="0" xfId="0" quotePrefix="1" applyFill="1"/>
    <xf numFmtId="0" fontId="0" fillId="2" borderId="0" xfId="0" applyFill="1" applyBorder="1" applyAlignment="1">
      <alignment horizontal="right"/>
    </xf>
    <xf numFmtId="166" fontId="1" fillId="4" borderId="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left"/>
    </xf>
    <xf numFmtId="164" fontId="0" fillId="5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0" fillId="6" borderId="0" xfId="0" applyFill="1" applyBorder="1"/>
    <xf numFmtId="0" fontId="0" fillId="4" borderId="0" xfId="0" applyFont="1" applyFill="1" applyBorder="1" applyAlignment="1">
      <alignment horizontal="right"/>
    </xf>
    <xf numFmtId="166" fontId="0" fillId="4" borderId="0" xfId="0" applyNumberFormat="1" applyFont="1" applyFill="1" applyBorder="1" applyAlignment="1">
      <alignment horizontal="center"/>
    </xf>
    <xf numFmtId="0" fontId="3" fillId="2" borderId="0" xfId="0" applyFont="1" applyFill="1"/>
    <xf numFmtId="0" fontId="6" fillId="2" borderId="0" xfId="0" applyFont="1" applyFill="1" applyBorder="1" applyAlignment="1">
      <alignment horizontal="right"/>
    </xf>
    <xf numFmtId="166" fontId="1" fillId="2" borderId="0" xfId="0" applyNumberFormat="1" applyFont="1" applyFill="1" applyBorder="1"/>
    <xf numFmtId="2" fontId="0" fillId="2" borderId="0" xfId="0" applyNumberFormat="1" applyFill="1" applyBorder="1"/>
    <xf numFmtId="0" fontId="7" fillId="2" borderId="0" xfId="0" applyFont="1" applyFill="1" applyBorder="1" applyAlignment="1">
      <alignment horizontal="center"/>
    </xf>
    <xf numFmtId="166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164" fontId="0" fillId="2" borderId="0" xfId="0" applyNumberFormat="1" applyFill="1"/>
    <xf numFmtId="0" fontId="1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quotePrefix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5" fillId="2" borderId="0" xfId="0" applyFont="1" applyFill="1" applyBorder="1"/>
    <xf numFmtId="0" fontId="16" fillId="2" borderId="0" xfId="0" applyFont="1" applyFill="1" applyBorder="1"/>
    <xf numFmtId="2" fontId="13" fillId="7" borderId="0" xfId="13" applyNumberFormat="1"/>
    <xf numFmtId="2" fontId="3" fillId="2" borderId="0" xfId="0" applyNumberFormat="1" applyFont="1" applyFill="1"/>
    <xf numFmtId="0" fontId="17" fillId="2" borderId="0" xfId="0" applyFont="1" applyFill="1"/>
    <xf numFmtId="2" fontId="18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2" xfId="0" applyFill="1" applyBorder="1"/>
    <xf numFmtId="164" fontId="0" fillId="2" borderId="2" xfId="0" applyNumberFormat="1" applyFill="1" applyBorder="1" applyAlignment="1">
      <alignment horizontal="center"/>
    </xf>
    <xf numFmtId="166" fontId="0" fillId="2" borderId="0" xfId="0" applyNumberFormat="1" applyFill="1" applyBorder="1"/>
    <xf numFmtId="0" fontId="18" fillId="2" borderId="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18" fillId="2" borderId="0" xfId="0" applyNumberFormat="1" applyFon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/>
    <xf numFmtId="0" fontId="18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0" fillId="2" borderId="0" xfId="0" quotePrefix="1" applyFill="1" applyAlignment="1">
      <alignment horizontal="right"/>
    </xf>
    <xf numFmtId="164" fontId="0" fillId="2" borderId="2" xfId="0" applyNumberFormat="1" applyFill="1" applyBorder="1"/>
    <xf numFmtId="0" fontId="0" fillId="2" borderId="2" xfId="0" applyFill="1" applyBorder="1" applyAlignment="1">
      <alignment horizontal="left"/>
    </xf>
    <xf numFmtId="0" fontId="0" fillId="8" borderId="0" xfId="0" applyFill="1" applyBorder="1"/>
    <xf numFmtId="0" fontId="0" fillId="8" borderId="0" xfId="0" applyFill="1"/>
    <xf numFmtId="0" fontId="23" fillId="0" borderId="4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0" fontId="0" fillId="9" borderId="0" xfId="0" applyFill="1"/>
    <xf numFmtId="2" fontId="1" fillId="6" borderId="0" xfId="0" applyNumberFormat="1" applyFon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7" fillId="2" borderId="0" xfId="0" applyNumberFormat="1" applyFont="1" applyFill="1"/>
    <xf numFmtId="2" fontId="17" fillId="2" borderId="0" xfId="0" applyNumberFormat="1" applyFont="1" applyFill="1"/>
    <xf numFmtId="0" fontId="24" fillId="2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11" fontId="1" fillId="6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38426</xdr:colOff>
      <xdr:row>17</xdr:row>
      <xdr:rowOff>100296</xdr:rowOff>
    </xdr:from>
    <xdr:to>
      <xdr:col>25</xdr:col>
      <xdr:colOff>83364</xdr:colOff>
      <xdr:row>19</xdr:row>
      <xdr:rowOff>80757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8098693" y="633696"/>
          <a:ext cx="44938" cy="3360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670169</xdr:colOff>
      <xdr:row>17</xdr:row>
      <xdr:rowOff>103555</xdr:rowOff>
    </xdr:from>
    <xdr:to>
      <xdr:col>23</xdr:col>
      <xdr:colOff>728784</xdr:colOff>
      <xdr:row>19</xdr:row>
      <xdr:rowOff>84016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7291102" y="636955"/>
          <a:ext cx="58615" cy="3360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728784</xdr:colOff>
      <xdr:row>18</xdr:row>
      <xdr:rowOff>90527</xdr:rowOff>
    </xdr:from>
    <xdr:to>
      <xdr:col>25</xdr:col>
      <xdr:colOff>38426</xdr:colOff>
      <xdr:row>18</xdr:row>
      <xdr:rowOff>93786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>
          <a:stCxn id="7" idx="3"/>
          <a:endCxn id="5" idx="1"/>
        </xdr:cNvCxnSpPr>
      </xdr:nvCxnSpPr>
      <xdr:spPr>
        <a:xfrm flipV="1">
          <a:off x="7349717" y="801727"/>
          <a:ext cx="748976" cy="32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44612</xdr:colOff>
      <xdr:row>23</xdr:row>
      <xdr:rowOff>101601</xdr:rowOff>
    </xdr:from>
    <xdr:to>
      <xdr:col>25</xdr:col>
      <xdr:colOff>74245</xdr:colOff>
      <xdr:row>23</xdr:row>
      <xdr:rowOff>167056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 rot="5400000">
          <a:off x="8925167" y="1330246"/>
          <a:ext cx="65455" cy="452966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496457</xdr:colOff>
      <xdr:row>18</xdr:row>
      <xdr:rowOff>90527</xdr:rowOff>
    </xdr:from>
    <xdr:to>
      <xdr:col>25</xdr:col>
      <xdr:colOff>38426</xdr:colOff>
      <xdr:row>23</xdr:row>
      <xdr:rowOff>101601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5" idx="1"/>
          <a:endCxn id="21" idx="1"/>
        </xdr:cNvCxnSpPr>
      </xdr:nvCxnSpPr>
      <xdr:spPr>
        <a:xfrm flipH="1">
          <a:off x="14092928" y="3549409"/>
          <a:ext cx="416027" cy="89260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455705</xdr:colOff>
      <xdr:row>23</xdr:row>
      <xdr:rowOff>152116</xdr:rowOff>
    </xdr:from>
    <xdr:to>
      <xdr:col>24</xdr:col>
      <xdr:colOff>457859</xdr:colOff>
      <xdr:row>26</xdr:row>
      <xdr:rowOff>134470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H="1">
          <a:off x="14052176" y="4492528"/>
          <a:ext cx="2154" cy="47541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791804</xdr:colOff>
      <xdr:row>17</xdr:row>
      <xdr:rowOff>120104</xdr:rowOff>
    </xdr:from>
    <xdr:to>
      <xdr:col>23</xdr:col>
      <xdr:colOff>352669</xdr:colOff>
      <xdr:row>18</xdr:row>
      <xdr:rowOff>93786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cxnSpLocks/>
          <a:endCxn id="7" idx="1"/>
        </xdr:cNvCxnSpPr>
      </xdr:nvCxnSpPr>
      <xdr:spPr>
        <a:xfrm>
          <a:off x="13155628" y="3384751"/>
          <a:ext cx="434923" cy="167917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83364</xdr:colOff>
      <xdr:row>18</xdr:row>
      <xdr:rowOff>79138</xdr:rowOff>
    </xdr:from>
    <xdr:to>
      <xdr:col>25</xdr:col>
      <xdr:colOff>327729</xdr:colOff>
      <xdr:row>18</xdr:row>
      <xdr:rowOff>90527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cxnSpLocks/>
          <a:stCxn id="33" idx="2"/>
          <a:endCxn id="5" idx="3"/>
        </xdr:cNvCxnSpPr>
      </xdr:nvCxnSpPr>
      <xdr:spPr>
        <a:xfrm flipH="1">
          <a:off x="13552835" y="3538020"/>
          <a:ext cx="244365" cy="1138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157131</xdr:colOff>
      <xdr:row>16</xdr:row>
      <xdr:rowOff>124510</xdr:rowOff>
    </xdr:from>
    <xdr:ext cx="256162" cy="261610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/>
      </xdr:nvSpPr>
      <xdr:spPr>
        <a:xfrm>
          <a:off x="13395013" y="3194922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1</a:t>
          </a:r>
        </a:p>
      </xdr:txBody>
    </xdr:sp>
    <xdr:clientData/>
  </xdr:oneCellAnchor>
  <xdr:oneCellAnchor>
    <xdr:from>
      <xdr:col>25</xdr:col>
      <xdr:colOff>45321</xdr:colOff>
      <xdr:row>16</xdr:row>
      <xdr:rowOff>130984</xdr:rowOff>
    </xdr:from>
    <xdr:ext cx="256162" cy="261610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14515850" y="3201396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2</a:t>
          </a:r>
        </a:p>
      </xdr:txBody>
    </xdr:sp>
    <xdr:clientData/>
  </xdr:oneCellAnchor>
  <xdr:oneCellAnchor>
    <xdr:from>
      <xdr:col>23</xdr:col>
      <xdr:colOff>508000</xdr:colOff>
      <xdr:row>23</xdr:row>
      <xdr:rowOff>110067</xdr:rowOff>
    </xdr:from>
    <xdr:ext cx="256162" cy="261610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8568267" y="1625600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3</a:t>
          </a:r>
        </a:p>
      </xdr:txBody>
    </xdr:sp>
    <xdr:clientData/>
  </xdr:oneCellAnchor>
  <xdr:twoCellAnchor editAs="oneCell">
    <xdr:from>
      <xdr:col>0</xdr:col>
      <xdr:colOff>171824</xdr:colOff>
      <xdr:row>0</xdr:row>
      <xdr:rowOff>0</xdr:rowOff>
    </xdr:from>
    <xdr:to>
      <xdr:col>3</xdr:col>
      <xdr:colOff>192339</xdr:colOff>
      <xdr:row>5</xdr:row>
      <xdr:rowOff>2883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2B57BDF-1008-2C4A-9C3D-93CBD1D01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24" y="0"/>
          <a:ext cx="2112280" cy="928086"/>
        </a:xfrm>
        <a:prstGeom prst="rect">
          <a:avLst/>
        </a:prstGeom>
      </xdr:spPr>
    </xdr:pic>
    <xdr:clientData/>
  </xdr:twoCellAnchor>
  <xdr:twoCellAnchor>
    <xdr:from>
      <xdr:col>24</xdr:col>
      <xdr:colOff>1895</xdr:colOff>
      <xdr:row>18</xdr:row>
      <xdr:rowOff>93786</xdr:rowOff>
    </xdr:from>
    <xdr:to>
      <xdr:col>24</xdr:col>
      <xdr:colOff>397664</xdr:colOff>
      <xdr:row>23</xdr:row>
      <xdr:rowOff>107461</xdr:rowOff>
    </xdr:to>
    <xdr:cxnSp macro="">
      <xdr:nvCxnSpPr>
        <xdr:cNvPr id="24" name="Conector recto de flecha 21">
          <a:extLst>
            <a:ext uri="{FF2B5EF4-FFF2-40B4-BE49-F238E27FC236}">
              <a16:creationId xmlns:a16="http://schemas.microsoft.com/office/drawing/2014/main" id="{81598B2E-B2C1-AA4E-A61B-22485A74E404}"/>
            </a:ext>
          </a:extLst>
        </xdr:cNvPr>
        <xdr:cNvCxnSpPr>
          <a:cxnSpLocks/>
          <a:stCxn id="7" idx="3"/>
        </xdr:cNvCxnSpPr>
      </xdr:nvCxnSpPr>
      <xdr:spPr>
        <a:xfrm>
          <a:off x="13598366" y="3552668"/>
          <a:ext cx="395769" cy="895205"/>
        </a:xfrm>
        <a:prstGeom prst="straightConnector1">
          <a:avLst/>
        </a:prstGeom>
        <a:ln w="34925"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619125</xdr:colOff>
      <xdr:row>38</xdr:row>
      <xdr:rowOff>95250</xdr:rowOff>
    </xdr:from>
    <xdr:to>
      <xdr:col>11</xdr:col>
      <xdr:colOff>642938</xdr:colOff>
      <xdr:row>38</xdr:row>
      <xdr:rowOff>103188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997370A-207D-1D46-9B42-D3597FEA7F96}"/>
            </a:ext>
          </a:extLst>
        </xdr:cNvPr>
        <xdr:cNvCxnSpPr/>
      </xdr:nvCxnSpPr>
      <xdr:spPr>
        <a:xfrm flipV="1">
          <a:off x="6881813" y="6969125"/>
          <a:ext cx="698500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312959</xdr:colOff>
      <xdr:row>17</xdr:row>
      <xdr:rowOff>93901</xdr:rowOff>
    </xdr:from>
    <xdr:to>
      <xdr:col>24</xdr:col>
      <xdr:colOff>26606</xdr:colOff>
      <xdr:row>19</xdr:row>
      <xdr:rowOff>72064</xdr:rowOff>
    </xdr:to>
    <xdr:sp macro="" textlink="">
      <xdr:nvSpPr>
        <xdr:cNvPr id="19" name="Rectángulo 6">
          <a:extLst>
            <a:ext uri="{FF2B5EF4-FFF2-40B4-BE49-F238E27FC236}">
              <a16:creationId xmlns:a16="http://schemas.microsoft.com/office/drawing/2014/main" id="{5AFA94EF-1C1D-C148-87A1-E3D1F86E2E4C}"/>
            </a:ext>
          </a:extLst>
        </xdr:cNvPr>
        <xdr:cNvSpPr/>
      </xdr:nvSpPr>
      <xdr:spPr>
        <a:xfrm flipH="1">
          <a:off x="12573344" y="3386132"/>
          <a:ext cx="65339" cy="368932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473117</xdr:colOff>
      <xdr:row>16</xdr:row>
      <xdr:rowOff>121944</xdr:rowOff>
    </xdr:from>
    <xdr:to>
      <xdr:col>22</xdr:col>
      <xdr:colOff>831089</xdr:colOff>
      <xdr:row>18</xdr:row>
      <xdr:rowOff>75410</xdr:rowOff>
    </xdr:to>
    <xdr:grpSp>
      <xdr:nvGrpSpPr>
        <xdr:cNvPr id="25" name="Agrupar 51">
          <a:extLst>
            <a:ext uri="{FF2B5EF4-FFF2-40B4-BE49-F238E27FC236}">
              <a16:creationId xmlns:a16="http://schemas.microsoft.com/office/drawing/2014/main" id="{224E9DAA-5BFA-C54E-B6C3-CF49455B3045}"/>
            </a:ext>
          </a:extLst>
        </xdr:cNvPr>
        <xdr:cNvGrpSpPr/>
      </xdr:nvGrpSpPr>
      <xdr:grpSpPr>
        <a:xfrm>
          <a:off x="11822299" y="3227671"/>
          <a:ext cx="357972" cy="346012"/>
          <a:chOff x="513989" y="2399805"/>
          <a:chExt cx="713232" cy="713205"/>
        </a:xfrm>
        <a:solidFill>
          <a:srgbClr val="FFC000"/>
        </a:solidFill>
      </xdr:grpSpPr>
      <xdr:sp macro="" textlink="">
        <xdr:nvSpPr>
          <xdr:cNvPr id="26" name="Elipse 24">
            <a:extLst>
              <a:ext uri="{FF2B5EF4-FFF2-40B4-BE49-F238E27FC236}">
                <a16:creationId xmlns:a16="http://schemas.microsoft.com/office/drawing/2014/main" id="{CF8A47DC-5BF6-594C-99F5-E28BF63D4D73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grpFill/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27" name="Agrupar 50">
            <a:extLst>
              <a:ext uri="{FF2B5EF4-FFF2-40B4-BE49-F238E27FC236}">
                <a16:creationId xmlns:a16="http://schemas.microsoft.com/office/drawing/2014/main" id="{BEE458AA-8FB0-5642-955E-937ABD7932DF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  <a:grpFill/>
        </xdr:grpSpPr>
        <xdr:sp macro="" textlink="">
          <xdr:nvSpPr>
            <xdr:cNvPr id="29" name="Arco 25">
              <a:extLst>
                <a:ext uri="{FF2B5EF4-FFF2-40B4-BE49-F238E27FC236}">
                  <a16:creationId xmlns:a16="http://schemas.microsoft.com/office/drawing/2014/main" id="{FDBC8BCB-E9EF-C64D-8D3B-CAE1A3B28765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30" name="Arco 26">
              <a:extLst>
                <a:ext uri="{FF2B5EF4-FFF2-40B4-BE49-F238E27FC236}">
                  <a16:creationId xmlns:a16="http://schemas.microsoft.com/office/drawing/2014/main" id="{0B0483F9-7FD2-E148-988F-A00A43A60D28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25</xdr:col>
      <xdr:colOff>327729</xdr:colOff>
      <xdr:row>17</xdr:row>
      <xdr:rowOff>102404</xdr:rowOff>
    </xdr:from>
    <xdr:to>
      <xdr:col>26</xdr:col>
      <xdr:colOff>207009</xdr:colOff>
      <xdr:row>19</xdr:row>
      <xdr:rowOff>55870</xdr:rowOff>
    </xdr:to>
    <xdr:grpSp>
      <xdr:nvGrpSpPr>
        <xdr:cNvPr id="31" name="Agrupar 51">
          <a:extLst>
            <a:ext uri="{FF2B5EF4-FFF2-40B4-BE49-F238E27FC236}">
              <a16:creationId xmlns:a16="http://schemas.microsoft.com/office/drawing/2014/main" id="{9D5979D2-15E1-B046-812C-B339C0394BD2}"/>
            </a:ext>
          </a:extLst>
        </xdr:cNvPr>
        <xdr:cNvGrpSpPr/>
      </xdr:nvGrpSpPr>
      <xdr:grpSpPr>
        <a:xfrm>
          <a:off x="13789729" y="3404404"/>
          <a:ext cx="364189" cy="346011"/>
          <a:chOff x="513989" y="2399805"/>
          <a:chExt cx="713232" cy="713205"/>
        </a:xfrm>
      </xdr:grpSpPr>
      <xdr:sp macro="" textlink="">
        <xdr:nvSpPr>
          <xdr:cNvPr id="33" name="Elipse 24">
            <a:extLst>
              <a:ext uri="{FF2B5EF4-FFF2-40B4-BE49-F238E27FC236}">
                <a16:creationId xmlns:a16="http://schemas.microsoft.com/office/drawing/2014/main" id="{A9D20259-347D-A049-86F3-FA87D765701F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solidFill>
            <a:srgbClr val="FF0000">
              <a:alpha val="36000"/>
            </a:srgbClr>
          </a:solidFill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34" name="Agrupar 50">
            <a:extLst>
              <a:ext uri="{FF2B5EF4-FFF2-40B4-BE49-F238E27FC236}">
                <a16:creationId xmlns:a16="http://schemas.microsoft.com/office/drawing/2014/main" id="{F1CABBC6-FAE8-EC4D-AECA-0A3AE9A1C914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</xdr:grpSpPr>
        <xdr:sp macro="" textlink="">
          <xdr:nvSpPr>
            <xdr:cNvPr id="35" name="Arco 25">
              <a:extLst>
                <a:ext uri="{FF2B5EF4-FFF2-40B4-BE49-F238E27FC236}">
                  <a16:creationId xmlns:a16="http://schemas.microsoft.com/office/drawing/2014/main" id="{18004015-65ED-4A47-B8CD-6355E5C5EB15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36" name="Arco 26">
              <a:extLst>
                <a:ext uri="{FF2B5EF4-FFF2-40B4-BE49-F238E27FC236}">
                  <a16:creationId xmlns:a16="http://schemas.microsoft.com/office/drawing/2014/main" id="{4F954D13-CB9A-6646-9C9C-A042F3215E30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 editAs="oneCell">
    <xdr:from>
      <xdr:col>9</xdr:col>
      <xdr:colOff>34636</xdr:colOff>
      <xdr:row>15</xdr:row>
      <xdr:rowOff>11545</xdr:rowOff>
    </xdr:from>
    <xdr:to>
      <xdr:col>16</xdr:col>
      <xdr:colOff>138427</xdr:colOff>
      <xdr:row>34</xdr:row>
      <xdr:rowOff>189345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CE60D9-20D1-044D-82A1-FBFBBD593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000" y="2921000"/>
          <a:ext cx="3890700" cy="34220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184638</xdr:colOff>
      <xdr:row>0</xdr:row>
      <xdr:rowOff>22218</xdr:rowOff>
    </xdr:from>
    <xdr:to>
      <xdr:col>2</xdr:col>
      <xdr:colOff>644769</xdr:colOff>
      <xdr:row>5</xdr:row>
      <xdr:rowOff>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F3E115-E927-C542-974D-EF2D0599F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638" y="22218"/>
          <a:ext cx="2111131" cy="861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5B8E-1207-4C18-A952-5F64BE97625E}">
  <dimension ref="A1:E26"/>
  <sheetViews>
    <sheetView showGridLines="0" workbookViewId="0">
      <selection activeCell="E26" sqref="E26"/>
    </sheetView>
  </sheetViews>
  <sheetFormatPr baseColWidth="10" defaultColWidth="8.83203125" defaultRowHeight="15" x14ac:dyDescent="0.2"/>
  <cols>
    <col min="1" max="1" width="2.33203125" customWidth="1"/>
    <col min="2" max="2" width="6.33203125" bestFit="1" customWidth="1"/>
    <col min="3" max="3" width="27.83203125" bestFit="1" customWidth="1"/>
    <col min="4" max="5" width="12.6640625" bestFit="1" customWidth="1"/>
  </cols>
  <sheetData>
    <row r="1" spans="1:5" x14ac:dyDescent="0.2">
      <c r="A1" s="1" t="s">
        <v>74</v>
      </c>
    </row>
    <row r="2" spans="1:5" x14ac:dyDescent="0.2">
      <c r="A2" s="1" t="s">
        <v>141</v>
      </c>
    </row>
    <row r="3" spans="1:5" x14ac:dyDescent="0.2">
      <c r="A3" s="1" t="s">
        <v>143</v>
      </c>
    </row>
    <row r="6" spans="1:5" ht="16" thickBot="1" x14ac:dyDescent="0.25">
      <c r="A6" t="s">
        <v>75</v>
      </c>
    </row>
    <row r="7" spans="1:5" x14ac:dyDescent="0.2">
      <c r="B7" s="72"/>
      <c r="C7" s="72"/>
      <c r="D7" s="72" t="s">
        <v>78</v>
      </c>
      <c r="E7" s="72" t="s">
        <v>80</v>
      </c>
    </row>
    <row r="8" spans="1:5" ht="16" thickBot="1" x14ac:dyDescent="0.25">
      <c r="B8" s="73" t="s">
        <v>76</v>
      </c>
      <c r="C8" s="73" t="s">
        <v>77</v>
      </c>
      <c r="D8" s="73" t="s">
        <v>79</v>
      </c>
      <c r="E8" s="73" t="s">
        <v>81</v>
      </c>
    </row>
    <row r="9" spans="1:5" x14ac:dyDescent="0.2">
      <c r="B9" s="38" t="s">
        <v>85</v>
      </c>
      <c r="C9" s="38" t="s">
        <v>86</v>
      </c>
      <c r="D9" s="38">
        <v>0.9980087422674736</v>
      </c>
      <c r="E9" s="38">
        <v>0</v>
      </c>
    </row>
    <row r="10" spans="1:5" x14ac:dyDescent="0.2">
      <c r="B10" s="38" t="s">
        <v>87</v>
      </c>
      <c r="C10" s="38" t="s">
        <v>88</v>
      </c>
      <c r="D10" s="38">
        <v>-1.5059632191391812E-2</v>
      </c>
      <c r="E10" s="38">
        <v>0</v>
      </c>
    </row>
    <row r="11" spans="1:5" x14ac:dyDescent="0.2">
      <c r="B11" s="38" t="s">
        <v>89</v>
      </c>
      <c r="C11" s="38" t="s">
        <v>90</v>
      </c>
      <c r="D11" s="38">
        <v>-7.019730346348256E-2</v>
      </c>
      <c r="E11" s="38">
        <v>0</v>
      </c>
    </row>
    <row r="12" spans="1:5" x14ac:dyDescent="0.2">
      <c r="B12" s="38" t="s">
        <v>91</v>
      </c>
      <c r="C12" s="38" t="s">
        <v>92</v>
      </c>
      <c r="D12" s="38">
        <v>0.85059062962359988</v>
      </c>
      <c r="E12" s="38">
        <v>0</v>
      </c>
    </row>
    <row r="13" spans="1:5" x14ac:dyDescent="0.2">
      <c r="B13" s="38" t="s">
        <v>93</v>
      </c>
      <c r="C13" s="38" t="s">
        <v>94</v>
      </c>
      <c r="D13" s="38">
        <v>0.39940937037640012</v>
      </c>
      <c r="E13" s="38">
        <v>0</v>
      </c>
    </row>
    <row r="14" spans="1:5" x14ac:dyDescent="0.2">
      <c r="B14" s="38" t="s">
        <v>95</v>
      </c>
      <c r="C14" s="38" t="s">
        <v>96</v>
      </c>
      <c r="D14" s="38">
        <v>4.5625668906479101E-2</v>
      </c>
      <c r="E14" s="38">
        <v>0</v>
      </c>
    </row>
    <row r="15" spans="1:5" ht="16" thickBot="1" x14ac:dyDescent="0.25">
      <c r="B15" s="39" t="s">
        <v>97</v>
      </c>
      <c r="C15" s="39" t="s">
        <v>98</v>
      </c>
      <c r="D15" s="39">
        <v>3.6213220786662101E-2</v>
      </c>
      <c r="E15" s="39">
        <v>0</v>
      </c>
    </row>
    <row r="17" spans="1:5" ht="16" thickBot="1" x14ac:dyDescent="0.25">
      <c r="A17" t="s">
        <v>82</v>
      </c>
    </row>
    <row r="18" spans="1:5" x14ac:dyDescent="0.2">
      <c r="B18" s="72"/>
      <c r="C18" s="72"/>
      <c r="D18" s="72" t="s">
        <v>78</v>
      </c>
      <c r="E18" s="72" t="s">
        <v>83</v>
      </c>
    </row>
    <row r="19" spans="1:5" ht="16" thickBot="1" x14ac:dyDescent="0.25">
      <c r="B19" s="73" t="s">
        <v>76</v>
      </c>
      <c r="C19" s="73" t="s">
        <v>77</v>
      </c>
      <c r="D19" s="73" t="s">
        <v>79</v>
      </c>
      <c r="E19" s="73" t="s">
        <v>84</v>
      </c>
    </row>
    <row r="20" spans="1:5" x14ac:dyDescent="0.2">
      <c r="B20" s="38" t="s">
        <v>99</v>
      </c>
      <c r="C20" s="38" t="s">
        <v>100</v>
      </c>
      <c r="D20" s="38">
        <v>0.85059062962359988</v>
      </c>
      <c r="E20" s="38">
        <v>5701.18310546875</v>
      </c>
    </row>
    <row r="21" spans="1:5" x14ac:dyDescent="0.2">
      <c r="B21" s="38" t="s">
        <v>101</v>
      </c>
      <c r="C21" s="38" t="s">
        <v>102</v>
      </c>
      <c r="D21" s="38">
        <v>0.39940937037640012</v>
      </c>
      <c r="E21" s="38">
        <v>6597.64013671875</v>
      </c>
    </row>
    <row r="22" spans="1:5" x14ac:dyDescent="0.2">
      <c r="B22" s="38" t="s">
        <v>103</v>
      </c>
      <c r="C22" s="38" t="s">
        <v>104</v>
      </c>
      <c r="D22" s="38">
        <v>-1.25</v>
      </c>
      <c r="E22" s="38">
        <v>7496.7746298275806</v>
      </c>
    </row>
    <row r="23" spans="1:5" x14ac:dyDescent="0.2">
      <c r="B23" s="38" t="s">
        <v>105</v>
      </c>
      <c r="C23" s="38" t="s">
        <v>106</v>
      </c>
      <c r="D23" s="38">
        <v>4.5625668906479101E-2</v>
      </c>
      <c r="E23" s="38">
        <v>0</v>
      </c>
    </row>
    <row r="24" spans="1:5" x14ac:dyDescent="0.2">
      <c r="B24" s="38" t="s">
        <v>107</v>
      </c>
      <c r="C24" s="38" t="s">
        <v>108</v>
      </c>
      <c r="D24" s="38">
        <v>3.6213220786662101E-2</v>
      </c>
      <c r="E24" s="38">
        <v>0</v>
      </c>
    </row>
    <row r="25" spans="1:5" x14ac:dyDescent="0.2">
      <c r="B25" s="38" t="s">
        <v>109</v>
      </c>
      <c r="C25" s="38" t="s">
        <v>110</v>
      </c>
      <c r="D25" s="38">
        <v>0</v>
      </c>
      <c r="E25" s="38">
        <v>-6.83041415073113</v>
      </c>
    </row>
    <row r="26" spans="1:5" ht="16" thickBot="1" x14ac:dyDescent="0.25">
      <c r="B26" s="39" t="s">
        <v>142</v>
      </c>
      <c r="C26" s="39" t="s">
        <v>1</v>
      </c>
      <c r="D26" s="39">
        <v>140.0000001789081</v>
      </c>
      <c r="E26" s="39">
        <v>-13.482168462607149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40"/>
  <sheetViews>
    <sheetView tabSelected="1" zoomScale="110" zoomScaleNormal="110" zoomScalePageLayoutView="130" workbookViewId="0">
      <pane ySplit="5" topLeftCell="A6" activePane="bottomLeft" state="frozen"/>
      <selection pane="bottomLeft" activeCell="D57" sqref="D57"/>
    </sheetView>
  </sheetViews>
  <sheetFormatPr baseColWidth="10" defaultColWidth="11.5" defaultRowHeight="15" x14ac:dyDescent="0.2"/>
  <cols>
    <col min="1" max="2" width="8.83203125" customWidth="1"/>
    <col min="3" max="3" width="9.83203125" customWidth="1"/>
    <col min="4" max="4" width="12.5" customWidth="1"/>
    <col min="5" max="6" width="8.83203125" customWidth="1"/>
    <col min="7" max="7" width="8.1640625" customWidth="1"/>
    <col min="8" max="8" width="8.83203125" customWidth="1"/>
    <col min="9" max="9" width="8.33203125" customWidth="1"/>
    <col min="10" max="10" width="5.33203125" customWidth="1"/>
    <col min="11" max="12" width="8.83203125" customWidth="1"/>
    <col min="13" max="13" width="9.6640625" customWidth="1"/>
    <col min="14" max="14" width="3.1640625" customWidth="1"/>
    <col min="15" max="15" width="8.83203125" customWidth="1"/>
    <col min="16" max="16" width="5.1640625" customWidth="1"/>
    <col min="17" max="17" width="1.83203125" customWidth="1"/>
    <col min="18" max="18" width="8.83203125" customWidth="1"/>
    <col min="19" max="20" width="1.6640625" customWidth="1"/>
    <col min="21" max="22" width="1.1640625" customWidth="1"/>
    <col min="24" max="24" width="4.6640625" customWidth="1"/>
    <col min="26" max="26" width="6.33203125" customWidth="1"/>
    <col min="27" max="27" width="7.5" customWidth="1"/>
  </cols>
  <sheetData>
    <row r="1" spans="1:30" s="2" customFormat="1" x14ac:dyDescent="0.2"/>
    <row r="2" spans="1:30" s="2" customFormat="1" ht="19" x14ac:dyDescent="0.25">
      <c r="G2" s="10" t="s">
        <v>40</v>
      </c>
    </row>
    <row r="3" spans="1:30" s="2" customFormat="1" ht="19" x14ac:dyDescent="0.25">
      <c r="G3" s="11" t="s">
        <v>42</v>
      </c>
    </row>
    <row r="4" spans="1:30" s="2" customFormat="1" x14ac:dyDescent="0.2"/>
    <row r="5" spans="1:30" s="12" customFormat="1" ht="5" customHeight="1" x14ac:dyDescent="0.2"/>
    <row r="6" spans="1:30" s="2" customFormat="1" x14ac:dyDescent="0.2"/>
    <row r="7" spans="1:30" s="2" customFormat="1" x14ac:dyDescent="0.2">
      <c r="A7" s="1" t="s">
        <v>0</v>
      </c>
      <c r="B7" s="1">
        <f>Database!C19</f>
        <v>200</v>
      </c>
      <c r="C7" s="1" t="s">
        <v>1</v>
      </c>
      <c r="G7" s="82" t="s">
        <v>58</v>
      </c>
      <c r="H7" s="82"/>
      <c r="I7" s="82"/>
      <c r="J7" s="82"/>
      <c r="K7" s="82"/>
      <c r="L7" s="82"/>
      <c r="M7" s="82"/>
      <c r="N7" s="82"/>
    </row>
    <row r="8" spans="1:30" s="2" customFormat="1" x14ac:dyDescent="0.2">
      <c r="A8" s="7"/>
      <c r="B8" s="7"/>
      <c r="C8" s="7"/>
      <c r="D8" s="7"/>
      <c r="E8" s="7"/>
      <c r="F8" s="7"/>
      <c r="G8" s="4">
        <f>P8/(P8*P8+R8*R8)+P9/(P9*P9+R9*R9)</f>
        <v>0</v>
      </c>
      <c r="H8" s="3">
        <f>-P8/(P8*P8+R8*R8)</f>
        <v>0</v>
      </c>
      <c r="I8" s="3">
        <f>-P9/(P9*P9+R9*R9)</f>
        <v>0</v>
      </c>
      <c r="K8" s="5">
        <f>-R8/(P8*P8+R8*R8)-R9/(R9*R9+P9*P9)</f>
        <v>-19.999999999999996</v>
      </c>
      <c r="L8" s="5">
        <f>R8/(R8*R8+P8*P8)</f>
        <v>9.9999999999999982</v>
      </c>
      <c r="M8" s="5">
        <f>R9/(R9*R9+P9*P9)</f>
        <v>9.9999999999999982</v>
      </c>
      <c r="N8" s="7"/>
      <c r="O8" s="43" t="s">
        <v>25</v>
      </c>
      <c r="P8" s="74">
        <v>0</v>
      </c>
      <c r="Q8" s="18" t="s">
        <v>2</v>
      </c>
      <c r="R8" s="42">
        <v>0.1</v>
      </c>
    </row>
    <row r="9" spans="1:30" s="2" customFormat="1" x14ac:dyDescent="0.2">
      <c r="A9" s="83" t="s">
        <v>59</v>
      </c>
      <c r="B9" s="83"/>
      <c r="C9" s="84" t="s">
        <v>60</v>
      </c>
      <c r="D9" s="84"/>
      <c r="E9" s="7"/>
      <c r="F9" s="19" t="s">
        <v>30</v>
      </c>
      <c r="G9" s="3">
        <f>_G12</f>
        <v>0</v>
      </c>
      <c r="H9" s="3">
        <f>P8/(P8*P8+R8*R8)+P10/(P10*P10+R10*R10)</f>
        <v>0</v>
      </c>
      <c r="I9" s="3">
        <f>-P10/(P10*P10+R10*R10)</f>
        <v>0</v>
      </c>
      <c r="J9" s="67" t="s">
        <v>2</v>
      </c>
      <c r="K9" s="5">
        <f>_B12</f>
        <v>9.9999999999999982</v>
      </c>
      <c r="L9" s="5">
        <f>-R8/(R8*R8+P8*P8)-R10/(R10*R10+P10*P10)</f>
        <v>-19.999999999999996</v>
      </c>
      <c r="M9" s="5">
        <f>R10/(R10*R10+P10*P10)</f>
        <v>9.9999999999999982</v>
      </c>
      <c r="N9" s="7"/>
      <c r="O9" s="43" t="s">
        <v>26</v>
      </c>
      <c r="P9" s="74">
        <v>0</v>
      </c>
      <c r="Q9" s="18" t="s">
        <v>2</v>
      </c>
      <c r="R9" s="42">
        <v>0.1</v>
      </c>
    </row>
    <row r="10" spans="1:30" s="2" customFormat="1" x14ac:dyDescent="0.2">
      <c r="A10" s="23" t="s">
        <v>33</v>
      </c>
      <c r="B10" s="24">
        <f>Database!J12</f>
        <v>0</v>
      </c>
      <c r="C10" s="29" t="s">
        <v>32</v>
      </c>
      <c r="D10" s="30">
        <v>0.9980087422674736</v>
      </c>
      <c r="E10" s="7"/>
      <c r="F10" s="19" t="s">
        <v>10</v>
      </c>
      <c r="G10" s="3">
        <f>I8</f>
        <v>0</v>
      </c>
      <c r="H10" s="3">
        <f>I9</f>
        <v>0</v>
      </c>
      <c r="I10" s="3">
        <f>P10/(P10*P10+R10*R10)+P9/(P9*P9+R9*R9)</f>
        <v>0</v>
      </c>
      <c r="K10" s="5">
        <f>_B13</f>
        <v>9.9999999999999982</v>
      </c>
      <c r="L10" s="5">
        <f>_B23</f>
        <v>9.9999999999999982</v>
      </c>
      <c r="M10" s="5">
        <f>-R9/(R9*R9+P9*P9)-R10/(R10*R10+P10*P10)</f>
        <v>-19.999999999999996</v>
      </c>
      <c r="O10" s="43" t="s">
        <v>27</v>
      </c>
      <c r="P10" s="74">
        <v>0</v>
      </c>
      <c r="Q10" s="18" t="s">
        <v>2</v>
      </c>
      <c r="R10" s="42">
        <v>0.1</v>
      </c>
    </row>
    <row r="11" spans="1:30" x14ac:dyDescent="0.2">
      <c r="A11" s="23" t="s">
        <v>31</v>
      </c>
      <c r="B11" s="24">
        <f>Database!J13</f>
        <v>1</v>
      </c>
      <c r="C11" s="29" t="s">
        <v>35</v>
      </c>
      <c r="D11" s="30">
        <v>-1.5059632191391812E-2</v>
      </c>
      <c r="E11" s="7"/>
      <c r="F11" s="7"/>
      <c r="G11" s="35"/>
      <c r="H11" s="2"/>
      <c r="I11" s="7"/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0" x14ac:dyDescent="0.2">
      <c r="A12" s="23" t="s">
        <v>34</v>
      </c>
      <c r="B12" s="24">
        <f>Database!J14</f>
        <v>1</v>
      </c>
      <c r="C12" s="29" t="s">
        <v>36</v>
      </c>
      <c r="D12" s="30">
        <v>-7.019730346348256E-2</v>
      </c>
      <c r="E12" s="81" t="s">
        <v>61</v>
      </c>
      <c r="F12" s="81"/>
      <c r="G12" s="45" t="s">
        <v>139</v>
      </c>
      <c r="H12" s="45" t="s">
        <v>140</v>
      </c>
      <c r="I12" s="7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x14ac:dyDescent="0.2">
      <c r="A13" s="23" t="s">
        <v>17</v>
      </c>
      <c r="B13" s="24">
        <f>Database!J15</f>
        <v>0</v>
      </c>
      <c r="C13" s="27" t="s">
        <v>11</v>
      </c>
      <c r="D13" s="20">
        <v>0.85059062962359988</v>
      </c>
      <c r="E13" s="75">
        <v>170.12</v>
      </c>
      <c r="F13" s="28" t="s">
        <v>55</v>
      </c>
      <c r="G13" s="45">
        <f>Database!G13</f>
        <v>400</v>
      </c>
      <c r="H13" s="45">
        <f>Database!G15</f>
        <v>0</v>
      </c>
      <c r="I13" s="7"/>
      <c r="J13" s="7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0" x14ac:dyDescent="0.2">
      <c r="A14" s="23" t="s">
        <v>18</v>
      </c>
      <c r="B14" s="24">
        <f>Database!J16</f>
        <v>0</v>
      </c>
      <c r="C14" s="27" t="s">
        <v>12</v>
      </c>
      <c r="D14" s="20">
        <v>0.39940937037640012</v>
      </c>
      <c r="E14" s="75">
        <v>79.989999999999995</v>
      </c>
      <c r="F14" s="28" t="s">
        <v>55</v>
      </c>
      <c r="G14" s="45">
        <f>Database!G14</f>
        <v>300</v>
      </c>
      <c r="H14" s="45">
        <f>Database!G16</f>
        <v>0</v>
      </c>
      <c r="I14" s="7"/>
      <c r="J14" s="7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0" x14ac:dyDescent="0.2">
      <c r="A15" s="23" t="s">
        <v>19</v>
      </c>
      <c r="B15" s="24">
        <f>Database!J17/Sbase</f>
        <v>1.25</v>
      </c>
      <c r="C15" s="29" t="s">
        <v>14</v>
      </c>
      <c r="D15" s="30">
        <v>4.5625668906479101E-2</v>
      </c>
      <c r="E15" s="76">
        <f>_QG1*Sbase</f>
        <v>9.1251337812958209</v>
      </c>
      <c r="F15" s="28" t="s">
        <v>62</v>
      </c>
      <c r="H15" s="7"/>
      <c r="I15" s="7"/>
      <c r="J15" s="7"/>
      <c r="K15" s="7" t="s">
        <v>133</v>
      </c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0" x14ac:dyDescent="0.2">
      <c r="A16" s="23" t="s">
        <v>20</v>
      </c>
      <c r="B16" s="24">
        <f>Database!J18</f>
        <v>0</v>
      </c>
      <c r="C16" s="29" t="s">
        <v>15</v>
      </c>
      <c r="D16" s="30">
        <v>3.6213220786662101E-2</v>
      </c>
      <c r="E16" s="76">
        <f>_QG2*Sbase</f>
        <v>7.2426441573324203</v>
      </c>
      <c r="F16" s="28" t="s">
        <v>62</v>
      </c>
      <c r="H16" s="7"/>
      <c r="I16" s="7"/>
      <c r="J16" s="7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3" t="s">
        <v>21</v>
      </c>
      <c r="B17" s="24">
        <f>Database!J19</f>
        <v>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51">
        <f>H45</f>
        <v>30.118125925039664</v>
      </c>
      <c r="Z17" s="2"/>
      <c r="AA17" s="2"/>
      <c r="AB17" s="2"/>
      <c r="AC17" s="2"/>
      <c r="AD17" s="2"/>
    </row>
    <row r="18" spans="1:30" x14ac:dyDescent="0.2">
      <c r="A18" s="23" t="s">
        <v>22</v>
      </c>
      <c r="B18" s="24">
        <f>Database!J20</f>
        <v>0</v>
      </c>
      <c r="C18" s="7"/>
      <c r="D18" s="7"/>
      <c r="E18" s="7"/>
      <c r="F18" s="7"/>
      <c r="G18" s="7"/>
      <c r="H18" s="7"/>
      <c r="I18" s="7"/>
      <c r="J18" s="7"/>
      <c r="K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3" t="s">
        <v>55</v>
      </c>
      <c r="Z18" s="2"/>
      <c r="AA18" s="17">
        <f>_PG2*Sbase</f>
        <v>79.881874075280024</v>
      </c>
      <c r="AB18" s="2" t="s">
        <v>55</v>
      </c>
      <c r="AC18" s="2"/>
      <c r="AD18" s="2"/>
    </row>
    <row r="19" spans="1:30" x14ac:dyDescent="0.2">
      <c r="A19" s="23" t="s">
        <v>13</v>
      </c>
      <c r="B19" s="24">
        <f>Database!J21</f>
        <v>0</v>
      </c>
      <c r="C19" s="7"/>
      <c r="D19" s="7"/>
      <c r="E19" s="7"/>
      <c r="F19" s="7"/>
      <c r="G19" s="7"/>
      <c r="H19" s="7"/>
      <c r="I19" s="7"/>
      <c r="J19" s="7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78">
        <f>_QG2*Sbase</f>
        <v>7.2426441573324203</v>
      </c>
      <c r="AB19" s="2" t="s">
        <v>122</v>
      </c>
      <c r="AC19" s="2"/>
      <c r="AD19" s="2"/>
    </row>
    <row r="20" spans="1:30" x14ac:dyDescent="0.2">
      <c r="A20" s="23" t="s">
        <v>16</v>
      </c>
      <c r="B20" s="24">
        <f>Database!J22</f>
        <v>0</v>
      </c>
      <c r="C20" s="7"/>
      <c r="D20" s="7"/>
      <c r="E20" s="7"/>
      <c r="F20" s="7"/>
      <c r="G20" s="7"/>
      <c r="H20" s="7"/>
      <c r="I20" s="7"/>
      <c r="J20" s="7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49">
        <f>_PG1*Sbase</f>
        <v>170.11812592471998</v>
      </c>
      <c r="X20" s="2" t="s">
        <v>55</v>
      </c>
      <c r="Y20" s="2"/>
      <c r="Z20" s="2"/>
      <c r="AA20" s="2"/>
      <c r="AB20" s="2"/>
      <c r="AC20" s="2"/>
      <c r="AD20" s="2"/>
    </row>
    <row r="21" spans="1:30" s="2" customFormat="1" ht="13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W21" s="78">
        <f>_QG1*Sbase</f>
        <v>9.1251337812958209</v>
      </c>
      <c r="X21" s="7" t="s">
        <v>122</v>
      </c>
      <c r="Y21" s="7"/>
      <c r="Z21" s="7"/>
      <c r="AA21" s="7"/>
    </row>
    <row r="22" spans="1:30" s="7" customFormat="1" ht="13" customHeight="1" x14ac:dyDescent="0.2">
      <c r="A22" s="85" t="s">
        <v>66</v>
      </c>
      <c r="B22" s="85"/>
      <c r="C22" s="85"/>
      <c r="D22" s="85"/>
      <c r="E22" s="85"/>
      <c r="F22" s="21"/>
      <c r="G22" s="21"/>
      <c r="H22" s="21"/>
      <c r="P22" s="2"/>
      <c r="Q22" s="2"/>
      <c r="W22" s="2"/>
      <c r="Y22" s="2"/>
      <c r="Z22" s="52">
        <f>H47</f>
        <v>109.99999982263419</v>
      </c>
      <c r="AA22" s="2" t="s">
        <v>55</v>
      </c>
    </row>
    <row r="23" spans="1:30" s="2" customFormat="1" ht="13" customHeight="1" x14ac:dyDescent="0.2">
      <c r="B23" s="37" t="s">
        <v>65</v>
      </c>
      <c r="C23" s="37" t="s">
        <v>113</v>
      </c>
      <c r="D23" s="37" t="s">
        <v>112</v>
      </c>
      <c r="F23" s="37" t="s">
        <v>111</v>
      </c>
      <c r="H23" s="37" t="s">
        <v>39</v>
      </c>
      <c r="I23" s="41"/>
      <c r="K23" s="7"/>
      <c r="M23" s="7"/>
      <c r="N23" s="7"/>
      <c r="W23" s="77">
        <f>H46</f>
        <v>140.0000001789081</v>
      </c>
      <c r="X23" s="2" t="s">
        <v>55</v>
      </c>
    </row>
    <row r="24" spans="1:30" s="2" customFormat="1" ht="13" customHeight="1" x14ac:dyDescent="0.25">
      <c r="A24" s="19" t="s">
        <v>37</v>
      </c>
      <c r="B24" s="7">
        <f>Database!D13</f>
        <v>20</v>
      </c>
      <c r="C24" s="7">
        <f>Database!E13</f>
        <v>0.05</v>
      </c>
      <c r="D24" s="8">
        <f>Database!C13+$B$24*E13+(1/2)*$C$24*(E13)^2</f>
        <v>4225.9203600000001</v>
      </c>
      <c r="E24" s="2" t="s">
        <v>52</v>
      </c>
      <c r="F24" s="6">
        <f>B24*_PG1+C24</f>
        <v>17.061812592471998</v>
      </c>
      <c r="G24" s="66" t="s">
        <v>136</v>
      </c>
      <c r="H24" s="6">
        <f>'Sensitivity Report 2'!E20/Sbase</f>
        <v>28.505915527343749</v>
      </c>
      <c r="I24" s="2" t="s">
        <v>53</v>
      </c>
      <c r="K24" s="7"/>
      <c r="M24" s="7"/>
      <c r="N24" s="7"/>
    </row>
    <row r="25" spans="1:30" s="2" customFormat="1" ht="13" customHeight="1" x14ac:dyDescent="0.25">
      <c r="A25" s="19" t="s">
        <v>38</v>
      </c>
      <c r="B25" s="7">
        <f>Database!D14</f>
        <v>25</v>
      </c>
      <c r="C25" s="7">
        <f>Database!E14</f>
        <v>0.1</v>
      </c>
      <c r="D25" s="8">
        <f>Database!C14+$B$25*E14+(1/2)*$C$25*(E14)^2</f>
        <v>2519.6700049999999</v>
      </c>
      <c r="E25" s="2" t="s">
        <v>52</v>
      </c>
      <c r="F25" s="6">
        <f>B25*_PG1+C25</f>
        <v>21.364765740589998</v>
      </c>
      <c r="G25" s="66" t="s">
        <v>137</v>
      </c>
      <c r="H25" s="6">
        <f>'Sensitivity Report 2'!E21/Sbase</f>
        <v>32.988200683593753</v>
      </c>
      <c r="I25" s="2" t="s">
        <v>53</v>
      </c>
      <c r="K25" s="34">
        <f>H28</f>
        <v>-4.4822851562500041</v>
      </c>
      <c r="M25" s="7"/>
      <c r="N25" s="7"/>
      <c r="Q25" s="31"/>
    </row>
    <row r="26" spans="1:30" s="2" customFormat="1" ht="13" customHeight="1" x14ac:dyDescent="0.25">
      <c r="A26" s="19"/>
      <c r="F26" s="6"/>
      <c r="G26" s="66" t="s">
        <v>138</v>
      </c>
      <c r="H26" s="6">
        <f>'Sensitivity Report 2'!E22/Sbase</f>
        <v>37.483873149137906</v>
      </c>
      <c r="I26" s="2" t="s">
        <v>53</v>
      </c>
      <c r="K26" s="34">
        <f>H29</f>
        <v>-8.9779576217941575</v>
      </c>
      <c r="M26" s="7"/>
      <c r="N26" s="7"/>
      <c r="Y26" s="9">
        <f>_PD3*Sbase</f>
        <v>250</v>
      </c>
      <c r="Z26" s="2" t="s">
        <v>55</v>
      </c>
    </row>
    <row r="27" spans="1:30" s="2" customFormat="1" ht="13" customHeight="1" x14ac:dyDescent="0.2">
      <c r="A27" s="46" t="s">
        <v>67</v>
      </c>
      <c r="B27" s="47"/>
      <c r="C27" s="7"/>
      <c r="D27" s="48">
        <f>D24+D25</f>
        <v>6745.590365</v>
      </c>
      <c r="E27" s="2" t="s">
        <v>52</v>
      </c>
      <c r="F27" s="44" t="s">
        <v>114</v>
      </c>
      <c r="M27" s="7"/>
      <c r="N27" s="7"/>
      <c r="Y27" s="50">
        <f>_QD3*Sbase</f>
        <v>0</v>
      </c>
      <c r="Z27" s="2" t="s">
        <v>122</v>
      </c>
    </row>
    <row r="28" spans="1:30" s="2" customFormat="1" ht="13" customHeight="1" x14ac:dyDescent="0.25">
      <c r="A28" s="45" t="s">
        <v>121</v>
      </c>
      <c r="B28" s="22"/>
      <c r="C28" s="22"/>
      <c r="G28" s="79" t="s">
        <v>144</v>
      </c>
      <c r="H28" s="6">
        <f>H24-H25</f>
        <v>-4.4822851562500041</v>
      </c>
      <c r="I28" s="2" t="s">
        <v>53</v>
      </c>
      <c r="M28" s="7"/>
      <c r="N28" s="7"/>
    </row>
    <row r="29" spans="1:30" s="2" customFormat="1" ht="13" customHeight="1" x14ac:dyDescent="0.25">
      <c r="B29" s="32" t="s">
        <v>68</v>
      </c>
      <c r="C29" s="33">
        <f>_PG1-_PD1</f>
        <v>0.85059062962359988</v>
      </c>
      <c r="D29" s="36">
        <f>(_V1*_V1*_G11+_V1*_V2*(_G12*COS(_T1-_T2)+_B12*SIN(_T1-_T2))+_V1*_V3*(_G13*COS(_T1-_T3)+_B13*SIN(_T1-_T3)))</f>
        <v>0.85059063051973882</v>
      </c>
      <c r="F29" s="44" t="s">
        <v>115</v>
      </c>
      <c r="G29" s="79" t="s">
        <v>145</v>
      </c>
      <c r="H29" s="6">
        <f>H24-H26</f>
        <v>-8.9779576217941575</v>
      </c>
      <c r="I29" s="2" t="s">
        <v>53</v>
      </c>
      <c r="M29" s="7"/>
      <c r="N29" s="34"/>
    </row>
    <row r="30" spans="1:30" s="2" customFormat="1" ht="13" customHeight="1" x14ac:dyDescent="0.2">
      <c r="B30" s="32" t="s">
        <v>69</v>
      </c>
      <c r="C30" s="33">
        <f>_PG2-_PD2</f>
        <v>0.39940937037640012</v>
      </c>
      <c r="D30" s="36">
        <f>(_V2*_V2*_G22+_V2*_V1*(_G21*COS(_T2-_T1)+_B21*SIN(_T2-_T1))+_V2*_V3*(_G23*COS(_T2-_T3)+_B23*SIN(_T2-_T3)))</f>
        <v>0.39940936948797268</v>
      </c>
      <c r="F30" s="44" t="s">
        <v>116</v>
      </c>
      <c r="M30" s="7"/>
      <c r="N30" s="34"/>
    </row>
    <row r="31" spans="1:30" s="2" customFormat="1" ht="13" customHeight="1" x14ac:dyDescent="0.2">
      <c r="B31" s="32" t="s">
        <v>70</v>
      </c>
      <c r="C31" s="33">
        <f>_PG3-_PD3</f>
        <v>-1.25</v>
      </c>
      <c r="D31" s="36">
        <f>(_V3*_V3*_G33+_V3*_V1*(_G31*COS(_T3-_T1)+_B31*SIN(_T3-_T1))+_V3*_V2*(_G32*COS(_T3-_T2)+_B32*SIN(_T3-_T2)))</f>
        <v>-1.2500000000077116</v>
      </c>
      <c r="F31" s="44" t="s">
        <v>117</v>
      </c>
      <c r="M31" s="34"/>
      <c r="N31" s="7"/>
    </row>
    <row r="32" spans="1:30" s="2" customFormat="1" ht="13" customHeight="1" x14ac:dyDescent="0.2">
      <c r="B32" s="32" t="s">
        <v>71</v>
      </c>
      <c r="C32" s="33">
        <f>_QG1-_QD1</f>
        <v>4.5625668906479101E-2</v>
      </c>
      <c r="D32" s="36">
        <f>(-_V1*_V1*_B11+_V1*_V2*(_G12*SIN(_T1-_T2)-_B12*COS(_T1-_T2))+_V1*_V3*(_G13*SIN(_T1-_T3)-_B13*COS(_T1-_T3)))</f>
        <v>4.5625668719754486E-2</v>
      </c>
      <c r="F32" s="44" t="s">
        <v>118</v>
      </c>
      <c r="M32" s="7"/>
      <c r="N32" s="7"/>
      <c r="P32" s="8"/>
    </row>
    <row r="33" spans="1:18" s="2" customFormat="1" ht="13" customHeight="1" x14ac:dyDescent="0.2">
      <c r="B33" s="32" t="s">
        <v>72</v>
      </c>
      <c r="C33" s="33">
        <f>_QG2-_QD2</f>
        <v>3.6213220786662101E-2</v>
      </c>
      <c r="D33" s="36">
        <f>(-_V2*_V2*_B22+_V2*_V1*(_G21*SIN(_T2-_T1)-_B21*COS(_T2-_T1))+_V2*_V3*(_G23*SIN(_T2-_T3)-_B23*COS(_T2-_T3)))</f>
        <v>3.6213220710003213E-2</v>
      </c>
      <c r="E33" s="26"/>
      <c r="F33" s="44" t="s">
        <v>119</v>
      </c>
      <c r="H33" s="26"/>
      <c r="I33" s="7"/>
      <c r="K33" s="7"/>
      <c r="L33" s="7"/>
      <c r="M33" s="7"/>
      <c r="N33" s="7"/>
    </row>
    <row r="34" spans="1:18" s="2" customFormat="1" ht="13" customHeight="1" x14ac:dyDescent="0.2">
      <c r="A34"/>
      <c r="B34" s="32" t="s">
        <v>73</v>
      </c>
      <c r="C34" s="33">
        <f>_QG3-_QD3</f>
        <v>0</v>
      </c>
      <c r="D34" s="36">
        <f>(-_V3*_V3*_B33+_V3*_V1*(_G31*SIN(_T3-_T1)-_B31*COS(_T3-_T1))+_V3*_V2*(_G32*SIN(_T3-_T2)-_B32*COS(_T3-_T2)))</f>
        <v>-7.950262670419761E-11</v>
      </c>
      <c r="E34" s="7"/>
      <c r="F34" s="44" t="s">
        <v>120</v>
      </c>
      <c r="H34" s="7"/>
      <c r="I34" s="7"/>
      <c r="K34" s="7"/>
      <c r="L34" s="7"/>
      <c r="M34" s="7"/>
      <c r="N34" s="7"/>
    </row>
    <row r="35" spans="1:18" s="2" customFormat="1" x14ac:dyDescent="0.2">
      <c r="E35" s="7"/>
      <c r="F35" s="7"/>
      <c r="G35" s="7"/>
      <c r="H35" s="7"/>
      <c r="I35" s="7"/>
      <c r="K35" s="7"/>
      <c r="L35" s="7"/>
      <c r="M35" s="7"/>
      <c r="N35" s="7"/>
    </row>
    <row r="36" spans="1:18" s="2" customFormat="1" x14ac:dyDescent="0.2">
      <c r="A36" s="54"/>
      <c r="B36" s="54" t="s">
        <v>125</v>
      </c>
      <c r="C36" s="16" t="s">
        <v>127</v>
      </c>
      <c r="D36" s="54" t="s">
        <v>128</v>
      </c>
      <c r="E36" s="7"/>
      <c r="F36" s="54"/>
      <c r="G36" s="69" t="s">
        <v>130</v>
      </c>
      <c r="J36" s="54"/>
      <c r="K36" s="54" t="s">
        <v>135</v>
      </c>
      <c r="L36" s="7"/>
      <c r="M36" s="7"/>
      <c r="N36" s="7"/>
    </row>
    <row r="37" spans="1:18" s="2" customFormat="1" x14ac:dyDescent="0.2">
      <c r="A37" s="2" t="s">
        <v>123</v>
      </c>
      <c r="B37" s="53">
        <f>E13*H24</f>
        <v>4849.4263495117184</v>
      </c>
      <c r="C37" s="53">
        <f>D24</f>
        <v>4225.9203600000001</v>
      </c>
      <c r="D37" s="53">
        <f>B37-C37</f>
        <v>623.50598951171833</v>
      </c>
      <c r="E37" s="21"/>
      <c r="F37" s="21" t="s">
        <v>131</v>
      </c>
      <c r="G37" s="21">
        <f>_PD3*Sbase*H26</f>
        <v>9370.9682872844769</v>
      </c>
      <c r="J37" s="21" t="s">
        <v>134</v>
      </c>
      <c r="K37" s="21">
        <f>G39-B39</f>
        <v>1882.8157650920948</v>
      </c>
      <c r="L37" s="7"/>
      <c r="M37" s="7"/>
      <c r="N37" s="7"/>
    </row>
    <row r="38" spans="1:18" s="2" customFormat="1" x14ac:dyDescent="0.2">
      <c r="A38" s="54" t="s">
        <v>124</v>
      </c>
      <c r="B38" s="55">
        <f>E14*H25</f>
        <v>2638.7261726806641</v>
      </c>
      <c r="C38" s="55">
        <f>D25</f>
        <v>2519.6700049999999</v>
      </c>
      <c r="D38" s="55">
        <f t="shared" ref="D38:D39" si="0">B38-C38</f>
        <v>119.0561676806642</v>
      </c>
      <c r="E38" s="21"/>
      <c r="F38" s="54"/>
      <c r="G38" s="54"/>
      <c r="J38" s="55"/>
      <c r="K38" s="54"/>
      <c r="L38" s="7"/>
      <c r="M38" s="7"/>
      <c r="N38" s="7"/>
    </row>
    <row r="39" spans="1:18" s="2" customFormat="1" x14ac:dyDescent="0.2">
      <c r="A39" s="2" t="s">
        <v>126</v>
      </c>
      <c r="B39" s="53">
        <f>SUM(B37:B38)</f>
        <v>7488.1525221923821</v>
      </c>
      <c r="C39" s="53">
        <f>SUM(C37:C38)</f>
        <v>6745.590365</v>
      </c>
      <c r="D39" s="53">
        <f t="shared" si="0"/>
        <v>742.56215719238207</v>
      </c>
      <c r="E39" s="21"/>
      <c r="F39" s="21" t="s">
        <v>126</v>
      </c>
      <c r="G39" s="21">
        <f>G37</f>
        <v>9370.9682872844769</v>
      </c>
      <c r="J39" s="21" t="s">
        <v>126</v>
      </c>
      <c r="K39" s="21">
        <f>G39-B39</f>
        <v>1882.8157650920948</v>
      </c>
      <c r="L39" s="34"/>
      <c r="M39" s="70" t="s">
        <v>149</v>
      </c>
      <c r="N39" s="70"/>
      <c r="O39" s="71"/>
      <c r="P39" s="71"/>
    </row>
    <row r="40" spans="1:18" s="2" customFormat="1" x14ac:dyDescent="0.2">
      <c r="C40" s="7"/>
      <c r="D40" s="7"/>
      <c r="E40" s="7"/>
      <c r="F40" s="56"/>
      <c r="G40" s="7"/>
      <c r="H40" s="7"/>
      <c r="I40" s="7"/>
      <c r="J40" s="7"/>
      <c r="K40" s="7"/>
      <c r="L40" s="34"/>
      <c r="M40" s="34"/>
      <c r="N40" s="34"/>
      <c r="O40" s="34"/>
      <c r="P40" s="34"/>
      <c r="Q40" s="34"/>
      <c r="R40" s="34"/>
    </row>
    <row r="41" spans="1:18" s="2" customFormat="1" x14ac:dyDescent="0.2">
      <c r="A41" s="7" t="s">
        <v>63</v>
      </c>
      <c r="B41" s="56"/>
      <c r="C41" s="7"/>
      <c r="D41" s="7"/>
      <c r="E41" s="7"/>
      <c r="F41" s="7"/>
      <c r="I41" s="7"/>
      <c r="J41" s="7"/>
      <c r="K41" s="80"/>
      <c r="L41" s="80"/>
    </row>
    <row r="42" spans="1:18" s="2" customFormat="1" x14ac:dyDescent="0.2">
      <c r="A42" s="7" t="s">
        <v>64</v>
      </c>
      <c r="B42" s="26"/>
      <c r="C42" s="26"/>
      <c r="D42" s="26"/>
      <c r="E42" s="26"/>
      <c r="F42" s="26"/>
      <c r="G42" s="26"/>
      <c r="H42" s="26"/>
      <c r="I42" s="7"/>
      <c r="J42" s="7"/>
      <c r="K42" s="7"/>
      <c r="L42" s="7"/>
    </row>
    <row r="43" spans="1:18" s="2" customFormat="1" x14ac:dyDescent="0.2">
      <c r="A43" s="7"/>
      <c r="B43" s="26" t="s">
        <v>3</v>
      </c>
      <c r="C43" s="26" t="s">
        <v>4</v>
      </c>
      <c r="D43" s="26" t="s">
        <v>5</v>
      </c>
      <c r="E43" s="26" t="s">
        <v>6</v>
      </c>
      <c r="F43" s="26" t="s">
        <v>7</v>
      </c>
      <c r="G43" s="26" t="s">
        <v>8</v>
      </c>
      <c r="H43" s="57" t="s">
        <v>9</v>
      </c>
      <c r="I43" s="7"/>
      <c r="J43" s="45" t="s">
        <v>28</v>
      </c>
      <c r="L43" s="80" t="s">
        <v>129</v>
      </c>
      <c r="M43" s="80"/>
    </row>
    <row r="44" spans="1:18" s="2" customFormat="1" x14ac:dyDescent="0.2">
      <c r="A44" s="54"/>
      <c r="B44" s="16" t="s">
        <v>132</v>
      </c>
      <c r="C44" s="16" t="s">
        <v>132</v>
      </c>
      <c r="D44" s="16" t="s">
        <v>132</v>
      </c>
      <c r="E44" s="16" t="s">
        <v>132</v>
      </c>
      <c r="F44" s="16" t="s">
        <v>132</v>
      </c>
      <c r="G44" s="16" t="s">
        <v>132</v>
      </c>
      <c r="H44" s="62" t="s">
        <v>1</v>
      </c>
      <c r="I44" s="16"/>
      <c r="J44" s="63" t="s">
        <v>1</v>
      </c>
      <c r="L44" s="16" t="s">
        <v>23</v>
      </c>
      <c r="M44" s="16" t="s">
        <v>24</v>
      </c>
    </row>
    <row r="45" spans="1:18" s="2" customFormat="1" x14ac:dyDescent="0.2">
      <c r="A45" s="26">
        <v>12</v>
      </c>
      <c r="B45" s="58">
        <f>_V1*_V2*(_G12*COS(_T1-_T2)+_B12*SIN(_T1-_T2))-_G12*_V1*_V1</f>
        <v>0.15059062962519831</v>
      </c>
      <c r="C45" s="58">
        <f>_V1*_V2*(_G12*COS(_T2-_T1)+_B12*SIN(_T2-_T1))-_G12*_V2*_V2</f>
        <v>-0.15059062962519831</v>
      </c>
      <c r="D45" s="58">
        <f>_V1*_V2*(_G12*SIN(_T1-_T2)-_B12*COS(_T1-_T2))+(_B12)*_V1*_V1</f>
        <v>1.1339411776756236E-3</v>
      </c>
      <c r="E45" s="58">
        <f>_V2*_V1*(_G21*SIN(_T2-_T1)-_B21*COS(_T2-_T1))+(_B21)*_V2*_V2</f>
        <v>1.1339411776756236E-3</v>
      </c>
      <c r="F45" s="58">
        <f>ABS(B45-C45)/2</f>
        <v>0.15059062962519831</v>
      </c>
      <c r="G45" s="58">
        <f>ABS(D45-E45)/2</f>
        <v>0</v>
      </c>
      <c r="H45" s="59">
        <f>(F45*F45)^0.5*Sbase</f>
        <v>30.118125925039664</v>
      </c>
      <c r="I45" s="26" t="s">
        <v>29</v>
      </c>
      <c r="J45" s="45">
        <v>200</v>
      </c>
      <c r="L45" s="60">
        <f>B45+C45</f>
        <v>0</v>
      </c>
      <c r="M45" s="60">
        <f>D45+E45</f>
        <v>2.2678823553512473E-3</v>
      </c>
    </row>
    <row r="46" spans="1:18" s="2" customFormat="1" x14ac:dyDescent="0.2">
      <c r="A46" s="26">
        <v>13</v>
      </c>
      <c r="B46" s="58">
        <f>_V1*_V3*(_G13*COS(_T1-_T3)+_B13*SIN(_T1-_T3))-_G13*_V1*_V1</f>
        <v>0.70000000089454051</v>
      </c>
      <c r="C46" s="58">
        <f>_V3*_V1*(_G13*COS(_T3-_T1)+_B13*SIN(_T3-_T1))-_G13*_V3*_V3</f>
        <v>-0.70000000089454051</v>
      </c>
      <c r="D46" s="58">
        <f>_V1*_V3*(_G13*SIN(_T1-_T3)-_B13*COS(_T1-_T3))+(_B13)*_V1*_V1</f>
        <v>4.4491727542078863E-2</v>
      </c>
      <c r="E46" s="58">
        <f>_V3*_V1*(_G31*SIN(_T3-_T1)-_B31*COS(_T3-_T1))+(_B31)*_V3*_V3</f>
        <v>4.7062239651243232E-3</v>
      </c>
      <c r="F46" s="58">
        <f t="shared" ref="F46:F47" si="1">ABS(B46-C46)/2</f>
        <v>0.70000000089454051</v>
      </c>
      <c r="G46" s="58">
        <f t="shared" ref="G46:G47" si="2">ABS(D46-E46)/2</f>
        <v>1.989275178847727E-2</v>
      </c>
      <c r="H46" s="59">
        <f>(F46*F46)^0.5*Sbase</f>
        <v>140.0000001789081</v>
      </c>
      <c r="I46" s="26" t="s">
        <v>29</v>
      </c>
      <c r="J46" s="45">
        <v>140</v>
      </c>
      <c r="L46" s="60">
        <f>B46+C46</f>
        <v>0</v>
      </c>
      <c r="M46" s="60">
        <f>D46+E46</f>
        <v>4.9197951507203186E-2</v>
      </c>
    </row>
    <row r="47" spans="1:18" s="2" customFormat="1" x14ac:dyDescent="0.2">
      <c r="A47" s="16">
        <v>23</v>
      </c>
      <c r="B47" s="65">
        <f>_V2*_V3*(_G23*COS(_T2-_T3)+_B23*SIN(_T2-_T3))-_G23*_V2*_V2</f>
        <v>0.54999999911317099</v>
      </c>
      <c r="C47" s="65">
        <f>_V3*_V2*(_G23*COS(_T3-_T2)+_B23*SIN(_T3-_T2))-_G23*_V3*_V3</f>
        <v>-0.54999999911317099</v>
      </c>
      <c r="D47" s="65">
        <f>_V2*_V3*(_G23*SIN(_T2-_T3)-_B23*COS(_T2-_T3))+(_B23)*_V2*_V2</f>
        <v>3.507927953232759E-2</v>
      </c>
      <c r="E47" s="65">
        <f>_V3*_V2*(_G32*SIN(_T3-_T2)-_B32*COS(_T3-_T2))+(_B32)*_V3*_V3</f>
        <v>-4.7062240446269499E-3</v>
      </c>
      <c r="F47" s="65">
        <f t="shared" si="1"/>
        <v>0.54999999911317099</v>
      </c>
      <c r="G47" s="65">
        <f t="shared" si="2"/>
        <v>1.989275178847727E-2</v>
      </c>
      <c r="H47" s="59">
        <f>(F47*F47)^0.5*Sbase</f>
        <v>109.99999982263419</v>
      </c>
      <c r="I47" s="16" t="s">
        <v>29</v>
      </c>
      <c r="J47" s="45">
        <v>200</v>
      </c>
      <c r="L47" s="64">
        <f>B47+C47</f>
        <v>0</v>
      </c>
      <c r="M47" s="64">
        <f>D47+E47</f>
        <v>3.037305548770064E-2</v>
      </c>
    </row>
    <row r="48" spans="1:18" s="2" customFormat="1" x14ac:dyDescent="0.2">
      <c r="A48" s="7"/>
      <c r="B48" s="61"/>
      <c r="C48" s="61"/>
      <c r="D48" s="61"/>
      <c r="E48" s="61"/>
      <c r="F48" s="7"/>
      <c r="G48" s="7"/>
      <c r="H48" s="7"/>
      <c r="I48" s="7"/>
      <c r="K48" s="7"/>
      <c r="L48" s="60">
        <f>SUM(L45:L47)</f>
        <v>0</v>
      </c>
      <c r="M48" s="60">
        <f>SUM(M45:M47)</f>
        <v>8.1838889350255073E-2</v>
      </c>
    </row>
    <row r="49" spans="1:30" s="2" customFormat="1" x14ac:dyDescent="0.2">
      <c r="A49" s="7"/>
      <c r="B49" s="61"/>
      <c r="C49" s="7"/>
      <c r="D49" s="61"/>
      <c r="E49" s="7"/>
      <c r="F49" s="7"/>
      <c r="G49" s="7"/>
      <c r="H49" s="7"/>
      <c r="I49" s="7"/>
      <c r="K49" s="7"/>
      <c r="L49" s="21">
        <f>(_PG1+_PG2+_PG3-_PD1-_PD2-_PD3)*Sbase</f>
        <v>0</v>
      </c>
      <c r="M49" s="21">
        <f>(_QG1+_QG2+_QG3-_QD1-_QD2-_QD3)*Sbase</f>
        <v>16.36777793862824</v>
      </c>
    </row>
    <row r="50" spans="1:30" s="2" customFormat="1" x14ac:dyDescent="0.2">
      <c r="C50" s="40"/>
      <c r="L50" s="13" t="s">
        <v>55</v>
      </c>
      <c r="M50" s="13" t="s">
        <v>122</v>
      </c>
    </row>
    <row r="51" spans="1:30" s="2" customFormat="1" x14ac:dyDescent="0.2">
      <c r="A51" s="41" t="s">
        <v>146</v>
      </c>
    </row>
    <row r="52" spans="1:30" s="2" customFormat="1" x14ac:dyDescent="0.2">
      <c r="A52" s="2" t="s">
        <v>147</v>
      </c>
      <c r="D52" s="40">
        <v>0</v>
      </c>
      <c r="E52" s="40" t="s">
        <v>52</v>
      </c>
    </row>
    <row r="53" spans="1:30" x14ac:dyDescent="0.2">
      <c r="A53" s="2" t="s">
        <v>147</v>
      </c>
      <c r="B53" s="2"/>
      <c r="C53" s="2"/>
      <c r="D53" s="40">
        <f>E14*K25</f>
        <v>-358.53798964843782</v>
      </c>
      <c r="E53" s="40" t="s">
        <v>52</v>
      </c>
      <c r="F53" s="2" t="s">
        <v>150</v>
      </c>
      <c r="G53" s="2"/>
      <c r="H53" s="40">
        <f>-D53</f>
        <v>358.53798964843782</v>
      </c>
      <c r="I53" s="2" t="s">
        <v>52</v>
      </c>
      <c r="J53" s="2" t="s">
        <v>151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 t="s">
        <v>148</v>
      </c>
      <c r="B54" s="2"/>
      <c r="C54" s="2"/>
      <c r="D54" s="68">
        <f>-_PD3*Sbase*K26</f>
        <v>2244.4894054485394</v>
      </c>
      <c r="E54" s="68" t="s">
        <v>52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40">
        <f>SUM(D52:D54)</f>
        <v>1885.9514158001016</v>
      </c>
      <c r="E55" s="40" t="s">
        <v>52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4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</sheetData>
  <mergeCells count="7">
    <mergeCell ref="L43:M43"/>
    <mergeCell ref="E12:F12"/>
    <mergeCell ref="G7:N7"/>
    <mergeCell ref="A9:B9"/>
    <mergeCell ref="C9:D9"/>
    <mergeCell ref="A22:E22"/>
    <mergeCell ref="K41:L41"/>
  </mergeCells>
  <phoneticPr fontId="22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E0DC-F611-534C-B29D-27F4B7B8E407}">
  <dimension ref="A1:J33"/>
  <sheetViews>
    <sheetView topLeftCell="A13" zoomScale="150" zoomScaleNormal="150" workbookViewId="0">
      <selection activeCell="C19" sqref="C19"/>
    </sheetView>
  </sheetViews>
  <sheetFormatPr baseColWidth="10" defaultColWidth="11.5" defaultRowHeight="15" x14ac:dyDescent="0.2"/>
  <sheetData>
    <row r="1" spans="1:10" s="2" customFormat="1" x14ac:dyDescent="0.2"/>
    <row r="2" spans="1:10" s="2" customFormat="1" ht="19" x14ac:dyDescent="0.25">
      <c r="E2" s="10" t="s">
        <v>40</v>
      </c>
    </row>
    <row r="3" spans="1:10" s="2" customFormat="1" ht="19" x14ac:dyDescent="0.25">
      <c r="E3" s="11" t="s">
        <v>41</v>
      </c>
    </row>
    <row r="4" spans="1:10" s="2" customFormat="1" x14ac:dyDescent="0.2"/>
    <row r="5" spans="1:10" s="12" customFormat="1" ht="5" customHeight="1" x14ac:dyDescent="0.2"/>
    <row r="6" spans="1:10" s="2" customFormat="1" x14ac:dyDescent="0.2"/>
    <row r="7" spans="1:10" s="2" customFormat="1" x14ac:dyDescent="0.2">
      <c r="A7" s="2" t="s">
        <v>43</v>
      </c>
      <c r="C7" t="s">
        <v>44</v>
      </c>
    </row>
    <row r="8" spans="1:10" s="2" customFormat="1" x14ac:dyDescent="0.2"/>
    <row r="9" spans="1:10" s="2" customFormat="1" x14ac:dyDescent="0.2">
      <c r="B9" s="2" t="s">
        <v>45</v>
      </c>
    </row>
    <row r="10" spans="1:10" s="2" customFormat="1" x14ac:dyDescent="0.2">
      <c r="B10" s="13"/>
      <c r="C10" s="13"/>
      <c r="D10" s="13"/>
      <c r="E10" s="13"/>
    </row>
    <row r="11" spans="1:10" s="2" customFormat="1" ht="18" x14ac:dyDescent="0.25">
      <c r="B11" s="14" t="s">
        <v>46</v>
      </c>
      <c r="C11" s="14" t="s">
        <v>47</v>
      </c>
      <c r="D11" s="14" t="s">
        <v>48</v>
      </c>
      <c r="E11" s="14" t="s">
        <v>49</v>
      </c>
      <c r="F11" s="14" t="s">
        <v>50</v>
      </c>
      <c r="G11" s="14" t="s">
        <v>51</v>
      </c>
      <c r="I11" s="83" t="s">
        <v>59</v>
      </c>
      <c r="J11" s="83"/>
    </row>
    <row r="12" spans="1:10" s="2" customFormat="1" ht="19" x14ac:dyDescent="0.2">
      <c r="B12" s="15"/>
      <c r="C12" s="14" t="s">
        <v>52</v>
      </c>
      <c r="D12" s="14" t="s">
        <v>53</v>
      </c>
      <c r="E12" s="14" t="s">
        <v>54</v>
      </c>
      <c r="F12" s="14" t="s">
        <v>55</v>
      </c>
      <c r="G12" s="14" t="s">
        <v>55</v>
      </c>
      <c r="I12" s="23" t="s">
        <v>33</v>
      </c>
      <c r="J12" s="24">
        <v>0</v>
      </c>
    </row>
    <row r="13" spans="1:10" s="2" customFormat="1" x14ac:dyDescent="0.2">
      <c r="B13" s="13">
        <v>1</v>
      </c>
      <c r="C13" s="13">
        <v>100</v>
      </c>
      <c r="D13" s="13">
        <v>20</v>
      </c>
      <c r="E13" s="13">
        <v>0.05</v>
      </c>
      <c r="F13" s="13">
        <v>0</v>
      </c>
      <c r="G13" s="13">
        <v>400</v>
      </c>
      <c r="I13" s="23" t="s">
        <v>31</v>
      </c>
      <c r="J13" s="24">
        <v>1</v>
      </c>
    </row>
    <row r="14" spans="1:10" s="2" customFormat="1" x14ac:dyDescent="0.2">
      <c r="B14" s="16">
        <v>2</v>
      </c>
      <c r="C14" s="16">
        <v>200</v>
      </c>
      <c r="D14" s="16">
        <v>25</v>
      </c>
      <c r="E14" s="16">
        <v>0.1</v>
      </c>
      <c r="F14" s="16">
        <v>0</v>
      </c>
      <c r="G14" s="16">
        <v>300</v>
      </c>
      <c r="I14" s="23" t="s">
        <v>34</v>
      </c>
      <c r="J14" s="25">
        <v>1</v>
      </c>
    </row>
    <row r="15" spans="1:10" s="2" customFormat="1" x14ac:dyDescent="0.2">
      <c r="I15" s="23" t="s">
        <v>17</v>
      </c>
      <c r="J15" s="25">
        <v>0</v>
      </c>
    </row>
    <row r="16" spans="1:10" s="2" customFormat="1" x14ac:dyDescent="0.2">
      <c r="B16" s="2" t="s">
        <v>56</v>
      </c>
      <c r="I16" s="23" t="s">
        <v>18</v>
      </c>
      <c r="J16" s="24">
        <v>0</v>
      </c>
    </row>
    <row r="17" spans="2:10" s="2" customFormat="1" x14ac:dyDescent="0.2">
      <c r="I17" s="23" t="s">
        <v>19</v>
      </c>
      <c r="J17" s="24">
        <f>C18</f>
        <v>250</v>
      </c>
    </row>
    <row r="18" spans="2:10" s="2" customFormat="1" x14ac:dyDescent="0.2">
      <c r="B18" s="2" t="s">
        <v>57</v>
      </c>
      <c r="C18" s="2">
        <v>250</v>
      </c>
      <c r="D18" s="2" t="s">
        <v>55</v>
      </c>
      <c r="I18" s="23" t="s">
        <v>20</v>
      </c>
      <c r="J18" s="25">
        <v>0</v>
      </c>
    </row>
    <row r="19" spans="2:10" s="2" customFormat="1" x14ac:dyDescent="0.2">
      <c r="B19" s="1" t="s">
        <v>0</v>
      </c>
      <c r="C19" s="1">
        <v>200</v>
      </c>
      <c r="D19" s="1" t="s">
        <v>1</v>
      </c>
      <c r="I19" s="23" t="s">
        <v>21</v>
      </c>
      <c r="J19" s="25">
        <v>0</v>
      </c>
    </row>
    <row r="20" spans="2:10" s="2" customFormat="1" x14ac:dyDescent="0.2">
      <c r="I20" s="23" t="s">
        <v>22</v>
      </c>
      <c r="J20" s="25">
        <v>0</v>
      </c>
    </row>
    <row r="21" spans="2:10" s="2" customFormat="1" x14ac:dyDescent="0.2">
      <c r="I21" s="23" t="s">
        <v>13</v>
      </c>
      <c r="J21" s="25">
        <v>0</v>
      </c>
    </row>
    <row r="22" spans="2:10" s="2" customFormat="1" x14ac:dyDescent="0.2">
      <c r="I22" s="23" t="s">
        <v>16</v>
      </c>
      <c r="J22" s="25">
        <v>0</v>
      </c>
    </row>
    <row r="23" spans="2:10" s="2" customFormat="1" x14ac:dyDescent="0.2"/>
    <row r="24" spans="2:10" s="2" customFormat="1" x14ac:dyDescent="0.2"/>
    <row r="25" spans="2:10" s="2" customFormat="1" x14ac:dyDescent="0.2"/>
    <row r="26" spans="2:10" s="2" customFormat="1" x14ac:dyDescent="0.2"/>
    <row r="27" spans="2:10" s="2" customFormat="1" x14ac:dyDescent="0.2"/>
    <row r="28" spans="2:10" s="2" customFormat="1" x14ac:dyDescent="0.2"/>
    <row r="29" spans="2:10" s="2" customFormat="1" x14ac:dyDescent="0.2"/>
    <row r="30" spans="2:10" s="2" customFormat="1" x14ac:dyDescent="0.2"/>
    <row r="31" spans="2:10" s="2" customFormat="1" x14ac:dyDescent="0.2"/>
    <row r="32" spans="2:10" s="2" customFormat="1" x14ac:dyDescent="0.2"/>
    <row r="33" s="2" customFormat="1" x14ac:dyDescent="0.2"/>
  </sheetData>
  <mergeCells count="1">
    <mergeCell ref="I11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size="40" baseType="lpstr">
      <vt:lpstr>Sensitivity Report 2</vt:lpstr>
      <vt:lpstr>DE Básico + Congestion</vt:lpstr>
      <vt:lpstr>Database</vt:lpstr>
      <vt:lpstr>'DE Básico + Congestion'!_B11</vt:lpstr>
      <vt:lpstr>'DE Básico + Congestion'!_B12</vt:lpstr>
      <vt:lpstr>'DE Básico + Congestion'!_B13</vt:lpstr>
      <vt:lpstr>'DE Básico + Congestion'!_B21</vt:lpstr>
      <vt:lpstr>'DE Básico + Congestion'!_B22</vt:lpstr>
      <vt:lpstr>'DE Básico + Congestion'!_B23</vt:lpstr>
      <vt:lpstr>'DE Básico + Congestion'!_B31</vt:lpstr>
      <vt:lpstr>'DE Básico + Congestion'!_B32</vt:lpstr>
      <vt:lpstr>'DE Básico + Congestion'!_B33</vt:lpstr>
      <vt:lpstr>'DE Básico + Congestion'!_G11</vt:lpstr>
      <vt:lpstr>'DE Básico + Congestion'!_G12</vt:lpstr>
      <vt:lpstr>'DE Básico + Congestion'!_G13</vt:lpstr>
      <vt:lpstr>'DE Básico + Congestion'!_G21</vt:lpstr>
      <vt:lpstr>'DE Básico + Congestion'!_G22</vt:lpstr>
      <vt:lpstr>'DE Básico + Congestion'!_G23</vt:lpstr>
      <vt:lpstr>'DE Básico + Congestion'!_G31</vt:lpstr>
      <vt:lpstr>'DE Básico + Congestion'!_G32</vt:lpstr>
      <vt:lpstr>'DE Básico + Congestion'!_G33</vt:lpstr>
      <vt:lpstr>'DE Básico + Congestion'!_PD1</vt:lpstr>
      <vt:lpstr>'DE Básico + Congestion'!_PD2</vt:lpstr>
      <vt:lpstr>'DE Básico + Congestion'!_PD3</vt:lpstr>
      <vt:lpstr>'DE Básico + Congestion'!_PG1</vt:lpstr>
      <vt:lpstr>'DE Básico + Congestion'!_PG2</vt:lpstr>
      <vt:lpstr>'DE Básico + Congestion'!_PG3</vt:lpstr>
      <vt:lpstr>'DE Básico + Congestion'!_QD1</vt:lpstr>
      <vt:lpstr>'DE Básico + Congestion'!_QD2</vt:lpstr>
      <vt:lpstr>'DE Básico + Congestion'!_QD3</vt:lpstr>
      <vt:lpstr>'DE Básico + Congestion'!_QG1</vt:lpstr>
      <vt:lpstr>'DE Básico + Congestion'!_QG2</vt:lpstr>
      <vt:lpstr>'DE Básico + Congestion'!_QG3</vt:lpstr>
      <vt:lpstr>'DE Básico + Congestion'!_T1</vt:lpstr>
      <vt:lpstr>'DE Básico + Congestion'!_T2</vt:lpstr>
      <vt:lpstr>'DE Básico + Congestion'!_T3</vt:lpstr>
      <vt:lpstr>'DE Básico + Congestion'!_V1</vt:lpstr>
      <vt:lpstr>'DE Básico + Congestion'!_V2</vt:lpstr>
      <vt:lpstr>'DE Básico + Congestion'!_V3</vt:lpstr>
      <vt:lpstr>Sbase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VEW0313</dc:creator>
  <cp:lastModifiedBy>Paulo Manuel De oliveira de jesus</cp:lastModifiedBy>
  <dcterms:created xsi:type="dcterms:W3CDTF">2017-09-02T16:46:35Z</dcterms:created>
  <dcterms:modified xsi:type="dcterms:W3CDTF">2021-03-30T19:34:23Z</dcterms:modified>
</cp:coreProperties>
</file>