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"/>
    </mc:Choice>
  </mc:AlternateContent>
  <xr:revisionPtr revIDLastSave="15" documentId="14_{858CF8A4-39EE-4D41-B063-E9931974F27D}" xr6:coauthVersionLast="46" xr6:coauthVersionMax="46" xr10:uidLastSave="{DFFD4D0E-C54E-F744-81AE-055B22C7B6A6}"/>
  <bookViews>
    <workbookView xWindow="33500" yWindow="1080" windowWidth="30260" windowHeight="18340" activeTab="1" xr2:uid="{00000000-000D-0000-FFFF-FFFF00000000}"/>
  </bookViews>
  <sheets>
    <sheet name="Sensitivity Report 1" sheetId="34" r:id="rId1"/>
    <sheet name="DE Básico + Red" sheetId="21" r:id="rId2"/>
    <sheet name="Database" sheetId="33" r:id="rId3"/>
  </sheets>
  <definedNames>
    <definedName name="_B11" localSheetId="1">'DE Básico + Red'!$K$8</definedName>
    <definedName name="_B11">#REF!</definedName>
    <definedName name="_B12" localSheetId="1">'DE Básico + Red'!$L$8</definedName>
    <definedName name="_B12">#REF!</definedName>
    <definedName name="_B13" localSheetId="1">'DE Básico + Red'!$M$8</definedName>
    <definedName name="_B13">#REF!</definedName>
    <definedName name="_B21" localSheetId="1">'DE Básico + Red'!$K$9</definedName>
    <definedName name="_B21">#REF!</definedName>
    <definedName name="_B22" localSheetId="1">'DE Básico + Red'!$L$9</definedName>
    <definedName name="_B22">#REF!</definedName>
    <definedName name="_B23" localSheetId="1">'DE Básico + Red'!$M$9</definedName>
    <definedName name="_B23">#REF!</definedName>
    <definedName name="_B31" localSheetId="1">'DE Básico + Red'!$K$10</definedName>
    <definedName name="_B31">#REF!</definedName>
    <definedName name="_B32" localSheetId="1">'DE Básico + Red'!$L$10</definedName>
    <definedName name="_B32">#REF!</definedName>
    <definedName name="_B33" localSheetId="1">'DE Básico + Red'!$M$10</definedName>
    <definedName name="_B33">#REF!</definedName>
    <definedName name="_G11" localSheetId="1">'DE Básico + Red'!$G$8</definedName>
    <definedName name="_G11">#REF!</definedName>
    <definedName name="_G12" localSheetId="1">'DE Básico + Red'!$H$8</definedName>
    <definedName name="_G12">#REF!</definedName>
    <definedName name="_G13" localSheetId="1">'DE Básico + Red'!$I$8</definedName>
    <definedName name="_G13">#REF!</definedName>
    <definedName name="_G21" localSheetId="1">'DE Básico + Red'!$G$9</definedName>
    <definedName name="_G21">#REF!</definedName>
    <definedName name="_G22" localSheetId="1">'DE Básico + Red'!$H$9</definedName>
    <definedName name="_G22">#REF!</definedName>
    <definedName name="_G23" localSheetId="1">'DE Básico + Red'!$I$9</definedName>
    <definedName name="_G23">#REF!</definedName>
    <definedName name="_G31" localSheetId="1">'DE Básico + Red'!$G$10</definedName>
    <definedName name="_G31">#REF!</definedName>
    <definedName name="_G32" localSheetId="1">'DE Básico + Red'!$H$10</definedName>
    <definedName name="_G32">#REF!</definedName>
    <definedName name="_G33" localSheetId="1">'DE Básico + Red'!$I$10</definedName>
    <definedName name="_G33">#REF!</definedName>
    <definedName name="_PD1" localSheetId="1">'DE Básico + Red'!$B$13</definedName>
    <definedName name="_PD1">#REF!</definedName>
    <definedName name="_PD2" localSheetId="1">'DE Básico + Red'!$B$14</definedName>
    <definedName name="_PD2">#REF!</definedName>
    <definedName name="_PD3" localSheetId="1">'DE Básico + Red'!$B$15</definedName>
    <definedName name="_PD3">#REF!</definedName>
    <definedName name="_PG1" localSheetId="1">'DE Básico + Red'!$D$13</definedName>
    <definedName name="_PG1">#REF!</definedName>
    <definedName name="_PG2" localSheetId="1">'DE Básico + Red'!$D$14</definedName>
    <definedName name="_PG2">#REF!</definedName>
    <definedName name="_PG3" localSheetId="1">'DE Básico + Red'!$B$19</definedName>
    <definedName name="_PG3">#REF!</definedName>
    <definedName name="_QD1" localSheetId="1">'DE Básico + Red'!$B$16</definedName>
    <definedName name="_QD1">#REF!</definedName>
    <definedName name="_QD2" localSheetId="1">'DE Básico + Red'!$B$17</definedName>
    <definedName name="_QD2">#REF!</definedName>
    <definedName name="_QD3" localSheetId="1">'DE Básico + Red'!$B$18</definedName>
    <definedName name="_QD3">#REF!</definedName>
    <definedName name="_QG1" localSheetId="1">'DE Básico + Red'!$D$15</definedName>
    <definedName name="_QG1">#REF!</definedName>
    <definedName name="_QG2" localSheetId="1">'DE Básico + Red'!$D$16</definedName>
    <definedName name="_QG2">#REF!</definedName>
    <definedName name="_QG3" localSheetId="1">'DE Básico + Red'!$B$20</definedName>
    <definedName name="_QG3">#REF!</definedName>
    <definedName name="_T1" localSheetId="1">'DE Básico + Red'!$B$10</definedName>
    <definedName name="_T1">#REF!</definedName>
    <definedName name="_T2" localSheetId="1">'DE Básico + Red'!$D$11</definedName>
    <definedName name="_T2">#REF!</definedName>
    <definedName name="_T3" localSheetId="1">'DE Básico + Red'!$D$12</definedName>
    <definedName name="_T3">#REF!</definedName>
    <definedName name="_V1" localSheetId="1">'DE Básico + Red'!$B$11</definedName>
    <definedName name="_V1">#REF!</definedName>
    <definedName name="_V2" localSheetId="1">'DE Básico + Red'!$B$12</definedName>
    <definedName name="_V2">#REF!</definedName>
    <definedName name="_V3" localSheetId="1">'DE Básico + Red'!$D$10</definedName>
    <definedName name="_V3">#REF!</definedName>
    <definedName name="Sbase">'DE Básico + Red'!$B$7</definedName>
    <definedName name="solver_adj" localSheetId="1" hidden="1">'DE Básico + Red'!$D$10,'DE Básico + Red'!$D$11,'DE Básico + Red'!$D$12,'DE Básico + Red'!$D$13,'DE Básico + Red'!$D$14,'DE Básico + Red'!$D$15,'DE Básico + Red'!$D$16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'DE Básico + Red'!$C$30:$C$31</definedName>
    <definedName name="solver_lhs1" localSheetId="1" hidden="1">'DE Básico + Red'!$C$29:$C$34</definedName>
    <definedName name="solver_lhs2" localSheetId="1" hidden="1">'DE Básico + Red'!$D$13:$D$14</definedName>
    <definedName name="solver_lhs3" localSheetId="1" hidden="1">'DE Básico + Red'!$D$13:$D$14</definedName>
    <definedName name="solver_lhs4" localSheetId="1" hidden="1">'DE Básico + Red'!$D$14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'DE Básico + Red'!$D$27</definedName>
    <definedName name="solver_pre" localSheetId="1" hidden="1">0.000001</definedName>
    <definedName name="solver_rbv" localSheetId="1" hidden="1">2</definedName>
    <definedName name="solver_rel0" localSheetId="1" hidden="1">2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hs0" localSheetId="1" hidden="1">'DE Básico + Red'!#REF!</definedName>
    <definedName name="solver_rhs1" localSheetId="1" hidden="1">'DE Básico + Red'!$D$29:$D$34</definedName>
    <definedName name="solver_rhs2" localSheetId="1" hidden="1">0</definedName>
    <definedName name="solver_rhs3" localSheetId="1" hidden="1">0</definedName>
    <definedName name="solver_rhs4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4" l="1"/>
  <c r="G19" i="34"/>
  <c r="G20" i="34"/>
  <c r="G21" i="34"/>
  <c r="G22" i="34"/>
  <c r="G18" i="34"/>
  <c r="D25" i="21"/>
  <c r="D24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J17" i="33"/>
  <c r="B7" i="21"/>
  <c r="B15" i="21"/>
  <c r="H26" i="21"/>
  <c r="G37" i="21"/>
  <c r="G39" i="21"/>
  <c r="E13" i="21"/>
  <c r="H24" i="21"/>
  <c r="B37" i="21"/>
  <c r="E14" i="21"/>
  <c r="H25" i="21"/>
  <c r="B38" i="21"/>
  <c r="B39" i="21"/>
  <c r="K39" i="21"/>
  <c r="O40" i="21"/>
  <c r="K25" i="21"/>
  <c r="D53" i="21"/>
  <c r="F53" i="21"/>
  <c r="K26" i="21"/>
  <c r="D54" i="21"/>
  <c r="F54" i="21"/>
  <c r="F55" i="21"/>
  <c r="B13" i="21"/>
  <c r="B14" i="21"/>
  <c r="B19" i="21"/>
  <c r="L49" i="21"/>
  <c r="L55" i="21"/>
  <c r="I55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B47" i="21"/>
  <c r="C47" i="21"/>
  <c r="F47" i="21"/>
  <c r="D47" i="21"/>
  <c r="E47" i="21"/>
  <c r="G47" i="21"/>
  <c r="H47" i="21"/>
  <c r="Z22" i="21"/>
  <c r="B46" i="21"/>
  <c r="C46" i="21"/>
  <c r="F46" i="21"/>
  <c r="D46" i="21"/>
  <c r="E46" i="21"/>
  <c r="G46" i="21"/>
  <c r="H46" i="21"/>
  <c r="W23" i="21"/>
  <c r="H8" i="21"/>
  <c r="L8" i="21"/>
  <c r="B45" i="21"/>
  <c r="C45" i="21"/>
  <c r="F45" i="21"/>
  <c r="D45" i="21"/>
  <c r="G9" i="21"/>
  <c r="K9" i="21"/>
  <c r="E45" i="21"/>
  <c r="G45" i="21"/>
  <c r="H45" i="21"/>
  <c r="Y17" i="21"/>
  <c r="Y27" i="21"/>
  <c r="Y26" i="21"/>
  <c r="AA19" i="21"/>
  <c r="AA18" i="21"/>
  <c r="W21" i="21"/>
  <c r="W20" i="21"/>
  <c r="D27" i="21"/>
  <c r="F25" i="21"/>
  <c r="F24" i="21"/>
  <c r="K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<sst xmlns="http://schemas.openxmlformats.org/spreadsheetml/2006/main" count="222" uniqueCount="154">
  <si>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</si>
  <si>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</si>
  <si>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</si>
  <si>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</si>
  <si>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</si>
  <si>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</si>
  <si>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</si>
  <si>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</si>
  <si>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</si>
  <si>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</si>
  <si>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</si>
  <si>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</si>
  <si>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</si>
  <si>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</si>
  <si>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</si>
  <si>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</si>
  <si>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</si>
  <si>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</si>
  <si>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</si>
  <si>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</si>
  <si>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</si>
  <si>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</si>
  <si>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</si>
  <si>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</si>
  <si>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</si>
  <si>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</si>
  <si>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</si>
  <si>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</si>
  <si>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</si>
  <si>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</si>
  <si>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</si>
  <si>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</si>
  <si>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</si>
  <si>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</si>
  <si>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</si>
  <si>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</si>
  <si>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</si>
  <si>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</si>
  <si>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</si>
  <si>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</si>
  <si>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</si>
  <si>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>Ejemplo 3: Despacho Económico Básico + Red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</si>
  <si>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</si>
  <si>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</si>
  <si>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</si>
  <si>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</si>
  <si>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</si>
  <si>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</si>
  <si>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</si>
  <si>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</si>
  <si>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</si>
  <si>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</si>
  <si>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</si>
  <si>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</si>
  <si>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</si>
  <si>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</si>
  <si>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</si>
  <si>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</si>
  <si>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</si>
  <si>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</si>
  <si>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</si>
  <si>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</si>
  <si>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</si>
  <si>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</si>
  <si>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</si>
  <si>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</si>
  <si>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</si>
  <si>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</si>
  <si>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</si>
  <si>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</si>
  <si>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</si>
  <si>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</si>
  <si>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Worksheet: [Despacho_Economico_Basico_Red.xlsx]DE Básico + Red</t>
  </si>
  <si>
    <t>Report Created: 29/03/2021 11:02:20 p. m.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</si>
  <si>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</si>
  <si>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</si>
  <si>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</si>
  <si>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</si>
  <si>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</si>
  <si>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</si>
  <si>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</si>
  <si>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</si>
  <si>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</si>
  <si>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</si>
  <si>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</si>
  <si>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</si>
  <si>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</si>
  <si>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</si>
  <si>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</si>
  <si>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</si>
  <si>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</si>
  <si>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</si>
  <si>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</si>
  <si>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</si>
  <si>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</si>
  <si>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</si>
  <si>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</si>
  <si>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</si>
  <si>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</si>
  <si>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</si>
  <si>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</si>
  <si>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</si>
  <si>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</si>
  <si>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</si>
  <si>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</si>
  <si>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</si>
  <si>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</si>
  <si>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</si>
  <si>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</si>
  <si>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</si>
  <si>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ITLs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</si>
  <si>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</si>
  <si>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</si>
  <si>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</si>
  <si>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</si>
  <si>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</si>
  <si>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</si>
  <si>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</si>
  <si>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</si>
  <si>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</si>
  <si>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</si>
  <si>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</si>
  <si>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</si>
  <si>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</si>
  <si>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</si>
  <si>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</si>
  <si>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</si>
  <si>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</si>
  <si>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</si>
  <si>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</si>
  <si>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</si>
  <si>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</si>
  <si>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</si>
  <si>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</si>
  <si>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</si>
  <si>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</si>
  <si>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t>Reparto de pérdidas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</si>
  <si>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</si>
  <si>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</si>
  <si>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</si>
  <si>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Demandas pagan por pérdidas</t>
  </si>
  <si>
    <t>G1 paga por perdidas</t>
  </si>
  <si>
    <t>G2 paga por perdidas</t>
  </si>
  <si>
    <t>veces</t>
  </si>
  <si>
    <t>es</t>
  </si>
  <si>
    <t>max</t>
  </si>
  <si>
    <t>min</t>
  </si>
  <si>
    <t>La red recibe ingresos por pérdidas</t>
  </si>
  <si>
    <t>Equivalente a</t>
  </si>
  <si>
    <t>Si se aplican precios marginales (LMPs). Se remuneran el doble de las pérdidas.</t>
  </si>
  <si>
    <t>Ejemplo 3: Despacho Económico con Pérdidas (Red de Transmisión)</t>
  </si>
  <si>
    <t>Caso de Estudio 2</t>
  </si>
  <si>
    <t>Incógnitas pu</t>
  </si>
  <si>
    <t>Control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</si>
</sst>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16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17" fillId="2" borderId="0" xfId="0" applyFont="1" applyFill="1" applyBorder="1"/>
    <xf numFmtId="2" fontId="14" fillId="7" borderId="0" xfId="13" applyNumberFormat="1"/>
    <xf numFmtId="2" fontId="3" fillId="2" borderId="0" xfId="0" applyNumberFormat="1" applyFont="1" applyFill="1"/>
    <xf numFmtId="0" fontId="18" fillId="2" borderId="0" xfId="0" applyFont="1" applyFill="1"/>
    <xf numFmtId="2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/>
    <xf numFmtId="2" fontId="19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9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9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 applyAlignment="1">
      <alignment horizontal="center"/>
    </xf>
    <xf numFmtId="2" fontId="18" fillId="2" borderId="0" xfId="0" applyNumberFormat="1" applyFont="1" applyFill="1"/>
    <xf numFmtId="2" fontId="0" fillId="0" borderId="6" xfId="0" applyNumberFormat="1" applyFill="1" applyBorder="1" applyAlignmen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17</xdr:row>
      <xdr:rowOff>103555</xdr:rowOff>
    </xdr:from>
    <xdr:to>
      <xdr:col>24</xdr:col>
      <xdr:colOff>67235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flipH="1">
          <a:off x="12410543" y="336820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12410543" y="3549409"/>
          <a:ext cx="910589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268940</xdr:colOff>
      <xdr:row>23</xdr:row>
      <xdr:rowOff>101603</xdr:rowOff>
    </xdr:from>
    <xdr:to>
      <xdr:col>25</xdr:col>
      <xdr:colOff>7469</xdr:colOff>
      <xdr:row>24</xdr:row>
      <xdr:rowOff>14944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12945034" y="4174568"/>
          <a:ext cx="77694" cy="6125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717177</xdr:colOff>
      <xdr:row>18</xdr:row>
      <xdr:rowOff>90527</xdr:rowOff>
    </xdr:from>
    <xdr:to>
      <xdr:col>25</xdr:col>
      <xdr:colOff>38426</xdr:colOff>
      <xdr:row>23</xdr:row>
      <xdr:rowOff>104588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</xdr:cNvCxnSpPr>
      </xdr:nvCxnSpPr>
      <xdr:spPr>
        <a:xfrm flipH="1">
          <a:off x="13125824" y="3549409"/>
          <a:ext cx="195308" cy="89559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769392</xdr:colOff>
      <xdr:row>17</xdr:row>
      <xdr:rowOff>97692</xdr:rowOff>
    </xdr:from>
    <xdr:to>
      <xdr:col>24</xdr:col>
      <xdr:colOff>1896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3"/>
        </xdr:cNvCxnSpPr>
      </xdr:nvCxnSpPr>
      <xdr:spPr>
        <a:xfrm>
          <a:off x="11945392" y="3362339"/>
          <a:ext cx="465151" cy="19032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89941</xdr:rowOff>
    </xdr:from>
    <xdr:to>
      <xdr:col>25</xdr:col>
      <xdr:colOff>373530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41" idx="2"/>
          <a:endCxn id="5" idx="3"/>
        </xdr:cNvCxnSpPr>
      </xdr:nvCxnSpPr>
      <xdr:spPr>
        <a:xfrm flipH="1">
          <a:off x="13366070" y="3548823"/>
          <a:ext cx="290166" cy="58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24</xdr:col>
      <xdr:colOff>153894</xdr:colOff>
      <xdr:row>23</xdr:row>
      <xdr:rowOff>162361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2562541" y="4502773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67235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stCxn id="7" idx="1"/>
        </xdr:cNvCxnSpPr>
      </xdr:nvCxnSpPr>
      <xdr:spPr>
        <a:xfrm>
          <a:off x="12475882" y="3552668"/>
          <a:ext cx="330429" cy="8952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72289</xdr:colOff>
      <xdr:row>13</xdr:row>
      <xdr:rowOff>46690</xdr:rowOff>
    </xdr:from>
    <xdr:to>
      <xdr:col>22</xdr:col>
      <xdr:colOff>229570</xdr:colOff>
      <xdr:row>31</xdr:row>
      <xdr:rowOff>89502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9DA712-8A6F-854C-A1A5-5367EE8B7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9664" y="2491440"/>
          <a:ext cx="4126030" cy="3209875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16</xdr:row>
      <xdr:rowOff>93095</xdr:rowOff>
    </xdr:from>
    <xdr:to>
      <xdr:col>22</xdr:col>
      <xdr:colOff>761384</xdr:colOff>
      <xdr:row>18</xdr:row>
      <xdr:rowOff>48860</xdr:rowOff>
    </xdr:to>
    <xdr:grpSp>
      <xdr:nvGrpSpPr>
        <xdr:cNvPr id="29" name="Agrupar 51">
          <a:extLst>
            <a:ext uri="{FF2B5EF4-FFF2-40B4-BE49-F238E27FC236}">
              <a16:creationId xmlns:a16="http://schemas.microsoft.com/office/drawing/2014/main" id="{9D880E2A-13AF-2547-A5E2-E32DBED9D7A9}"/>
            </a:ext>
          </a:extLst>
        </xdr:cNvPr>
        <xdr:cNvGrpSpPr/>
      </xdr:nvGrpSpPr>
      <xdr:grpSpPr>
        <a:xfrm>
          <a:off x="11647145" y="3183428"/>
          <a:ext cx="357972" cy="34523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30" name="Elipse 24">
            <a:extLst>
              <a:ext uri="{FF2B5EF4-FFF2-40B4-BE49-F238E27FC236}">
                <a16:creationId xmlns:a16="http://schemas.microsoft.com/office/drawing/2014/main" id="{3DF256CF-2CE1-6A4D-B7F9-99B1B622100A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1" name="Agrupar 50">
            <a:extLst>
              <a:ext uri="{FF2B5EF4-FFF2-40B4-BE49-F238E27FC236}">
                <a16:creationId xmlns:a16="http://schemas.microsoft.com/office/drawing/2014/main" id="{1A08B982-CFC8-3942-8353-140790F31DD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33" name="Arco 25">
              <a:extLst>
                <a:ext uri="{FF2B5EF4-FFF2-40B4-BE49-F238E27FC236}">
                  <a16:creationId xmlns:a16="http://schemas.microsoft.com/office/drawing/2014/main" id="{A952C0E5-1875-1E4B-A3BD-D2CB385227A8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4" name="Arco 26">
              <a:extLst>
                <a:ext uri="{FF2B5EF4-FFF2-40B4-BE49-F238E27FC236}">
                  <a16:creationId xmlns:a16="http://schemas.microsoft.com/office/drawing/2014/main" id="{8C883FA7-5D62-6441-BE27-E47584073F6F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373530</xdr:colOff>
      <xdr:row>17</xdr:row>
      <xdr:rowOff>112058</xdr:rowOff>
    </xdr:from>
    <xdr:to>
      <xdr:col>26</xdr:col>
      <xdr:colOff>245914</xdr:colOff>
      <xdr:row>19</xdr:row>
      <xdr:rowOff>67822</xdr:rowOff>
    </xdr:to>
    <xdr:grpSp>
      <xdr:nvGrpSpPr>
        <xdr:cNvPr id="40" name="Agrupar 51">
          <a:extLst>
            <a:ext uri="{FF2B5EF4-FFF2-40B4-BE49-F238E27FC236}">
              <a16:creationId xmlns:a16="http://schemas.microsoft.com/office/drawing/2014/main" id="{2ED1FEF6-6EC9-7A43-960C-1FC05D868750}"/>
            </a:ext>
          </a:extLst>
        </xdr:cNvPr>
        <xdr:cNvGrpSpPr/>
      </xdr:nvGrpSpPr>
      <xdr:grpSpPr>
        <a:xfrm>
          <a:off x="13733930" y="3397125"/>
          <a:ext cx="354984" cy="345230"/>
          <a:chOff x="513989" y="2399805"/>
          <a:chExt cx="713232" cy="713205"/>
        </a:xfrm>
      </xdr:grpSpPr>
      <xdr:sp macro="" textlink="">
        <xdr:nvSpPr>
          <xdr:cNvPr id="41" name="Elipse 24">
            <a:extLst>
              <a:ext uri="{FF2B5EF4-FFF2-40B4-BE49-F238E27FC236}">
                <a16:creationId xmlns:a16="http://schemas.microsoft.com/office/drawing/2014/main" id="{AF7F7867-200F-2D45-BC26-BD2ACBE0F49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42" name="Agrupar 50">
            <a:extLst>
              <a:ext uri="{FF2B5EF4-FFF2-40B4-BE49-F238E27FC236}">
                <a16:creationId xmlns:a16="http://schemas.microsoft.com/office/drawing/2014/main" id="{C497F6E7-3DD1-5742-ACC5-3D9943E49B4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43" name="Arco 25">
              <a:extLst>
                <a:ext uri="{FF2B5EF4-FFF2-40B4-BE49-F238E27FC236}">
                  <a16:creationId xmlns:a16="http://schemas.microsoft.com/office/drawing/2014/main" id="{F1A63C48-B224-E94F-AC1B-0A6D1618D75F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44" name="Arco 26">
              <a:extLst>
                <a:ext uri="{FF2B5EF4-FFF2-40B4-BE49-F238E27FC236}">
                  <a16:creationId xmlns:a16="http://schemas.microsoft.com/office/drawing/2014/main" id="{F057720B-9279-C94B-AF34-EAB885751C1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  <xdr:twoCellAnchor editAs="oneCell">
    <xdr:from>
      <xdr:col>3</xdr:col>
      <xdr:colOff>778933</xdr:colOff>
      <xdr:row>14</xdr:row>
      <xdr:rowOff>118534</xdr:rowOff>
    </xdr:from>
    <xdr:to>
      <xdr:col>7</xdr:col>
      <xdr:colOff>406400</xdr:colOff>
      <xdr:row>24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3782BE-5FD6-4E4A-952A-B716400CF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0533" y="2904067"/>
          <a:ext cx="3149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99EF-59D7-4998-9346-6B4594282A91}">
  <dimension ref="A1:H23"/>
  <sheetViews>
    <sheetView showGridLines="0" zoomScale="150" zoomScaleNormal="150" workbookViewId="0">
      <selection activeCell="H18" sqref="H18:H20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" customWidth="1"/>
    <col min="4" max="5" width="12.6640625" bestFit="1" customWidth="1"/>
  </cols>
  <sheetData>
    <row r="1" spans="1:7" x14ac:dyDescent="0.2">
      <c r="A1" s="1" t="s">
        <v>71</v>
      </c>
    </row>
    <row r="2" spans="1:7" x14ac:dyDescent="0.2">
      <c r="A2" s="1" t="s">
        <v>72</v>
      </c>
    </row>
    <row r="3" spans="1:7" x14ac:dyDescent="0.2">
      <c r="A3" s="1" t="s">
        <v>73</v>
      </c>
    </row>
    <row r="4" spans="1:7" ht="16" thickBot="1" x14ac:dyDescent="0.25">
      <c r="A4" t="s">
        <v>74</v>
      </c>
    </row>
    <row r="5" spans="1:7" x14ac:dyDescent="0.2">
      <c r="B5" s="42"/>
      <c r="C5" s="42"/>
      <c r="D5" s="42" t="s">
        <v>77</v>
      </c>
      <c r="E5" s="42" t="s">
        <v>79</v>
      </c>
    </row>
    <row r="6" spans="1:7" ht="16" thickBot="1" x14ac:dyDescent="0.25">
      <c r="B6" s="43" t="s">
        <v>75</v>
      </c>
      <c r="C6" s="43" t="s">
        <v>76</v>
      </c>
      <c r="D6" s="43" t="s">
        <v>78</v>
      </c>
      <c r="E6" s="43" t="s">
        <v>80</v>
      </c>
    </row>
    <row r="7" spans="1:7" x14ac:dyDescent="0.2">
      <c r="B7" s="40" t="s">
        <v>84</v>
      </c>
      <c r="C7" s="40" t="s">
        <v>85</v>
      </c>
      <c r="D7" s="40">
        <v>0.98521657875212187</v>
      </c>
      <c r="E7" s="40">
        <v>0</v>
      </c>
    </row>
    <row r="8" spans="1:7" x14ac:dyDescent="0.2">
      <c r="B8" s="40" t="s">
        <v>86</v>
      </c>
      <c r="C8" s="40" t="s">
        <v>87</v>
      </c>
      <c r="D8" s="40">
        <v>-2.5532049247321949E-2</v>
      </c>
      <c r="E8" s="40">
        <v>0</v>
      </c>
    </row>
    <row r="9" spans="1:7" x14ac:dyDescent="0.2">
      <c r="B9" s="40" t="s">
        <v>88</v>
      </c>
      <c r="C9" s="40" t="s">
        <v>89</v>
      </c>
      <c r="D9" s="40">
        <v>-7.625165941774073E-2</v>
      </c>
      <c r="E9" s="40">
        <v>0</v>
      </c>
    </row>
    <row r="10" spans="1:7" x14ac:dyDescent="0.2">
      <c r="B10" s="40" t="s">
        <v>90</v>
      </c>
      <c r="C10" s="40" t="s">
        <v>91</v>
      </c>
      <c r="D10" s="40">
        <v>1.0016868057290722</v>
      </c>
      <c r="E10" s="40">
        <v>0</v>
      </c>
    </row>
    <row r="11" spans="1:7" x14ac:dyDescent="0.2">
      <c r="B11" s="40" t="s">
        <v>92</v>
      </c>
      <c r="C11" s="40" t="s">
        <v>93</v>
      </c>
      <c r="D11" s="40">
        <v>0.26629195828807539</v>
      </c>
      <c r="E11" s="40">
        <v>0</v>
      </c>
    </row>
    <row r="12" spans="1:7" x14ac:dyDescent="0.2">
      <c r="B12" s="40" t="s">
        <v>94</v>
      </c>
      <c r="C12" s="40" t="s">
        <v>95</v>
      </c>
      <c r="D12" s="40">
        <v>-2.0615772611423111E-2</v>
      </c>
      <c r="E12" s="40">
        <v>0</v>
      </c>
    </row>
    <row r="13" spans="1:7" ht="16" thickBot="1" x14ac:dyDescent="0.25">
      <c r="B13" s="41" t="s">
        <v>96</v>
      </c>
      <c r="C13" s="41" t="s">
        <v>97</v>
      </c>
      <c r="D13" s="41">
        <v>0.11050459918361888</v>
      </c>
      <c r="E13" s="41">
        <v>0</v>
      </c>
    </row>
    <row r="15" spans="1:7" ht="16" thickBot="1" x14ac:dyDescent="0.25">
      <c r="A15" t="s">
        <v>81</v>
      </c>
    </row>
    <row r="16" spans="1:7" x14ac:dyDescent="0.2">
      <c r="B16" s="42"/>
      <c r="C16" s="42"/>
      <c r="D16" s="42" t="s">
        <v>77</v>
      </c>
      <c r="E16" s="42" t="s">
        <v>82</v>
      </c>
      <c r="G16" s="42" t="s">
        <v>82</v>
      </c>
    </row>
    <row r="17" spans="2:8" ht="16" thickBot="1" x14ac:dyDescent="0.25">
      <c r="B17" s="43" t="s">
        <v>75</v>
      </c>
      <c r="C17" s="43" t="s">
        <v>76</v>
      </c>
      <c r="D17" s="43" t="s">
        <v>78</v>
      </c>
      <c r="E17" s="43" t="s">
        <v>83</v>
      </c>
      <c r="G17" s="43" t="s">
        <v>83</v>
      </c>
    </row>
    <row r="18" spans="2:8" x14ac:dyDescent="0.2">
      <c r="B18" s="40" t="s">
        <v>98</v>
      </c>
      <c r="C18" s="40" t="s">
        <v>99</v>
      </c>
      <c r="D18" s="40">
        <v>1.0016868057290722</v>
      </c>
      <c r="E18" s="83">
        <v>6003.3574075093247</v>
      </c>
      <c r="G18" s="83">
        <f>E18/200</f>
        <v>30.016787037546624</v>
      </c>
      <c r="H18" s="2" t="s">
        <v>51</v>
      </c>
    </row>
    <row r="19" spans="2:8" x14ac:dyDescent="0.2">
      <c r="B19" s="40" t="s">
        <v>100</v>
      </c>
      <c r="C19" s="40" t="s">
        <v>101</v>
      </c>
      <c r="D19" s="40">
        <v>0.26629195828807539</v>
      </c>
      <c r="E19" s="83">
        <v>6065.17041015625</v>
      </c>
      <c r="G19" s="83">
        <f t="shared" ref="G19:G22" si="0">E19/200</f>
        <v>30.325852050781251</v>
      </c>
      <c r="H19" s="2" t="s">
        <v>51</v>
      </c>
    </row>
    <row r="20" spans="2:8" x14ac:dyDescent="0.2">
      <c r="B20" s="40" t="s">
        <v>102</v>
      </c>
      <c r="C20" s="40" t="s">
        <v>103</v>
      </c>
      <c r="D20" s="40">
        <v>-1.25</v>
      </c>
      <c r="E20" s="83">
        <v>6192.4147177786226</v>
      </c>
      <c r="G20" s="83">
        <f t="shared" si="0"/>
        <v>30.962073588893112</v>
      </c>
      <c r="H20" s="2" t="s">
        <v>51</v>
      </c>
    </row>
    <row r="21" spans="2:8" x14ac:dyDescent="0.2">
      <c r="B21" s="40" t="s">
        <v>104</v>
      </c>
      <c r="C21" s="40" t="s">
        <v>105</v>
      </c>
      <c r="D21" s="40">
        <v>-2.0615772611423111E-2</v>
      </c>
      <c r="E21" s="83">
        <v>0</v>
      </c>
      <c r="G21" s="83">
        <f t="shared" si="0"/>
        <v>0</v>
      </c>
    </row>
    <row r="22" spans="2:8" x14ac:dyDescent="0.2">
      <c r="B22" s="40" t="s">
        <v>106</v>
      </c>
      <c r="C22" s="40" t="s">
        <v>107</v>
      </c>
      <c r="D22" s="40">
        <v>0.11050459918361888</v>
      </c>
      <c r="E22" s="83">
        <v>0</v>
      </c>
      <c r="G22" s="83">
        <f t="shared" si="0"/>
        <v>0</v>
      </c>
    </row>
    <row r="23" spans="2:8" ht="16" thickBot="1" x14ac:dyDescent="0.25">
      <c r="B23" s="41" t="s">
        <v>108</v>
      </c>
      <c r="C23" s="41" t="s">
        <v>109</v>
      </c>
      <c r="D23" s="41">
        <v>0</v>
      </c>
      <c r="E23" s="84">
        <v>10.446206305748646</v>
      </c>
      <c r="G23" s="84">
        <f>E23/200</f>
        <v>5.2231031528743227E-2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zoomScale="150" zoomScaleNormal="150" zoomScalePageLayoutView="130" workbookViewId="0">
      <pane ySplit="5" topLeftCell="A6" activePane="bottomLeft" state="frozen"/>
      <selection pane="bottomLeft" activeCell="A9" sqref="A9:D9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6.3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8.83203125" customWidth="1"/>
  </cols>
  <sheetData>
    <row r="1" spans="1:30" s="2" customFormat="1" x14ac:dyDescent="0.2"/>
    <row r="2" spans="1:30" s="2" customFormat="1" ht="19" x14ac:dyDescent="0.25">
      <c r="G2" s="10" t="s">
        <v>40</v>
      </c>
    </row>
    <row r="3" spans="1:30" s="2" customFormat="1" ht="19" x14ac:dyDescent="0.25">
      <c r="G3" s="11" t="s">
        <v>41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7" t="s">
        <v>56</v>
      </c>
      <c r="H7" s="87"/>
      <c r="I7" s="87"/>
      <c r="J7" s="87"/>
      <c r="K7" s="87"/>
      <c r="L7" s="87"/>
      <c r="M7" s="87"/>
      <c r="N7" s="87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N8" s="7"/>
      <c r="O8" s="48" t="s">
        <v>25</v>
      </c>
      <c r="P8" s="2">
        <v>0.02</v>
      </c>
      <c r="Q8" s="18" t="s">
        <v>2</v>
      </c>
      <c r="R8" s="47">
        <v>0.1</v>
      </c>
    </row>
    <row r="9" spans="1:30" s="2" customFormat="1" x14ac:dyDescent="0.2">
      <c r="A9" s="88" t="s">
        <v>153</v>
      </c>
      <c r="B9" s="88"/>
      <c r="C9" s="89" t="s">
        <v>152</v>
      </c>
      <c r="D9" s="89"/>
      <c r="E9" s="7"/>
      <c r="F9" s="19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74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N9" s="7"/>
      <c r="O9" s="48" t="s">
        <v>26</v>
      </c>
      <c r="P9" s="2">
        <v>0.02</v>
      </c>
      <c r="Q9" s="18" t="s">
        <v>2</v>
      </c>
      <c r="R9" s="47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30" t="s">
        <v>32</v>
      </c>
      <c r="D10" s="31">
        <v>0.98521658421944436</v>
      </c>
      <c r="E10" s="7"/>
      <c r="F10" s="19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48" t="s">
        <v>27</v>
      </c>
      <c r="P10" s="2">
        <v>0.02</v>
      </c>
      <c r="Q10" s="18" t="s">
        <v>2</v>
      </c>
      <c r="R10" s="47">
        <v>0.1</v>
      </c>
    </row>
    <row r="11" spans="1:30" x14ac:dyDescent="0.2">
      <c r="A11" s="23" t="s">
        <v>31</v>
      </c>
      <c r="B11" s="24">
        <f>Database!J13</f>
        <v>1</v>
      </c>
      <c r="C11" s="30" t="s">
        <v>35</v>
      </c>
      <c r="D11" s="31">
        <v>-2.5531163690128061E-2</v>
      </c>
      <c r="E11" s="7"/>
      <c r="F11" s="7"/>
      <c r="G11" s="37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30" t="s">
        <v>36</v>
      </c>
      <c r="D12" s="31">
        <v>-7.6251215952137213E-2</v>
      </c>
      <c r="E12" s="86" t="s">
        <v>58</v>
      </c>
      <c r="F12" s="86"/>
      <c r="G12" s="50" t="s">
        <v>145</v>
      </c>
      <c r="H12" s="50" t="s">
        <v>146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1.0016729815779142</v>
      </c>
      <c r="E13" s="32">
        <f>_PG1*Sbase</f>
        <v>200.33459631558284</v>
      </c>
      <c r="F13" s="29" t="s">
        <v>53</v>
      </c>
      <c r="G13" s="50">
        <f>Database!G13</f>
        <v>400</v>
      </c>
      <c r="H13" s="50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0.26630464081652783</v>
      </c>
      <c r="E14" s="32">
        <f>_PG2*Sbase</f>
        <v>53.260928163305564</v>
      </c>
      <c r="F14" s="29" t="s">
        <v>53</v>
      </c>
      <c r="G14" s="50">
        <f>Database!G14</f>
        <v>300</v>
      </c>
      <c r="H14" s="50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30" t="s">
        <v>14</v>
      </c>
      <c r="D15" s="31">
        <v>-2.061385593096483E-2</v>
      </c>
      <c r="E15" s="28">
        <f>_QG1*Sbase</f>
        <v>-4.1227711861929661</v>
      </c>
      <c r="F15" s="29" t="s">
        <v>59</v>
      </c>
      <c r="H15" s="7"/>
      <c r="I15" s="7"/>
      <c r="J15" s="7"/>
      <c r="K15" s="7" t="s">
        <v>133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30" t="s">
        <v>15</v>
      </c>
      <c r="D16" s="31">
        <v>0.11050196783083102</v>
      </c>
      <c r="E16" s="28">
        <f>_QG2*Sbase</f>
        <v>22.100393566166204</v>
      </c>
      <c r="F16" s="29" t="s">
        <v>59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6">
        <f>H45</f>
        <v>50.065291975236427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53</v>
      </c>
      <c r="Z18" s="2"/>
      <c r="AA18" s="17">
        <f>_PG2*Sbase</f>
        <v>53.260928163305564</v>
      </c>
      <c r="AB18" s="2" t="s">
        <v>53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82">
        <f>_QG2*Sbase</f>
        <v>22.100393566166204</v>
      </c>
      <c r="AB19" s="2" t="s">
        <v>122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54">
        <f>_PG1*Sbase</f>
        <v>200.33459631558284</v>
      </c>
      <c r="X20" s="2" t="s">
        <v>53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82">
        <f>_QG1*Sbase</f>
        <v>-4.1227711861929661</v>
      </c>
      <c r="X21" s="7" t="s">
        <v>122</v>
      </c>
      <c r="Y21" s="7"/>
      <c r="Z21" s="7"/>
      <c r="AA21" s="7"/>
    </row>
    <row r="22" spans="1:30" s="7" customFormat="1" ht="13" customHeight="1" x14ac:dyDescent="0.2">
      <c r="A22" s="90" t="s">
        <v>63</v>
      </c>
      <c r="B22" s="90"/>
      <c r="C22" s="90"/>
      <c r="D22" s="90"/>
      <c r="E22" s="90"/>
      <c r="F22" s="21"/>
      <c r="G22" s="21"/>
      <c r="H22" s="21"/>
      <c r="P22" s="2"/>
      <c r="Q22" s="2"/>
      <c r="W22" s="2"/>
      <c r="Y22" s="2"/>
      <c r="Z22" s="58">
        <f>H47</f>
        <v>102.09751151007345</v>
      </c>
      <c r="AA22" s="2" t="s">
        <v>53</v>
      </c>
    </row>
    <row r="23" spans="1:30" s="2" customFormat="1" ht="13" customHeight="1" x14ac:dyDescent="0.2">
      <c r="B23" s="39" t="s">
        <v>62</v>
      </c>
      <c r="C23" s="39" t="s">
        <v>113</v>
      </c>
      <c r="D23" s="39" t="s">
        <v>112</v>
      </c>
      <c r="F23" s="39" t="s">
        <v>111</v>
      </c>
      <c r="H23" s="39" t="s">
        <v>39</v>
      </c>
      <c r="I23" s="46"/>
      <c r="K23" s="39" t="s">
        <v>110</v>
      </c>
      <c r="M23" s="7"/>
      <c r="N23" s="7"/>
      <c r="W23" s="57">
        <f>H46</f>
        <v>149.97449598017283</v>
      </c>
      <c r="X23" s="2" t="s">
        <v>53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$B$24*_PG1*Sbase+(1/2)*$C$24*(_PG1*B7)^2+Database!C13</f>
        <v>5110.0406883348451</v>
      </c>
      <c r="E24" s="2" t="s">
        <v>50</v>
      </c>
      <c r="F24" s="6">
        <f>B24*_PG1+C24</f>
        <v>20.083459631558284</v>
      </c>
      <c r="G24" s="73" t="s">
        <v>137</v>
      </c>
      <c r="H24" s="6">
        <f>'Sensitivity Report 1'!E18/Sbase</f>
        <v>30.016787037546624</v>
      </c>
      <c r="I24" s="2" t="s">
        <v>51</v>
      </c>
      <c r="K24" s="13">
        <f>0</f>
        <v>0</v>
      </c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+$B$25*_PG2*B7+(1/2)*$C$25*(_PG2*B7)^2+Database!C14</f>
        <v>1673.3595275234788</v>
      </c>
      <c r="E25" s="2" t="s">
        <v>50</v>
      </c>
      <c r="F25" s="6">
        <f>B25*_PG1+C25</f>
        <v>25.141824539447857</v>
      </c>
      <c r="G25" s="73" t="s">
        <v>138</v>
      </c>
      <c r="H25" s="6">
        <f>'Sensitivity Report 1'!E19/Sbase</f>
        <v>30.325852050781251</v>
      </c>
      <c r="I25" s="2" t="s">
        <v>51</v>
      </c>
      <c r="K25" s="45">
        <f>1-H25/H24</f>
        <v>-1.0296405569591105E-2</v>
      </c>
      <c r="M25" s="7"/>
      <c r="N25" s="7"/>
      <c r="Q25" s="33"/>
    </row>
    <row r="26" spans="1:30" s="2" customFormat="1" ht="13" customHeight="1" x14ac:dyDescent="0.25">
      <c r="A26" s="19"/>
      <c r="F26" s="6"/>
      <c r="G26" s="73" t="s">
        <v>139</v>
      </c>
      <c r="H26" s="6">
        <f>'Sensitivity Report 1'!E20/Sbase</f>
        <v>30.962073588893112</v>
      </c>
      <c r="I26" s="2" t="s">
        <v>51</v>
      </c>
      <c r="K26" s="45">
        <f>1-H26/H24</f>
        <v>-3.1491929837929478E-2</v>
      </c>
      <c r="M26" s="7"/>
      <c r="N26" s="7"/>
      <c r="Y26" s="9">
        <f>_PD3*Sbase</f>
        <v>250</v>
      </c>
      <c r="Z26" s="2" t="s">
        <v>53</v>
      </c>
    </row>
    <row r="27" spans="1:30" s="2" customFormat="1" ht="13" customHeight="1" x14ac:dyDescent="0.2">
      <c r="A27" s="51" t="s">
        <v>64</v>
      </c>
      <c r="B27" s="52"/>
      <c r="C27" s="7"/>
      <c r="D27" s="53">
        <f>SUM(D24:D25)</f>
        <v>6783.4002158583244</v>
      </c>
      <c r="E27" s="2" t="s">
        <v>50</v>
      </c>
      <c r="F27" s="49" t="s">
        <v>114</v>
      </c>
      <c r="M27" s="7"/>
      <c r="N27" s="7"/>
      <c r="Y27" s="55">
        <f>_QD3*Sbase</f>
        <v>0</v>
      </c>
      <c r="Z27" s="2" t="s">
        <v>122</v>
      </c>
    </row>
    <row r="28" spans="1:30" s="2" customFormat="1" ht="13" customHeight="1" x14ac:dyDescent="0.2">
      <c r="A28" s="50" t="s">
        <v>121</v>
      </c>
      <c r="B28" s="22"/>
      <c r="C28" s="22"/>
      <c r="M28" s="7"/>
      <c r="N28" s="7"/>
    </row>
    <row r="29" spans="1:30" s="2" customFormat="1" ht="13" customHeight="1" x14ac:dyDescent="0.2">
      <c r="B29" s="34" t="s">
        <v>65</v>
      </c>
      <c r="C29" s="35">
        <f>_PG1-_PD1</f>
        <v>1.0016729815779142</v>
      </c>
      <c r="D29" s="38">
        <f>(_V1*_V1*_G11+_V1*_V2*(_G12*COS(_T1-_T2)+_B12*SIN(_T1-_T2))+_V1*_V3*(_G13*COS(_T1-_T3)+_B13*SIN(_T1-_T3)))</f>
        <v>1.0016729907243307</v>
      </c>
      <c r="F29" s="49" t="s">
        <v>115</v>
      </c>
      <c r="M29" s="7"/>
      <c r="N29" s="36"/>
    </row>
    <row r="30" spans="1:30" s="2" customFormat="1" ht="13" customHeight="1" x14ac:dyDescent="0.2">
      <c r="B30" s="34" t="s">
        <v>66</v>
      </c>
      <c r="C30" s="35">
        <f>_PG2-_PD2</f>
        <v>0.26630464081652783</v>
      </c>
      <c r="D30" s="38">
        <f>(_V2*_V2*_G22+_V2*_V1*(_G21*COS(_T2-_T1)+_B21*SIN(_T2-_T1))+_V2*_V3*(_G23*COS(_T2-_T3)+_B23*SIN(_T2-_T3)))</f>
        <v>0.26630464429266221</v>
      </c>
      <c r="F30" s="49" t="s">
        <v>116</v>
      </c>
      <c r="M30" s="7"/>
      <c r="N30" s="36"/>
    </row>
    <row r="31" spans="1:30" s="2" customFormat="1" ht="13" customHeight="1" x14ac:dyDescent="0.2">
      <c r="B31" s="34" t="s">
        <v>67</v>
      </c>
      <c r="C31" s="35">
        <f>_PG3-_PD3</f>
        <v>-1.25</v>
      </c>
      <c r="D31" s="38">
        <f>(_V3*_V3*_G33+_V3*_V1*(_G31*COS(_T3-_T1)+_B31*SIN(_T3-_T1))+_V3*_V2*(_G32*COS(_T3-_T2)+_B32*SIN(_T3-_T2)))</f>
        <v>-1.24999999664991</v>
      </c>
      <c r="F31" s="49" t="s">
        <v>117</v>
      </c>
      <c r="M31" s="36"/>
      <c r="N31" s="7"/>
    </row>
    <row r="32" spans="1:30" s="2" customFormat="1" ht="13" customHeight="1" x14ac:dyDescent="0.2">
      <c r="B32" s="34" t="s">
        <v>68</v>
      </c>
      <c r="C32" s="35">
        <f>_QG1-_QD1</f>
        <v>-2.061385593096483E-2</v>
      </c>
      <c r="D32" s="38">
        <f>(-_V1*_V1*_B11+_V1*_V2*(_G12*SIN(_T1-_T2)-_B12*COS(_T1-_T2))+_V1*_V3*(_G13*SIN(_T1-_T3)-_B13*COS(_T1-_T3)))</f>
        <v>-2.0613823024406841E-2</v>
      </c>
      <c r="F32" s="49" t="s">
        <v>118</v>
      </c>
      <c r="M32" s="7"/>
      <c r="N32" s="7"/>
      <c r="P32" s="8"/>
    </row>
    <row r="33" spans="1:16" s="2" customFormat="1" ht="13" customHeight="1" x14ac:dyDescent="0.2">
      <c r="B33" s="34" t="s">
        <v>69</v>
      </c>
      <c r="C33" s="35">
        <f>_QG2-_QD2</f>
        <v>0.11050196783083102</v>
      </c>
      <c r="D33" s="38">
        <f>(-_V2*_V2*_B22+_V2*_V1*(_G21*SIN(_T2-_T1)-_B21*COS(_T2-_T1))+_V2*_V3*(_G23*SIN(_T2-_T3)-_B23*COS(_T2-_T3)))</f>
        <v>0.11050200212591577</v>
      </c>
      <c r="E33" s="26"/>
      <c r="F33" s="49" t="s">
        <v>119</v>
      </c>
      <c r="H33" s="26"/>
      <c r="I33" s="7"/>
      <c r="K33" s="7"/>
      <c r="L33" s="7"/>
      <c r="M33" s="7"/>
      <c r="N33" s="7"/>
    </row>
    <row r="34" spans="1:16" s="2" customFormat="1" ht="13" customHeight="1" x14ac:dyDescent="0.2">
      <c r="A34"/>
      <c r="B34" s="34" t="s">
        <v>70</v>
      </c>
      <c r="C34" s="35">
        <f>_QG3-_QD3</f>
        <v>0</v>
      </c>
      <c r="D34" s="38">
        <f>(-_V3*_V3*_B33+_V3*_V1*(_G31*SIN(_T3-_T1)-_B31*COS(_T3-_T1))+_V3*_V2*(_G32*SIN(_T3-_T2)-_B32*COS(_T3-_T2)))</f>
        <v>1.2733902821082665E-8</v>
      </c>
      <c r="E34" s="7"/>
      <c r="F34" s="49" t="s">
        <v>120</v>
      </c>
      <c r="H34" s="7"/>
      <c r="I34" s="7"/>
      <c r="K34" s="7"/>
      <c r="L34" s="7"/>
      <c r="M34" s="7"/>
      <c r="N34" s="7"/>
    </row>
    <row r="35" spans="1:16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6" s="2" customFormat="1" x14ac:dyDescent="0.2">
      <c r="A36" s="60"/>
      <c r="B36" s="60" t="s">
        <v>125</v>
      </c>
      <c r="C36" s="16" t="s">
        <v>127</v>
      </c>
      <c r="D36" s="60" t="s">
        <v>128</v>
      </c>
      <c r="E36" s="7"/>
      <c r="F36" s="60"/>
      <c r="G36" s="76" t="s">
        <v>130</v>
      </c>
      <c r="J36" s="60"/>
      <c r="K36" s="60" t="s">
        <v>135</v>
      </c>
      <c r="L36" s="7"/>
      <c r="M36" s="7"/>
      <c r="N36" s="7"/>
    </row>
    <row r="37" spans="1:16" s="2" customFormat="1" x14ac:dyDescent="0.2">
      <c r="A37" s="2" t="s">
        <v>123</v>
      </c>
      <c r="B37" s="59">
        <f>E13*H24</f>
        <v>6013.400913857723</v>
      </c>
      <c r="C37" s="59">
        <f>D24</f>
        <v>5110.0406883348451</v>
      </c>
      <c r="D37" s="59">
        <f>B37-C37</f>
        <v>903.36022552287795</v>
      </c>
      <c r="E37" s="21"/>
      <c r="F37" s="21" t="s">
        <v>131</v>
      </c>
      <c r="G37" s="21">
        <f>_PD3*Sbase*H26</f>
        <v>7740.518397223278</v>
      </c>
      <c r="J37" s="21" t="s">
        <v>134</v>
      </c>
      <c r="K37" s="21">
        <f>G39-B39</f>
        <v>111.93445579786203</v>
      </c>
      <c r="L37" s="7"/>
      <c r="M37" s="7"/>
      <c r="N37" s="7"/>
    </row>
    <row r="38" spans="1:16" s="2" customFormat="1" x14ac:dyDescent="0.2">
      <c r="A38" s="60" t="s">
        <v>124</v>
      </c>
      <c r="B38" s="61">
        <f>E14*H25</f>
        <v>1615.183027567693</v>
      </c>
      <c r="C38" s="61">
        <f>D25</f>
        <v>1673.3595275234788</v>
      </c>
      <c r="D38" s="61">
        <f t="shared" ref="D38:D39" si="0">B38-C38</f>
        <v>-58.176499955785857</v>
      </c>
      <c r="E38" s="21"/>
      <c r="F38" s="60"/>
      <c r="G38" s="60"/>
      <c r="J38" s="61"/>
      <c r="K38" s="60"/>
      <c r="L38" s="7"/>
      <c r="M38" s="7"/>
      <c r="N38" s="7"/>
    </row>
    <row r="39" spans="1:16" s="2" customFormat="1" x14ac:dyDescent="0.2">
      <c r="A39" s="2" t="s">
        <v>126</v>
      </c>
      <c r="B39" s="59">
        <f>SUM(B37:B38)</f>
        <v>7628.583941425416</v>
      </c>
      <c r="C39" s="59">
        <f>SUM(C37:C38)</f>
        <v>6783.4002158583244</v>
      </c>
      <c r="D39" s="59">
        <f t="shared" si="0"/>
        <v>845.18372556709164</v>
      </c>
      <c r="E39" s="21"/>
      <c r="F39" s="21" t="s">
        <v>126</v>
      </c>
      <c r="G39" s="21">
        <f>G37</f>
        <v>7740.518397223278</v>
      </c>
      <c r="J39" s="21" t="s">
        <v>126</v>
      </c>
      <c r="K39" s="21">
        <f>G39-B39</f>
        <v>111.93445579786203</v>
      </c>
      <c r="L39" s="36"/>
      <c r="M39" s="77" t="s">
        <v>147</v>
      </c>
      <c r="N39" s="77"/>
      <c r="O39" s="78"/>
      <c r="P39" s="78"/>
    </row>
    <row r="40" spans="1:16" s="2" customFormat="1" x14ac:dyDescent="0.2">
      <c r="C40" s="7"/>
      <c r="D40" s="7"/>
      <c r="E40" s="7"/>
      <c r="F40" s="62"/>
      <c r="G40" s="7"/>
      <c r="H40" s="7"/>
      <c r="I40" s="7"/>
      <c r="J40" s="7"/>
      <c r="K40" s="7"/>
      <c r="L40" s="36"/>
      <c r="M40" s="77" t="s">
        <v>148</v>
      </c>
      <c r="N40" s="77"/>
      <c r="O40" s="79">
        <f>K39/H24</f>
        <v>3.7290618632116868</v>
      </c>
      <c r="P40" s="78" t="s">
        <v>53</v>
      </c>
    </row>
    <row r="41" spans="1:16" s="2" customFormat="1" x14ac:dyDescent="0.2">
      <c r="A41" s="7" t="s">
        <v>60</v>
      </c>
      <c r="B41" s="62"/>
      <c r="C41" s="7"/>
      <c r="D41" s="7"/>
      <c r="E41" s="7"/>
      <c r="F41" s="7"/>
      <c r="I41" s="7"/>
      <c r="J41" s="7"/>
      <c r="K41" s="85"/>
      <c r="L41" s="85"/>
    </row>
    <row r="42" spans="1:16" s="2" customFormat="1" x14ac:dyDescent="0.2">
      <c r="A42" s="7" t="s">
        <v>61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6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63" t="s">
        <v>9</v>
      </c>
      <c r="I43" s="7"/>
      <c r="J43" s="50" t="s">
        <v>28</v>
      </c>
      <c r="L43" s="85" t="s">
        <v>129</v>
      </c>
      <c r="M43" s="85"/>
    </row>
    <row r="44" spans="1:16" s="2" customFormat="1" x14ac:dyDescent="0.2">
      <c r="A44" s="60"/>
      <c r="B44" s="16" t="s">
        <v>132</v>
      </c>
      <c r="C44" s="16" t="s">
        <v>132</v>
      </c>
      <c r="D44" s="16" t="s">
        <v>132</v>
      </c>
      <c r="E44" s="16" t="s">
        <v>132</v>
      </c>
      <c r="F44" s="16" t="s">
        <v>132</v>
      </c>
      <c r="G44" s="16" t="s">
        <v>132</v>
      </c>
      <c r="H44" s="68" t="s">
        <v>1</v>
      </c>
      <c r="I44" s="16"/>
      <c r="J44" s="69" t="s">
        <v>1</v>
      </c>
      <c r="L44" s="16" t="s">
        <v>23</v>
      </c>
      <c r="M44" s="16" t="s">
        <v>24</v>
      </c>
    </row>
    <row r="45" spans="1:16" s="2" customFormat="1" x14ac:dyDescent="0.2">
      <c r="A45" s="26">
        <v>12</v>
      </c>
      <c r="B45" s="64">
        <f>_V1*_V2*(_G12*COS(_T1-_T2)+_B12*SIN(_T1-_T2))-_G12*_V1*_V1</f>
        <v>0.2460920246611622</v>
      </c>
      <c r="C45" s="64">
        <f>_V1*_V2*(_G12*COS(_T2-_T1)+_B12*SIN(_T2-_T1))-_G12*_V2*_V2</f>
        <v>-0.24483855367624319</v>
      </c>
      <c r="D45" s="64">
        <f>_V1*_V2*(_G12*SIN(_T1-_T2)-_B12*COS(_T1-_T2))+(_B12)*_V1*_V1</f>
        <v>-4.5959380371442649E-2</v>
      </c>
      <c r="E45" s="64">
        <f>_V2*_V1*(_G21*SIN(_T2-_T1)-_B21*COS(_T2-_T1))+(_B21)*_V2*_V2</f>
        <v>5.2226735296038385E-2</v>
      </c>
      <c r="F45" s="64">
        <f>ABS(B45-C45)/2</f>
        <v>0.24546528916870269</v>
      </c>
      <c r="G45" s="64">
        <f>ABS(D45-E45)/2</f>
        <v>4.9093057833740517E-2</v>
      </c>
      <c r="H45" s="65">
        <f>(F45*F45+G45*G45)^0.5*Sbase</f>
        <v>50.065291975236427</v>
      </c>
      <c r="I45" s="26" t="s">
        <v>29</v>
      </c>
      <c r="J45" s="50">
        <v>200</v>
      </c>
      <c r="L45" s="66">
        <f>B45+C45</f>
        <v>1.253470984919014E-3</v>
      </c>
      <c r="M45" s="66">
        <f>D45+E45</f>
        <v>6.2673549245957361E-3</v>
      </c>
    </row>
    <row r="46" spans="1:16" s="2" customFormat="1" x14ac:dyDescent="0.2">
      <c r="A46" s="26">
        <v>13</v>
      </c>
      <c r="B46" s="64">
        <f>_V1*_V3*(_G13*COS(_T1-_T3)+_B13*SIN(_T1-_T3))-_G13*_V1*_V1</f>
        <v>0.75558096606316827</v>
      </c>
      <c r="C46" s="64">
        <f>_V3*_V1*(_G13*COS(_T3-_T1)+_B13*SIN(_T3-_T1))-_G13*_V3*_V3</f>
        <v>-0.74415006619208479</v>
      </c>
      <c r="D46" s="64">
        <f>_V1*_V3*(_G13*SIN(_T1-_T3)-_B13*COS(_T1-_T3))+(_B13)*_V1*_V1</f>
        <v>2.5345557347035808E-2</v>
      </c>
      <c r="E46" s="64">
        <f>_V3*_V1*(_G31*SIN(_T3-_T1)-_B31*COS(_T3-_T1))+(_B31)*_V3*_V3</f>
        <v>3.1808942008382246E-2</v>
      </c>
      <c r="F46" s="64">
        <f t="shared" ref="F46:F47" si="1">ABS(B46-C46)/2</f>
        <v>0.74986551612762653</v>
      </c>
      <c r="G46" s="64">
        <f t="shared" ref="G46:G47" si="2">ABS(D46-E46)/2</f>
        <v>3.2316923306732193E-3</v>
      </c>
      <c r="H46" s="65">
        <f>(F46*F46+G46*G46)^0.5*Sbase</f>
        <v>149.97449598017283</v>
      </c>
      <c r="I46" s="26" t="s">
        <v>29</v>
      </c>
      <c r="J46" s="50">
        <v>200</v>
      </c>
      <c r="L46" s="66">
        <f>B46+C46</f>
        <v>1.1430899871083477E-2</v>
      </c>
      <c r="M46" s="66">
        <f>D46+E46</f>
        <v>5.7154499355418054E-2</v>
      </c>
    </row>
    <row r="47" spans="1:16" s="2" customFormat="1" x14ac:dyDescent="0.2">
      <c r="A47" s="16">
        <v>23</v>
      </c>
      <c r="B47" s="71">
        <f>_V2*_V3*(_G23*COS(_T2-_T3)+_B23*SIN(_T2-_T3))-_G23*_V2*_V2</f>
        <v>0.51114319796890539</v>
      </c>
      <c r="C47" s="71">
        <f>_V3*_V2*(_G23*COS(_T3-_T2)+_B23*SIN(_T3-_T2))-_G23*_V3*_V3</f>
        <v>-0.50584993045782567</v>
      </c>
      <c r="D47" s="71">
        <f>_V2*_V3*(_G23*SIN(_T2-_T3)-_B23*COS(_T2-_T3))+(_B23)*_V2*_V2</f>
        <v>5.8275266829877381E-2</v>
      </c>
      <c r="E47" s="71">
        <f>_V3*_V2*(_G32*SIN(_T3-_T2)-_B32*COS(_T3-_T2))+(_B32)*_V3*_V3</f>
        <v>-3.1808929274479425E-2</v>
      </c>
      <c r="F47" s="71">
        <f t="shared" si="1"/>
        <v>0.50849656421336553</v>
      </c>
      <c r="G47" s="71">
        <f t="shared" si="2"/>
        <v>4.5042098052178403E-2</v>
      </c>
      <c r="H47" s="72">
        <f>(F47*F47+G47*G47)^0.5*Sbase</f>
        <v>102.09751151007345</v>
      </c>
      <c r="I47" s="16" t="s">
        <v>29</v>
      </c>
      <c r="J47" s="50">
        <v>200</v>
      </c>
      <c r="L47" s="70">
        <f>B47+C47</f>
        <v>5.2932675110797245E-3</v>
      </c>
      <c r="M47" s="70">
        <f>D47+E47</f>
        <v>2.6466337555397956E-2</v>
      </c>
    </row>
    <row r="48" spans="1:16" s="2" customFormat="1" x14ac:dyDescent="0.2">
      <c r="A48" s="7"/>
      <c r="B48" s="67"/>
      <c r="C48" s="67"/>
      <c r="D48" s="67"/>
      <c r="E48" s="67"/>
      <c r="F48" s="7"/>
      <c r="G48" s="7"/>
      <c r="H48" s="7"/>
      <c r="I48" s="7"/>
      <c r="K48" s="7"/>
      <c r="L48" s="66">
        <f>SUM(L45:L47)</f>
        <v>1.7977638367082216E-2</v>
      </c>
      <c r="M48" s="66">
        <f>SUM(M45:M47)</f>
        <v>8.9888191835411746E-2</v>
      </c>
    </row>
    <row r="49" spans="1:30" s="2" customFormat="1" x14ac:dyDescent="0.2">
      <c r="A49" s="7"/>
      <c r="B49" s="67"/>
      <c r="C49" s="7"/>
      <c r="D49" s="67"/>
      <c r="E49" s="7"/>
      <c r="F49" s="7"/>
      <c r="G49" s="7"/>
      <c r="H49" s="7"/>
      <c r="I49" s="7"/>
      <c r="K49" s="7"/>
      <c r="L49" s="21">
        <f>(_PG1+_PG2+_PG3-_PD1-_PD2-_PD3)*Sbase</f>
        <v>3.5955244788883789</v>
      </c>
      <c r="M49" s="21">
        <f>(_QG1+_QG2+_QG3-_QD1-_QD2-_QD3)*Sbase</f>
        <v>17.977622379973237</v>
      </c>
    </row>
    <row r="50" spans="1:30" s="2" customFormat="1" x14ac:dyDescent="0.2">
      <c r="C50" s="44"/>
      <c r="L50" s="13" t="s">
        <v>53</v>
      </c>
      <c r="M50" s="13" t="s">
        <v>122</v>
      </c>
    </row>
    <row r="51" spans="1:30" s="2" customFormat="1" x14ac:dyDescent="0.2">
      <c r="A51" s="46" t="s">
        <v>136</v>
      </c>
    </row>
    <row r="52" spans="1:30" s="2" customFormat="1" x14ac:dyDescent="0.2">
      <c r="A52" s="2" t="s">
        <v>141</v>
      </c>
      <c r="D52" s="44">
        <v>0</v>
      </c>
      <c r="E52" s="44" t="s">
        <v>50</v>
      </c>
      <c r="F52" s="2">
        <v>0</v>
      </c>
      <c r="G52" s="2" t="s">
        <v>53</v>
      </c>
    </row>
    <row r="53" spans="1:30" x14ac:dyDescent="0.2">
      <c r="A53" s="2" t="s">
        <v>142</v>
      </c>
      <c r="B53" s="2"/>
      <c r="C53" s="2"/>
      <c r="D53" s="44">
        <f>E14*H24*K25</f>
        <v>-16.461089467680456</v>
      </c>
      <c r="E53" s="44" t="s">
        <v>50</v>
      </c>
      <c r="F53" s="44">
        <f>D53/$H$24</f>
        <v>-0.54839611738225125</v>
      </c>
      <c r="G53" s="2" t="s">
        <v>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140</v>
      </c>
      <c r="B54" s="2"/>
      <c r="C54" s="2"/>
      <c r="D54" s="75">
        <f>-_PD3*Sbase*H24*K26</f>
        <v>236.3216378366223</v>
      </c>
      <c r="E54" s="75" t="s">
        <v>50</v>
      </c>
      <c r="F54" s="75">
        <f>D54/$H$24</f>
        <v>7.8729824594823681</v>
      </c>
      <c r="G54" s="60" t="s">
        <v>53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4">
        <f>SUM(D52:D54)</f>
        <v>219.86054836894183</v>
      </c>
      <c r="E55" s="44" t="s">
        <v>50</v>
      </c>
      <c r="F55" s="80">
        <f>SUM(F52:F54)</f>
        <v>7.3245863421001172</v>
      </c>
      <c r="G55" s="78" t="s">
        <v>53</v>
      </c>
      <c r="H55" s="81" t="s">
        <v>144</v>
      </c>
      <c r="I55" s="79">
        <f>F55/L49</f>
        <v>2.0371398901905531</v>
      </c>
      <c r="J55" s="78"/>
      <c r="K55" s="81" t="s">
        <v>143</v>
      </c>
      <c r="L55" s="80">
        <f>L49</f>
        <v>3.5955244788883789</v>
      </c>
      <c r="M55" s="78" t="s">
        <v>53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80" t="s">
        <v>149</v>
      </c>
      <c r="G56" s="78"/>
      <c r="H56" s="78"/>
      <c r="I56" s="78"/>
      <c r="J56" s="78"/>
      <c r="K56" s="78"/>
      <c r="L56" s="78"/>
      <c r="M56" s="7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150" zoomScaleNormal="150" workbookViewId="0">
      <selection activeCell="A7" sqref="A7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150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42</v>
      </c>
      <c r="C7" t="s">
        <v>151</v>
      </c>
    </row>
    <row r="8" spans="1:10" s="2" customFormat="1" x14ac:dyDescent="0.2"/>
    <row r="9" spans="1:10" s="2" customFormat="1" x14ac:dyDescent="0.2">
      <c r="B9" s="2" t="s">
        <v>43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44</v>
      </c>
      <c r="C11" s="14" t="s">
        <v>45</v>
      </c>
      <c r="D11" s="14" t="s">
        <v>46</v>
      </c>
      <c r="E11" s="14" t="s">
        <v>47</v>
      </c>
      <c r="F11" s="14" t="s">
        <v>48</v>
      </c>
      <c r="G11" s="14" t="s">
        <v>49</v>
      </c>
      <c r="I11" s="88" t="s">
        <v>57</v>
      </c>
      <c r="J11" s="88"/>
    </row>
    <row r="12" spans="1:10" s="2" customFormat="1" ht="19" x14ac:dyDescent="0.2">
      <c r="B12" s="15"/>
      <c r="C12" s="14" t="s">
        <v>50</v>
      </c>
      <c r="D12" s="14" t="s">
        <v>51</v>
      </c>
      <c r="E12" s="14" t="s">
        <v>52</v>
      </c>
      <c r="F12" s="14" t="s">
        <v>53</v>
      </c>
      <c r="G12" s="14" t="s">
        <v>53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54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55</v>
      </c>
      <c r="C18" s="2">
        <v>250</v>
      </c>
      <c r="D18" s="2" t="s">
        <v>53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Sensitivity Report 1</vt:lpstr>
      <vt:lpstr>DE Básico + Red</vt:lpstr>
      <vt:lpstr>Database</vt:lpstr>
      <vt:lpstr>'DE Básico + Red'!_B11</vt:lpstr>
      <vt:lpstr>'DE Básico + Red'!_B12</vt:lpstr>
      <vt:lpstr>'DE Básico + Red'!_B13</vt:lpstr>
      <vt:lpstr>'DE Básico + Red'!_B21</vt:lpstr>
      <vt:lpstr>'DE Básico + Red'!_B22</vt:lpstr>
      <vt:lpstr>'DE Básico + Red'!_B23</vt:lpstr>
      <vt:lpstr>'DE Básico + Red'!_B31</vt:lpstr>
      <vt:lpstr>'DE Básico + Red'!_B32</vt:lpstr>
      <vt:lpstr>'DE Básico + Red'!_B33</vt:lpstr>
      <vt:lpstr>'DE Básico + Red'!_G11</vt:lpstr>
      <vt:lpstr>'DE Básico + Red'!_G12</vt:lpstr>
      <vt:lpstr>'DE Básico + Red'!_G13</vt:lpstr>
      <vt:lpstr>'DE Básico + Red'!_G21</vt:lpstr>
      <vt:lpstr>'DE Básico + Red'!_G22</vt:lpstr>
      <vt:lpstr>'DE Básico + Red'!_G23</vt:lpstr>
      <vt:lpstr>'DE Básico + Red'!_G31</vt:lpstr>
      <vt:lpstr>'DE Básico + Red'!_G32</vt:lpstr>
      <vt:lpstr>'DE Básico + Red'!_G33</vt:lpstr>
      <vt:lpstr>'DE Básico + Red'!_PD1</vt:lpstr>
      <vt:lpstr>'DE Básico + Red'!_PD2</vt:lpstr>
      <vt:lpstr>'DE Básico + Red'!_PD3</vt:lpstr>
      <vt:lpstr>'DE Básico + Red'!_PG1</vt:lpstr>
      <vt:lpstr>'DE Básico + Red'!_PG2</vt:lpstr>
      <vt:lpstr>'DE Básico + Red'!_PG3</vt:lpstr>
      <vt:lpstr>'DE Básico + Red'!_QD1</vt:lpstr>
      <vt:lpstr>'DE Básico + Red'!_QD2</vt:lpstr>
      <vt:lpstr>'DE Básico + Red'!_QD3</vt:lpstr>
      <vt:lpstr>'DE Básico + Red'!_QG1</vt:lpstr>
      <vt:lpstr>'DE Básico + Red'!_QG2</vt:lpstr>
      <vt:lpstr>'DE Básico + Red'!_QG3</vt:lpstr>
      <vt:lpstr>'DE Básico + Red'!_T1</vt:lpstr>
      <vt:lpstr>'DE Básico + Red'!_T2</vt:lpstr>
      <vt:lpstr>'DE Básico + Red'!_T3</vt:lpstr>
      <vt:lpstr>'DE Básico + Red'!_V1</vt:lpstr>
      <vt:lpstr>'DE Básico + Red'!_V2</vt:lpstr>
      <vt:lpstr>'DE Básico + Red'!_V3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2021-04-03T04:30:49Z</dcterms:modified>
</cp:coreProperties>
</file>