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1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uniandes-my.sharepoint.com/personal/pm_deoliveiradejes_uniandes_edu_co/Documents/MASEP-OPE/SCOPF/"/>
    </mc:Choice>
  </mc:AlternateContent>
  <xr:revisionPtr revIDLastSave="6325" documentId="8_{5B44DD64-84C0-A643-8C00-C4309DAE22E4}" xr6:coauthVersionLast="46" xr6:coauthVersionMax="46" xr10:uidLastSave="{CFA9847C-BA0E-4740-A21C-CAA4C1FC34E8}"/>
  <bookViews>
    <workbookView xWindow="34320" yWindow="60" windowWidth="36180" windowHeight="20460" activeTab="4" xr2:uid="{00000000-000D-0000-FFFF-FFFF00000000}"/>
  </bookViews>
  <sheets>
    <sheet name="Database" sheetId="33" r:id="rId1"/>
    <sheet name="Sensitivity Report 2" sheetId="36" state="hidden" r:id="rId2"/>
    <sheet name="Sensitivity Report 3" sheetId="38" r:id="rId3"/>
    <sheet name="OPF (a)" sheetId="21" r:id="rId4"/>
    <sheet name="OPF (b) " sheetId="39" r:id="rId5"/>
  </sheets>
  <definedNames>
    <definedName name="_B11" localSheetId="3">'OPF (a)'!$K$8</definedName>
    <definedName name="_B11" localSheetId="4">'OPF (b) '!$K$8</definedName>
    <definedName name="_B11">#REF!</definedName>
    <definedName name="_B12" localSheetId="3">'OPF (a)'!$L$8</definedName>
    <definedName name="_B12" localSheetId="4">'OPF (b) '!$L$8</definedName>
    <definedName name="_B12">#REF!</definedName>
    <definedName name="_B13" localSheetId="3">'OPF (a)'!$M$8</definedName>
    <definedName name="_B13" localSheetId="4">'OPF (b) '!$M$8</definedName>
    <definedName name="_B13">#REF!</definedName>
    <definedName name="_B21" localSheetId="3">'OPF (a)'!$K$9</definedName>
    <definedName name="_B21" localSheetId="4">'OPF (b) '!$K$9</definedName>
    <definedName name="_B21">#REF!</definedName>
    <definedName name="_B22" localSheetId="3">'OPF (a)'!$L$9</definedName>
    <definedName name="_B22" localSheetId="4">'OPF (b) '!$L$9</definedName>
    <definedName name="_B22">#REF!</definedName>
    <definedName name="_B23" localSheetId="3">'OPF (a)'!$M$9</definedName>
    <definedName name="_B23" localSheetId="4">'OPF (b) '!$M$9</definedName>
    <definedName name="_B23">#REF!</definedName>
    <definedName name="_B31" localSheetId="3">'OPF (a)'!$K$10</definedName>
    <definedName name="_B31" localSheetId="4">'OPF (b) '!$K$10</definedName>
    <definedName name="_B31">#REF!</definedName>
    <definedName name="_B32" localSheetId="3">'OPF (a)'!$L$10</definedName>
    <definedName name="_B32" localSheetId="4">'OPF (b) '!$L$10</definedName>
    <definedName name="_B32">#REF!</definedName>
    <definedName name="_B33" localSheetId="3">'OPF (a)'!$M$10</definedName>
    <definedName name="_B33" localSheetId="4">'OPF (b) '!$M$10</definedName>
    <definedName name="_B33">#REF!</definedName>
    <definedName name="_G11" localSheetId="3">'OPF (a)'!$G$8</definedName>
    <definedName name="_G11" localSheetId="4">'OPF (b) '!$G$8</definedName>
    <definedName name="_G11">#REF!</definedName>
    <definedName name="_G12" localSheetId="3">'OPF (a)'!$H$8</definedName>
    <definedName name="_G12" localSheetId="4">'OPF (b) '!$H$8</definedName>
    <definedName name="_G12">#REF!</definedName>
    <definedName name="_G13" localSheetId="3">'OPF (a)'!$I$8</definedName>
    <definedName name="_G13" localSheetId="4">'OPF (b) '!$I$8</definedName>
    <definedName name="_G13">#REF!</definedName>
    <definedName name="_G21" localSheetId="3">'OPF (a)'!$G$9</definedName>
    <definedName name="_G21" localSheetId="4">'OPF (b) '!$G$9</definedName>
    <definedName name="_G21">#REF!</definedName>
    <definedName name="_G22" localSheetId="3">'OPF (a)'!$H$9</definedName>
    <definedName name="_G22" localSheetId="4">'OPF (b) '!$H$9</definedName>
    <definedName name="_G22">#REF!</definedName>
    <definedName name="_G23" localSheetId="3">'OPF (a)'!$I$9</definedName>
    <definedName name="_G23" localSheetId="4">'OPF (b) '!$I$9</definedName>
    <definedName name="_G23">#REF!</definedName>
    <definedName name="_G31" localSheetId="3">'OPF (a)'!$G$10</definedName>
    <definedName name="_G31" localSheetId="4">'OPF (b) '!$G$10</definedName>
    <definedName name="_G31">#REF!</definedName>
    <definedName name="_G32" localSheetId="3">'OPF (a)'!$H$10</definedName>
    <definedName name="_G32" localSheetId="4">'OPF (b) '!$H$10</definedName>
    <definedName name="_G32">#REF!</definedName>
    <definedName name="_G33" localSheetId="3">'OPF (a)'!$I$10</definedName>
    <definedName name="_G33" localSheetId="4">'OPF (b) '!$I$10</definedName>
    <definedName name="_G33">#REF!</definedName>
    <definedName name="_PD1" localSheetId="3">'OPF (a)'!$B$13</definedName>
    <definedName name="_PD1" localSheetId="4">'OPF (b) '!$B$13</definedName>
    <definedName name="_PD1">#REF!</definedName>
    <definedName name="_PD2" localSheetId="3">'OPF (a)'!$B$14</definedName>
    <definedName name="_PD2" localSheetId="4">'OPF (b) '!$B$14</definedName>
    <definedName name="_PD2">#REF!</definedName>
    <definedName name="_PD3" localSheetId="3">'OPF (a)'!$B$15</definedName>
    <definedName name="_PD3" localSheetId="4">'OPF (b) '!$B$15</definedName>
    <definedName name="_PD3">#REF!</definedName>
    <definedName name="_PG1" localSheetId="3">'OPF (a)'!$D$13</definedName>
    <definedName name="_PG1" localSheetId="4">'OPF (b) '!$D$13</definedName>
    <definedName name="_PG1">#REF!</definedName>
    <definedName name="_PG2" localSheetId="3">'OPF (a)'!$D$14</definedName>
    <definedName name="_PG2" localSheetId="4">'OPF (b) '!$D$14</definedName>
    <definedName name="_PG2">#REF!</definedName>
    <definedName name="_PG3" localSheetId="3">'OPF (a)'!$B$19</definedName>
    <definedName name="_PG3" localSheetId="4">'OPF (b) '!$B$19</definedName>
    <definedName name="_PG3">#REF!</definedName>
    <definedName name="_QD1" localSheetId="3">'OPF (a)'!$B$16</definedName>
    <definedName name="_QD1" localSheetId="4">'OPF (b) '!$B$16</definedName>
    <definedName name="_QD1">#REF!</definedName>
    <definedName name="_QD2" localSheetId="3">'OPF (a)'!$B$17</definedName>
    <definedName name="_QD2" localSheetId="4">'OPF (b) '!$B$17</definedName>
    <definedName name="_QD2">#REF!</definedName>
    <definedName name="_QD3" localSheetId="3">'OPF (a)'!$B$18</definedName>
    <definedName name="_QD3" localSheetId="4">'OPF (b) '!$B$18</definedName>
    <definedName name="_QD3">#REF!</definedName>
    <definedName name="_QG1" localSheetId="3">'OPF (a)'!$D$15</definedName>
    <definedName name="_QG1" localSheetId="4">'OPF (b) '!$D$15</definedName>
    <definedName name="_QG1">#REF!</definedName>
    <definedName name="_QG2" localSheetId="3">'OPF (a)'!$D$16</definedName>
    <definedName name="_QG2" localSheetId="4">'OPF (b) '!$D$16</definedName>
    <definedName name="_QG2">#REF!</definedName>
    <definedName name="_QG3" localSheetId="3">'OPF (a)'!$B$20</definedName>
    <definedName name="_QG3" localSheetId="4">'OPF (b) '!$B$20</definedName>
    <definedName name="_QG3">#REF!</definedName>
    <definedName name="_T1" localSheetId="3">'OPF (a)'!$B$10</definedName>
    <definedName name="_T1" localSheetId="4">'OPF (b) '!$B$10</definedName>
    <definedName name="_T1">#REF!</definedName>
    <definedName name="_T2" localSheetId="3">'OPF (a)'!$D$11</definedName>
    <definedName name="_T2" localSheetId="4">'OPF (b) '!$D$11</definedName>
    <definedName name="_T2">#REF!</definedName>
    <definedName name="_T3" localSheetId="3">'OPF (a)'!$D$12</definedName>
    <definedName name="_T3" localSheetId="4">'OPF (b) '!$D$12</definedName>
    <definedName name="_T3">#REF!</definedName>
    <definedName name="_V1" localSheetId="3">'OPF (a)'!$B$11</definedName>
    <definedName name="_V1" localSheetId="4">'OPF (b) '!$B$11</definedName>
    <definedName name="_V1">#REF!</definedName>
    <definedName name="_V2" localSheetId="3">'OPF (a)'!$B$12</definedName>
    <definedName name="_V2" localSheetId="4">'OPF (b) '!$B$12</definedName>
    <definedName name="_V2">#REF!</definedName>
    <definedName name="_V3" localSheetId="3">'OPF (a)'!$D$10</definedName>
    <definedName name="_V3" localSheetId="4">'OPF (b) '!$D$10</definedName>
    <definedName name="_V3">#REF!</definedName>
    <definedName name="Sbase" localSheetId="4">'OPF (b) '!$B$7</definedName>
    <definedName name="Sbase">'OPF (a)'!$B$7</definedName>
    <definedName name="solver_adj" localSheetId="3" hidden="1">'OPF (a)'!$D$10,'OPF (a)'!$D$11,'OPF (a)'!$D$12,'OPF (a)'!$D$13,'OPF (a)'!$D$14,'OPF (a)'!$D$15,'OPF (a)'!$D$16</definedName>
    <definedName name="solver_adj" localSheetId="4" hidden="1">'OPF (b) '!$D$10:$D$12</definedName>
    <definedName name="solver_cvg" localSheetId="3" hidden="1">0.0001</definedName>
    <definedName name="solver_cvg" localSheetId="4" hidden="1">0.0001</definedName>
    <definedName name="solver_drv" localSheetId="3" hidden="1">1</definedName>
    <definedName name="solver_drv" localSheetId="4" hidden="1">1</definedName>
    <definedName name="solver_eng" localSheetId="3" hidden="1">1</definedName>
    <definedName name="solver_eng" localSheetId="4" hidden="1">1</definedName>
    <definedName name="solver_est" localSheetId="3" hidden="1">1</definedName>
    <definedName name="solver_est" localSheetId="4" hidden="1">1</definedName>
    <definedName name="solver_itr" localSheetId="3" hidden="1">100</definedName>
    <definedName name="solver_itr" localSheetId="4" hidden="1">100</definedName>
    <definedName name="solver_lhs0" localSheetId="3" hidden="1">'OPF (a)'!$C$30:$C$31</definedName>
    <definedName name="solver_lhs0" localSheetId="4" hidden="1">'OPF (b) '!$C$30:$C$31</definedName>
    <definedName name="solver_lhs1" localSheetId="3" hidden="1">'OPF (a)'!$C$29:$C$34</definedName>
    <definedName name="solver_lhs1" localSheetId="4" hidden="1">'OPF (b) '!$C$30:$C$31</definedName>
    <definedName name="solver_lhs2" localSheetId="3" hidden="1">'OPF (a)'!$E$13:$E$14</definedName>
    <definedName name="solver_lhs2" localSheetId="4" hidden="1">'OPF (b) '!$C$34</definedName>
    <definedName name="solver_lhs3" localSheetId="3" hidden="1">'OPF (a)'!$E$13:$E$14</definedName>
    <definedName name="solver_lhs3" localSheetId="4" hidden="1">'OPF (b) '!$E$30:$E$34</definedName>
    <definedName name="solver_lhs4" localSheetId="3" hidden="1">'OPF (a)'!$E$15:$E$16</definedName>
    <definedName name="solver_lhs4" localSheetId="4" hidden="1">'OPF (b) '!$E$15:$E$16</definedName>
    <definedName name="solver_lhs5" localSheetId="3" hidden="1">'OPF (a)'!$E$15:$E$16</definedName>
    <definedName name="solver_lhs5" localSheetId="4" hidden="1">'OPF (b) '!$E$15:$E$16</definedName>
    <definedName name="solver_lhs6" localSheetId="3" hidden="1">'OPF (a)'!$H$45:$H$47</definedName>
    <definedName name="solver_lhs6" localSheetId="4" hidden="1">'OPF (b) '!$H$45:$H$47</definedName>
    <definedName name="solver_lhs7" localSheetId="3" hidden="1">'OPF (a)'!$D$10</definedName>
    <definedName name="solver_lhs7" localSheetId="4" hidden="1">'OPF (b) '!$D$10</definedName>
    <definedName name="solver_lhs8" localSheetId="3" hidden="1">'OPF (a)'!$D$10</definedName>
    <definedName name="solver_lhs8" localSheetId="4" hidden="1">'OPF (b) '!$D$10</definedName>
    <definedName name="solver_lin" localSheetId="3" hidden="1">2</definedName>
    <definedName name="solver_lin" localSheetId="4" hidden="1">2</definedName>
    <definedName name="solver_mip" localSheetId="3" hidden="1">2147483647</definedName>
    <definedName name="solver_mip" localSheetId="4" hidden="1">2147483647</definedName>
    <definedName name="solver_mni" localSheetId="3" hidden="1">30</definedName>
    <definedName name="solver_mni" localSheetId="4" hidden="1">30</definedName>
    <definedName name="solver_mrt" localSheetId="3" hidden="1">0.0001</definedName>
    <definedName name="solver_mrt" localSheetId="4" hidden="1">0.0001</definedName>
    <definedName name="solver_msl" localSheetId="3" hidden="1">2</definedName>
    <definedName name="solver_msl" localSheetId="4" hidden="1">2</definedName>
    <definedName name="solver_neg" localSheetId="3" hidden="1">2</definedName>
    <definedName name="solver_neg" localSheetId="4" hidden="1">2</definedName>
    <definedName name="solver_nod" localSheetId="3" hidden="1">2147483647</definedName>
    <definedName name="solver_nod" localSheetId="4" hidden="1">2147483647</definedName>
    <definedName name="solver_num" localSheetId="3" hidden="1">8</definedName>
    <definedName name="solver_num" localSheetId="4" hidden="1">2</definedName>
    <definedName name="solver_nwt" localSheetId="3" hidden="1">1</definedName>
    <definedName name="solver_nwt" localSheetId="4" hidden="1">1</definedName>
    <definedName name="solver_opt" localSheetId="3" hidden="1">'OPF (a)'!$D$27</definedName>
    <definedName name="solver_pre" localSheetId="3" hidden="1">0.000001</definedName>
    <definedName name="solver_pre" localSheetId="4" hidden="1">0.000001</definedName>
    <definedName name="solver_rbv" localSheetId="3" hidden="1">2</definedName>
    <definedName name="solver_rbv" localSheetId="4" hidden="1">2</definedName>
    <definedName name="solver_rel0" localSheetId="3" hidden="1">2</definedName>
    <definedName name="solver_rel0" localSheetId="4" hidden="1">2</definedName>
    <definedName name="solver_rel1" localSheetId="3" hidden="1">2</definedName>
    <definedName name="solver_rel1" localSheetId="4" hidden="1">2</definedName>
    <definedName name="solver_rel2" localSheetId="3" hidden="1">1</definedName>
    <definedName name="solver_rel2" localSheetId="4" hidden="1">2</definedName>
    <definedName name="solver_rel3" localSheetId="3" hidden="1">3</definedName>
    <definedName name="solver_rel3" localSheetId="4" hidden="1">3</definedName>
    <definedName name="solver_rel4" localSheetId="3" hidden="1">1</definedName>
    <definedName name="solver_rel4" localSheetId="4" hidden="1">1</definedName>
    <definedName name="solver_rel5" localSheetId="3" hidden="1">3</definedName>
    <definedName name="solver_rel5" localSheetId="4" hidden="1">3</definedName>
    <definedName name="solver_rel6" localSheetId="3" hidden="1">1</definedName>
    <definedName name="solver_rel6" localSheetId="4" hidden="1">1</definedName>
    <definedName name="solver_rel7" localSheetId="3" hidden="1">1</definedName>
    <definedName name="solver_rel7" localSheetId="4" hidden="1">1</definedName>
    <definedName name="solver_rel8" localSheetId="3" hidden="1">3</definedName>
    <definedName name="solver_rel8" localSheetId="4" hidden="1">3</definedName>
    <definedName name="solver_rhs0" localSheetId="3" hidden="1">'OPF (a)'!#REF!</definedName>
    <definedName name="solver_rhs0" localSheetId="4" hidden="1">'OPF (b) '!#REF!</definedName>
    <definedName name="solver_rhs1" localSheetId="3" hidden="1">'OPF (a)'!$D$29:$D$34</definedName>
    <definedName name="solver_rhs1" localSheetId="4" hidden="1">'OPF (b) '!$D$30:$D$31</definedName>
    <definedName name="solver_rhs2" localSheetId="3" hidden="1">'OPF (a)'!$I$13:$I$14</definedName>
    <definedName name="solver_rhs2" localSheetId="4" hidden="1">'OPF (b) '!$D$34</definedName>
    <definedName name="solver_rhs3" localSheetId="3" hidden="1">'OPF (a)'!$G$13:$G$14</definedName>
    <definedName name="solver_rhs3" localSheetId="4" hidden="1">0</definedName>
    <definedName name="solver_rhs4" localSheetId="3" hidden="1">'OPF (a)'!$I$15:$I$16</definedName>
    <definedName name="solver_rhs4" localSheetId="4" hidden="1">'OPF (b) '!$I$15:$I$16</definedName>
    <definedName name="solver_rhs5" localSheetId="3" hidden="1">'OPF (a)'!$G$15:$G$16</definedName>
    <definedName name="solver_rhs5" localSheetId="4" hidden="1">'OPF (b) '!$G$15:$G$16</definedName>
    <definedName name="solver_rhs6" localSheetId="3" hidden="1">'OPF (a)'!$J$45:$J$47</definedName>
    <definedName name="solver_rhs6" localSheetId="4" hidden="1">'OPF (b) '!$J$45:$J$47</definedName>
    <definedName name="solver_rhs7" localSheetId="3" hidden="1">'OPF (a)'!$I$17</definedName>
    <definedName name="solver_rhs7" localSheetId="4" hidden="1">'OPF (b) '!$I$17</definedName>
    <definedName name="solver_rhs8" localSheetId="3" hidden="1">'OPF (a)'!$G$17</definedName>
    <definedName name="solver_rhs8" localSheetId="4" hidden="1">'OPF (b) '!$G$17</definedName>
    <definedName name="solver_rlx" localSheetId="3" hidden="1">2</definedName>
    <definedName name="solver_rlx" localSheetId="4" hidden="1">2</definedName>
    <definedName name="solver_rsd" localSheetId="3" hidden="1">0</definedName>
    <definedName name="solver_rsd" localSheetId="4" hidden="1">0</definedName>
    <definedName name="solver_scl" localSheetId="3" hidden="1">2</definedName>
    <definedName name="solver_scl" localSheetId="4" hidden="1">1</definedName>
    <definedName name="solver_sho" localSheetId="3" hidden="1">2</definedName>
    <definedName name="solver_sho" localSheetId="4" hidden="1">2</definedName>
    <definedName name="solver_ssz" localSheetId="3" hidden="1">100</definedName>
    <definedName name="solver_ssz" localSheetId="4" hidden="1">100</definedName>
    <definedName name="solver_tim" localSheetId="3" hidden="1">100</definedName>
    <definedName name="solver_tim" localSheetId="4" hidden="1">100</definedName>
    <definedName name="solver_tol" localSheetId="3" hidden="1">0.05</definedName>
    <definedName name="solver_tol" localSheetId="4" hidden="1">0.05</definedName>
    <definedName name="solver_typ" localSheetId="3" hidden="1">2</definedName>
    <definedName name="solver_typ" localSheetId="4" hidden="1">3</definedName>
    <definedName name="solver_val" localSheetId="3" hidden="1">0</definedName>
    <definedName name="solver_val" localSheetId="4" hidden="1">0</definedName>
    <definedName name="solver_ver" localSheetId="3" hidden="1">3</definedName>
    <definedName name="solver_ver" localSheetId="4" hidden="1">2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4" i="39" l="1"/>
  <c r="E34" i="39"/>
  <c r="D31" i="39"/>
  <c r="E31" i="39"/>
  <c r="D30" i="39"/>
  <c r="E30" i="39"/>
  <c r="E35" i="39"/>
  <c r="M10" i="39"/>
  <c r="I8" i="39"/>
  <c r="G10" i="39"/>
  <c r="M8" i="39"/>
  <c r="K10" i="39"/>
  <c r="I9" i="39"/>
  <c r="H10" i="39"/>
  <c r="M9" i="39"/>
  <c r="L10" i="39"/>
  <c r="L9" i="39"/>
  <c r="D33" i="39"/>
  <c r="I10" i="39"/>
  <c r="H9" i="39"/>
  <c r="B7" i="39"/>
  <c r="E14" i="39"/>
  <c r="D53" i="39"/>
  <c r="B15" i="39"/>
  <c r="D54" i="39"/>
  <c r="D55" i="39"/>
  <c r="H53" i="39"/>
  <c r="B20" i="39"/>
  <c r="B16" i="39"/>
  <c r="B17" i="39"/>
  <c r="B18" i="39"/>
  <c r="M49" i="39"/>
  <c r="B19" i="39"/>
  <c r="B13" i="39"/>
  <c r="B14" i="39"/>
  <c r="L49" i="39"/>
  <c r="B11" i="39"/>
  <c r="B12" i="39"/>
  <c r="H8" i="39"/>
  <c r="B10" i="39"/>
  <c r="L8" i="39"/>
  <c r="D45" i="39"/>
  <c r="G9" i="39"/>
  <c r="K9" i="39"/>
  <c r="E45" i="39"/>
  <c r="M45" i="39"/>
  <c r="D46" i="39"/>
  <c r="E46" i="39"/>
  <c r="M46" i="39"/>
  <c r="D47" i="39"/>
  <c r="E47" i="39"/>
  <c r="M47" i="39"/>
  <c r="M48" i="39"/>
  <c r="B45" i="39"/>
  <c r="C45" i="39"/>
  <c r="L45" i="39"/>
  <c r="B46" i="39"/>
  <c r="C46" i="39"/>
  <c r="L46" i="39"/>
  <c r="B47" i="39"/>
  <c r="C47" i="39"/>
  <c r="L47" i="39"/>
  <c r="L48" i="39"/>
  <c r="J47" i="39"/>
  <c r="AA47" i="39"/>
  <c r="F47" i="39"/>
  <c r="H47" i="39"/>
  <c r="G47" i="39"/>
  <c r="J46" i="39"/>
  <c r="AA46" i="39"/>
  <c r="F46" i="39"/>
  <c r="H46" i="39"/>
  <c r="G46" i="39"/>
  <c r="J45" i="39"/>
  <c r="AA45" i="39"/>
  <c r="F45" i="39"/>
  <c r="H45" i="39"/>
  <c r="G45" i="39"/>
  <c r="H26" i="39"/>
  <c r="G37" i="39"/>
  <c r="G39" i="39"/>
  <c r="E13" i="39"/>
  <c r="H24" i="39"/>
  <c r="B37" i="39"/>
  <c r="H25" i="39"/>
  <c r="B38" i="39"/>
  <c r="B39" i="39"/>
  <c r="K39" i="39"/>
  <c r="B24" i="39"/>
  <c r="C24" i="39"/>
  <c r="D24" i="39"/>
  <c r="C37" i="39"/>
  <c r="C25" i="39"/>
  <c r="D25" i="39"/>
  <c r="C38" i="39"/>
  <c r="C39" i="39"/>
  <c r="D39" i="39"/>
  <c r="D38" i="39"/>
  <c r="K37" i="39"/>
  <c r="D37" i="39"/>
  <c r="C34" i="39"/>
  <c r="K8" i="39"/>
  <c r="D32" i="39"/>
  <c r="C32" i="39"/>
  <c r="C31" i="39"/>
  <c r="C30" i="39"/>
  <c r="H29" i="39"/>
  <c r="G8" i="39"/>
  <c r="D29" i="39"/>
  <c r="H28" i="39"/>
  <c r="Z27" i="39"/>
  <c r="D27" i="39"/>
  <c r="Z26" i="39"/>
  <c r="X25" i="39"/>
  <c r="F25" i="39"/>
  <c r="F24" i="39"/>
  <c r="W23" i="39"/>
  <c r="AA22" i="39"/>
  <c r="W21" i="39"/>
  <c r="W20" i="39"/>
  <c r="AB19" i="39"/>
  <c r="AB18" i="39"/>
  <c r="I17" i="39"/>
  <c r="G17" i="39"/>
  <c r="Y16" i="39"/>
  <c r="I16" i="39"/>
  <c r="G16" i="39"/>
  <c r="E16" i="39"/>
  <c r="I15" i="39"/>
  <c r="G15" i="39"/>
  <c r="E15" i="39"/>
  <c r="I14" i="39"/>
  <c r="G14" i="39"/>
  <c r="I13" i="39"/>
  <c r="G13" i="39"/>
  <c r="B45" i="21"/>
  <c r="C45" i="21"/>
  <c r="F45" i="21"/>
  <c r="H45" i="21"/>
  <c r="X25" i="21"/>
  <c r="G26" i="33"/>
  <c r="J47" i="21"/>
  <c r="AA47" i="21"/>
  <c r="J46" i="21"/>
  <c r="AA46" i="21"/>
  <c r="J45" i="21"/>
  <c r="AA45" i="21"/>
  <c r="B7" i="21"/>
  <c r="H25" i="21"/>
  <c r="H26" i="21"/>
  <c r="H24" i="21"/>
  <c r="B11" i="21"/>
  <c r="I8" i="21"/>
  <c r="B10" i="21"/>
  <c r="M8" i="21"/>
  <c r="B46" i="21"/>
  <c r="C46" i="21"/>
  <c r="F46" i="21"/>
  <c r="H46" i="21"/>
  <c r="W23" i="21"/>
  <c r="I17" i="21"/>
  <c r="G17" i="21"/>
  <c r="G16" i="21"/>
  <c r="G15" i="21"/>
  <c r="I16" i="21"/>
  <c r="I15" i="21"/>
  <c r="G14" i="21"/>
  <c r="G13" i="21"/>
  <c r="I10" i="21"/>
  <c r="G10" i="21"/>
  <c r="K10" i="21"/>
  <c r="B12" i="21"/>
  <c r="I9" i="21"/>
  <c r="H10" i="21"/>
  <c r="M9" i="21"/>
  <c r="L10" i="21"/>
  <c r="D31" i="21"/>
  <c r="E14" i="21"/>
  <c r="E13" i="21"/>
  <c r="C25" i="21"/>
  <c r="D25" i="21"/>
  <c r="B24" i="21"/>
  <c r="C24" i="21"/>
  <c r="D24" i="21"/>
  <c r="G26" i="36"/>
  <c r="G21" i="36"/>
  <c r="G22" i="36"/>
  <c r="G23" i="36"/>
  <c r="G24" i="36"/>
  <c r="G25" i="36"/>
  <c r="G20" i="36"/>
  <c r="D27" i="21"/>
  <c r="H28" i="21"/>
  <c r="D53" i="21"/>
  <c r="H53" i="21"/>
  <c r="M17" i="33"/>
  <c r="B15" i="21"/>
  <c r="H29" i="21"/>
  <c r="D54" i="21"/>
  <c r="B47" i="21"/>
  <c r="C47" i="21"/>
  <c r="F47" i="21"/>
  <c r="H47" i="21"/>
  <c r="H8" i="21"/>
  <c r="L8" i="21"/>
  <c r="D45" i="21"/>
  <c r="G9" i="21"/>
  <c r="K9" i="21"/>
  <c r="E45" i="21"/>
  <c r="G45" i="21"/>
  <c r="D46" i="21"/>
  <c r="E46" i="21"/>
  <c r="G46" i="21"/>
  <c r="D47" i="21"/>
  <c r="E47" i="21"/>
  <c r="G47" i="21"/>
  <c r="G37" i="21"/>
  <c r="G39" i="21"/>
  <c r="B37" i="21"/>
  <c r="B38" i="21"/>
  <c r="B39" i="21"/>
  <c r="K39" i="21"/>
  <c r="B13" i="21"/>
  <c r="B14" i="21"/>
  <c r="B19" i="21"/>
  <c r="L49" i="21"/>
  <c r="D55" i="21"/>
  <c r="K37" i="21"/>
  <c r="B16" i="21"/>
  <c r="B17" i="21"/>
  <c r="B18" i="21"/>
  <c r="B20" i="21"/>
  <c r="M49" i="21"/>
  <c r="C38" i="21"/>
  <c r="D38" i="21"/>
  <c r="C37" i="21"/>
  <c r="C39" i="21"/>
  <c r="D39" i="21"/>
  <c r="D37" i="21"/>
  <c r="AA22" i="21"/>
  <c r="Y16" i="21"/>
  <c r="Z27" i="21"/>
  <c r="Z26" i="21"/>
  <c r="AB19" i="21"/>
  <c r="AB18" i="21"/>
  <c r="W21" i="21"/>
  <c r="W20" i="21"/>
  <c r="F25" i="21"/>
  <c r="F24" i="21"/>
  <c r="C30" i="21"/>
  <c r="C32" i="21"/>
  <c r="C33" i="21"/>
  <c r="C29" i="21"/>
  <c r="M10" i="21"/>
  <c r="D34" i="21"/>
  <c r="L9" i="21"/>
  <c r="D33" i="21"/>
  <c r="K8" i="21"/>
  <c r="D32" i="21"/>
  <c r="H9" i="21"/>
  <c r="D30" i="21"/>
  <c r="G8" i="21"/>
  <c r="D29" i="21"/>
  <c r="C34" i="21"/>
  <c r="C31" i="21"/>
  <c r="I14" i="21"/>
  <c r="I13" i="21"/>
  <c r="E16" i="21"/>
  <c r="E15" i="21"/>
  <c r="L45" i="21"/>
  <c r="M45" i="21"/>
  <c r="M46" i="21"/>
  <c r="M47" i="21"/>
  <c r="M48" i="21"/>
  <c r="L46" i="21"/>
  <c r="L47" i="21"/>
  <c r="L48" i="21"/>
</calcChain>
</file>

<file path=xl/sharedStrings.xml><?xml version="1.0" encoding="utf-8"?>
<sst xmlns="http://schemas.openxmlformats.org/spreadsheetml/2006/main" count="465" uniqueCount="178">
  <si>
    <t>Sbase</t>
  </si>
  <si>
    <t>MVA</t>
  </si>
  <si>
    <t>+j</t>
  </si>
  <si>
    <t>Pij</t>
  </si>
  <si>
    <t>Pji</t>
  </si>
  <si>
    <t>Qij</t>
  </si>
  <si>
    <t>Qji</t>
  </si>
  <si>
    <t>Pline</t>
  </si>
  <si>
    <t>Qline</t>
  </si>
  <si>
    <t>Sline</t>
  </si>
  <si>
    <t>(pu)</t>
  </si>
  <si>
    <t>PG1=</t>
  </si>
  <si>
    <t>PG2=</t>
  </si>
  <si>
    <t>PG3=</t>
  </si>
  <si>
    <t>QG1=</t>
  </si>
  <si>
    <t>QG2=</t>
  </si>
  <si>
    <t>QG3=</t>
  </si>
  <si>
    <t>PD1=</t>
  </si>
  <si>
    <t>PD2=</t>
  </si>
  <si>
    <t>PD3=</t>
  </si>
  <si>
    <t>QD1=</t>
  </si>
  <si>
    <t>QD2=</t>
  </si>
  <si>
    <t>QD3=</t>
  </si>
  <si>
    <t>Real (pu)</t>
  </si>
  <si>
    <t>Reactive (pu)</t>
  </si>
  <si>
    <t>z12 (pu)=</t>
  </si>
  <si>
    <t>z13 (pu)=</t>
  </si>
  <si>
    <t>z23 (pu)=</t>
  </si>
  <si>
    <t>Smax</t>
  </si>
  <si>
    <t>&lt;</t>
  </si>
  <si>
    <t>Ybus=</t>
  </si>
  <si>
    <t>v1=</t>
  </si>
  <si>
    <t>v3=</t>
  </si>
  <si>
    <t>theta1=</t>
  </si>
  <si>
    <t>v2=</t>
  </si>
  <si>
    <t>theta2=</t>
  </si>
  <si>
    <t>theta3=</t>
  </si>
  <si>
    <t>LMPs</t>
  </si>
  <si>
    <t>Operación Económica de Sistemas de Potencia</t>
  </si>
  <si>
    <t xml:space="preserve">Database tomada de </t>
  </si>
  <si>
    <t>Generation data</t>
  </si>
  <si>
    <t>Unit</t>
  </si>
  <si>
    <t>Co</t>
  </si>
  <si>
    <t>a</t>
  </si>
  <si>
    <t>b</t>
  </si>
  <si>
    <r>
      <t>P</t>
    </r>
    <r>
      <rPr>
        <vertAlign val="subscript"/>
        <sz val="12"/>
        <color theme="1"/>
        <rFont val="Calibri (Body)"/>
      </rPr>
      <t>Gmin</t>
    </r>
  </si>
  <si>
    <r>
      <t>P</t>
    </r>
    <r>
      <rPr>
        <vertAlign val="subscript"/>
        <sz val="12"/>
        <color theme="1"/>
        <rFont val="Calibri (Body)"/>
      </rPr>
      <t>Gmax</t>
    </r>
  </si>
  <si>
    <t>$/h</t>
  </si>
  <si>
    <t>$/MWh</t>
  </si>
  <si>
    <r>
      <t>$/MWh</t>
    </r>
    <r>
      <rPr>
        <vertAlign val="superscript"/>
        <sz val="12"/>
        <color theme="1"/>
        <rFont val="Calibri (Body)"/>
      </rPr>
      <t>2</t>
    </r>
  </si>
  <si>
    <t>MW</t>
  </si>
  <si>
    <t>Demand data</t>
  </si>
  <si>
    <t>Pd</t>
  </si>
  <si>
    <t>Sistema de Ttransmisión</t>
  </si>
  <si>
    <t>Control</t>
  </si>
  <si>
    <t>Despacho</t>
  </si>
  <si>
    <t>mvar</t>
  </si>
  <si>
    <t>Otras variables de interes:</t>
  </si>
  <si>
    <t>Flujos por las lineas</t>
  </si>
  <si>
    <t>a =$/MWh</t>
  </si>
  <si>
    <t>Production Cost Curves= aPg+(1/2)bPg^2</t>
  </si>
  <si>
    <t>OBJETIVO - Minimizar Production Cost=</t>
  </si>
  <si>
    <t>P1=PG1-PD1=0 -&gt;</t>
  </si>
  <si>
    <t>P2=PG2-PD2=0 -&gt;</t>
  </si>
  <si>
    <t>P3=PG3-PD3=0 -&gt;</t>
  </si>
  <si>
    <t>Q1=QG1-QD1=0 -&gt;</t>
  </si>
  <si>
    <t>Q2=QG2-QD2=0 -&gt;</t>
  </si>
  <si>
    <t>Q3=QG3-QD3=0 -&gt;</t>
  </si>
  <si>
    <t>Microsoft Excel 16.0 Sensitivity Report</t>
  </si>
  <si>
    <t>Variable Cells</t>
  </si>
  <si>
    <t>Cell</t>
  </si>
  <si>
    <t>Name</t>
  </si>
  <si>
    <t>Final</t>
  </si>
  <si>
    <t>Value</t>
  </si>
  <si>
    <t>Reduced</t>
  </si>
  <si>
    <t>Gradient</t>
  </si>
  <si>
    <t>Constraints</t>
  </si>
  <si>
    <t>Lagrange</t>
  </si>
  <si>
    <t>Multiplier</t>
  </si>
  <si>
    <t>$D$10</t>
  </si>
  <si>
    <t>_V3</t>
  </si>
  <si>
    <t>$D$11</t>
  </si>
  <si>
    <t>_T2</t>
  </si>
  <si>
    <t>$D$12</t>
  </si>
  <si>
    <t>_T3</t>
  </si>
  <si>
    <t>$D$13</t>
  </si>
  <si>
    <t>_PG1</t>
  </si>
  <si>
    <t>$D$14</t>
  </si>
  <si>
    <t>_PG2</t>
  </si>
  <si>
    <t>$D$15</t>
  </si>
  <si>
    <t>_QG1</t>
  </si>
  <si>
    <t>$D$16</t>
  </si>
  <si>
    <t>_QG2</t>
  </si>
  <si>
    <t>$C$29</t>
  </si>
  <si>
    <t>P1=PG1-PD1=0 -&gt; b =$/MWh2</t>
  </si>
  <si>
    <t>$C$30</t>
  </si>
  <si>
    <t>P2=PG2-PD2=0 -&gt; b =$/MWh2</t>
  </si>
  <si>
    <t>$C$31</t>
  </si>
  <si>
    <t>P3=PG3-PD3=0 -&gt; b =$/MWh2</t>
  </si>
  <si>
    <t>$C$32</t>
  </si>
  <si>
    <t>Q1=QG1-QD1=0 -&gt; b =$/MWh2</t>
  </si>
  <si>
    <t>$C$33</t>
  </si>
  <si>
    <t>Q2=QG2-QD2=0 -&gt; b =$/MWh2</t>
  </si>
  <si>
    <t>$C$34</t>
  </si>
  <si>
    <t>Q3=QG3-QD3=0 -&gt; b =$/MWh2</t>
  </si>
  <si>
    <t>ICs</t>
  </si>
  <si>
    <t>C(Pg)</t>
  </si>
  <si>
    <r>
      <t>b =$/MWh</t>
    </r>
    <r>
      <rPr>
        <b/>
        <vertAlign val="superscript"/>
        <sz val="11"/>
        <color theme="1"/>
        <rFont val="Calibri (Body)"/>
      </rPr>
      <t>2</t>
    </r>
  </si>
  <si>
    <t>(53)</t>
  </si>
  <si>
    <t>(54)</t>
  </si>
  <si>
    <t>(55)</t>
  </si>
  <si>
    <t>(56)</t>
  </si>
  <si>
    <t>(57)</t>
  </si>
  <si>
    <t>(58)</t>
  </si>
  <si>
    <t>(59)</t>
  </si>
  <si>
    <t>Sujeto a:</t>
  </si>
  <si>
    <t>Mvar</t>
  </si>
  <si>
    <t>G1</t>
  </si>
  <si>
    <t>G2</t>
  </si>
  <si>
    <t>Ingreso $/h</t>
  </si>
  <si>
    <t>Total</t>
  </si>
  <si>
    <t>Costo $/h</t>
  </si>
  <si>
    <t>Lucro $/h</t>
  </si>
  <si>
    <t>Pérdidas</t>
  </si>
  <si>
    <t>Pago $/h</t>
  </si>
  <si>
    <t>D1</t>
  </si>
  <si>
    <t>pu</t>
  </si>
  <si>
    <t>Modelo:</t>
  </si>
  <si>
    <t>Red</t>
  </si>
  <si>
    <t>Remun. $/h</t>
  </si>
  <si>
    <r>
      <rPr>
        <sz val="11"/>
        <color theme="1"/>
        <rFont val="Symbol"/>
        <family val="1"/>
        <charset val="2"/>
      </rPr>
      <t>l</t>
    </r>
    <r>
      <rPr>
        <sz val="11"/>
        <color theme="1"/>
        <rFont val="Calibri"/>
        <family val="2"/>
        <scheme val="minor"/>
      </rPr>
      <t xml:space="preserve"> </t>
    </r>
    <r>
      <rPr>
        <vertAlign val="subscript"/>
        <sz val="11"/>
        <color theme="1"/>
        <rFont val="Calibri (Body)"/>
      </rPr>
      <t>1</t>
    </r>
    <r>
      <rPr>
        <sz val="11"/>
        <color theme="1"/>
        <rFont val="Calibri"/>
        <family val="2"/>
        <charset val="2"/>
        <scheme val="minor"/>
      </rPr>
      <t xml:space="preserve"> =</t>
    </r>
  </si>
  <si>
    <r>
      <rPr>
        <sz val="11"/>
        <color theme="1"/>
        <rFont val="Symbol"/>
        <family val="1"/>
        <charset val="2"/>
      </rPr>
      <t>l</t>
    </r>
    <r>
      <rPr>
        <sz val="11"/>
        <color theme="1"/>
        <rFont val="Calibri"/>
        <family val="2"/>
        <scheme val="minor"/>
      </rPr>
      <t xml:space="preserve"> </t>
    </r>
    <r>
      <rPr>
        <vertAlign val="subscript"/>
        <sz val="11"/>
        <color theme="1"/>
        <rFont val="Calibri (Body)"/>
      </rPr>
      <t>2</t>
    </r>
    <r>
      <rPr>
        <sz val="11"/>
        <color theme="1"/>
        <rFont val="Calibri"/>
        <family val="2"/>
        <charset val="2"/>
        <scheme val="minor"/>
      </rPr>
      <t xml:space="preserve"> =</t>
    </r>
  </si>
  <si>
    <r>
      <rPr>
        <sz val="11"/>
        <color theme="1"/>
        <rFont val="Symbol"/>
        <family val="1"/>
        <charset val="2"/>
      </rPr>
      <t>l</t>
    </r>
    <r>
      <rPr>
        <sz val="11"/>
        <color theme="1"/>
        <rFont val="Calibri"/>
        <family val="2"/>
        <scheme val="minor"/>
      </rPr>
      <t xml:space="preserve"> </t>
    </r>
    <r>
      <rPr>
        <vertAlign val="subscript"/>
        <sz val="11"/>
        <color theme="1"/>
        <rFont val="Calibri (Body)"/>
      </rPr>
      <t>3</t>
    </r>
    <r>
      <rPr>
        <sz val="11"/>
        <color theme="1"/>
        <rFont val="Calibri"/>
        <family val="2"/>
        <charset val="2"/>
        <scheme val="minor"/>
      </rPr>
      <t xml:space="preserve"> =</t>
    </r>
  </si>
  <si>
    <t>max</t>
  </si>
  <si>
    <t>min</t>
  </si>
  <si>
    <t>Worksheet: [Despacho_Economico_Basico_RedCongest.xlsx]DE Básico + Red</t>
  </si>
  <si>
    <t>$H$46</t>
  </si>
  <si>
    <t>Report Created: 30/03/2021 9:43:22 a. m.</t>
  </si>
  <si>
    <r>
      <rPr>
        <sz val="11"/>
        <color theme="1"/>
        <rFont val="Symbol"/>
        <family val="1"/>
        <charset val="2"/>
      </rPr>
      <t>m</t>
    </r>
    <r>
      <rPr>
        <sz val="11"/>
        <color theme="1"/>
        <rFont val="Calibri"/>
        <family val="2"/>
        <scheme val="minor"/>
      </rPr>
      <t xml:space="preserve"> </t>
    </r>
    <r>
      <rPr>
        <vertAlign val="subscript"/>
        <sz val="11"/>
        <color theme="1"/>
        <rFont val="Calibri (Body)"/>
      </rPr>
      <t>2</t>
    </r>
    <r>
      <rPr>
        <sz val="11"/>
        <color theme="1"/>
        <rFont val="Calibri"/>
        <family val="2"/>
        <charset val="2"/>
        <scheme val="minor"/>
      </rPr>
      <t xml:space="preserve"> =</t>
    </r>
  </si>
  <si>
    <r>
      <rPr>
        <sz val="11"/>
        <color theme="1"/>
        <rFont val="Symbol"/>
        <family val="1"/>
        <charset val="2"/>
      </rPr>
      <t>m</t>
    </r>
    <r>
      <rPr>
        <sz val="11"/>
        <color theme="1"/>
        <rFont val="Calibri"/>
        <family val="2"/>
        <scheme val="minor"/>
      </rPr>
      <t xml:space="preserve"> </t>
    </r>
    <r>
      <rPr>
        <vertAlign val="subscript"/>
        <sz val="11"/>
        <color theme="1"/>
        <rFont val="Calibri (Body)"/>
      </rPr>
      <t>3</t>
    </r>
    <r>
      <rPr>
        <sz val="11"/>
        <color theme="1"/>
        <rFont val="Calibri"/>
        <family val="2"/>
        <charset val="2"/>
        <scheme val="minor"/>
      </rPr>
      <t xml:space="preserve"> =</t>
    </r>
  </si>
  <si>
    <t>Reparto de  cargos de congestion</t>
  </si>
  <si>
    <t>G1 paga porcongestion</t>
  </si>
  <si>
    <t>Demandas pagan por congestion</t>
  </si>
  <si>
    <t>La red recibe ingresos por congestion</t>
  </si>
  <si>
    <t xml:space="preserve">realmente recibe </t>
  </si>
  <si>
    <t>por elivio de congestion</t>
  </si>
  <si>
    <t>Caso de Estudio 2</t>
  </si>
  <si>
    <t>Control pu</t>
  </si>
  <si>
    <t>Incógnitas pu</t>
  </si>
  <si>
    <t>C0</t>
  </si>
  <si>
    <r>
      <t>Q</t>
    </r>
    <r>
      <rPr>
        <vertAlign val="subscript"/>
        <sz val="12"/>
        <color theme="1"/>
        <rFont val="Calibri (Body)"/>
      </rPr>
      <t>Gmin</t>
    </r>
  </si>
  <si>
    <r>
      <t>Q</t>
    </r>
    <r>
      <rPr>
        <vertAlign val="subscript"/>
        <sz val="12"/>
        <color theme="1"/>
        <rFont val="Calibri (Body)"/>
      </rPr>
      <t>Gmax</t>
    </r>
  </si>
  <si>
    <t>Ejemplo 1: SYSTEM STATES</t>
  </si>
  <si>
    <t>Llinea</t>
  </si>
  <si>
    <t>Vnax</t>
  </si>
  <si>
    <t>Vmin</t>
  </si>
  <si>
    <t xml:space="preserve">Ejemplo 1: Despacho Económico sin red con restricciones </t>
  </si>
  <si>
    <t>Worksheet: [SystemStates.xlsx]OPF</t>
  </si>
  <si>
    <t>$E$13</t>
  </si>
  <si>
    <t>PG1= Despacho</t>
  </si>
  <si>
    <t>$E$14</t>
  </si>
  <si>
    <t>PG2= Despacho</t>
  </si>
  <si>
    <t>$E$15</t>
  </si>
  <si>
    <t>QG1= Despacho</t>
  </si>
  <si>
    <t>$E$16</t>
  </si>
  <si>
    <t>QG2= Despacho</t>
  </si>
  <si>
    <t>$H$45</t>
  </si>
  <si>
    <t>$H$47</t>
  </si>
  <si>
    <t>Report Created: 14/04/2021 3:44:38 p. m.</t>
  </si>
  <si>
    <r>
      <t>&lt;P</t>
    </r>
    <r>
      <rPr>
        <vertAlign val="subscript"/>
        <sz val="11"/>
        <color theme="1"/>
        <rFont val="Calibri (Body)"/>
      </rPr>
      <t>G1</t>
    </r>
    <r>
      <rPr>
        <sz val="11"/>
        <color theme="1"/>
        <rFont val="Calibri"/>
        <family val="2"/>
        <scheme val="minor"/>
      </rPr>
      <t>&lt;</t>
    </r>
  </si>
  <si>
    <t>(MW)</t>
  </si>
  <si>
    <r>
      <t>&lt;P</t>
    </r>
    <r>
      <rPr>
        <vertAlign val="subscript"/>
        <sz val="11"/>
        <color theme="1"/>
        <rFont val="Calibri (Body)"/>
      </rPr>
      <t>G2</t>
    </r>
    <r>
      <rPr>
        <sz val="11"/>
        <color theme="1"/>
        <rFont val="Calibri"/>
        <family val="2"/>
        <scheme val="minor"/>
      </rPr>
      <t>&lt;</t>
    </r>
  </si>
  <si>
    <r>
      <t>&lt;Q</t>
    </r>
    <r>
      <rPr>
        <vertAlign val="subscript"/>
        <sz val="11"/>
        <color theme="1"/>
        <rFont val="Calibri (Body)"/>
      </rPr>
      <t>G1</t>
    </r>
    <r>
      <rPr>
        <sz val="11"/>
        <color theme="1"/>
        <rFont val="Calibri"/>
        <family val="2"/>
        <scheme val="minor"/>
      </rPr>
      <t>&lt;</t>
    </r>
  </si>
  <si>
    <r>
      <t>&lt;Q</t>
    </r>
    <r>
      <rPr>
        <vertAlign val="subscript"/>
        <sz val="11"/>
        <color theme="1"/>
        <rFont val="Calibri (Body)"/>
      </rPr>
      <t>G2</t>
    </r>
    <r>
      <rPr>
        <sz val="11"/>
        <color theme="1"/>
        <rFont val="Calibri"/>
        <family val="2"/>
        <scheme val="minor"/>
      </rPr>
      <t>&lt;</t>
    </r>
  </si>
  <si>
    <r>
      <t>S</t>
    </r>
    <r>
      <rPr>
        <vertAlign val="subscript"/>
        <sz val="11"/>
        <color rgb="FF0070C0"/>
        <rFont val="Calibri (Body)"/>
      </rPr>
      <t>12</t>
    </r>
  </si>
  <si>
    <r>
      <t>S</t>
    </r>
    <r>
      <rPr>
        <vertAlign val="subscript"/>
        <sz val="11"/>
        <color rgb="FF0070C0"/>
        <rFont val="Calibri (Body)"/>
      </rPr>
      <t>13</t>
    </r>
  </si>
  <si>
    <r>
      <t>S</t>
    </r>
    <r>
      <rPr>
        <vertAlign val="subscript"/>
        <sz val="11"/>
        <color rgb="FF0070C0"/>
        <rFont val="Calibri (Body)"/>
      </rPr>
      <t>23</t>
    </r>
  </si>
  <si>
    <r>
      <t>&lt;V</t>
    </r>
    <r>
      <rPr>
        <vertAlign val="subscript"/>
        <sz val="11"/>
        <color theme="1"/>
        <rFont val="Calibri (Body)"/>
      </rPr>
      <t>3</t>
    </r>
    <r>
      <rPr>
        <sz val="11"/>
        <color theme="1"/>
        <rFont val="Calibri"/>
        <family val="2"/>
        <scheme val="minor"/>
      </rPr>
      <t>&lt;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</si>
</sst>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"/>
  </numFmts>
  <fonts count="2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vertAlign val="subscript"/>
      <sz val="12"/>
      <color theme="1"/>
      <name val="Calibri (Body)"/>
    </font>
    <font>
      <vertAlign val="superscript"/>
      <sz val="12"/>
      <color theme="1"/>
      <name val="Calibri (Body)"/>
    </font>
    <font>
      <b/>
      <sz val="10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b/>
      <vertAlign val="superscript"/>
      <sz val="11"/>
      <color theme="1"/>
      <name val="Calibri (Body)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theme="1"/>
      <name val="Symbol"/>
      <family val="1"/>
      <charset val="2"/>
    </font>
    <font>
      <sz val="11"/>
      <color theme="1"/>
      <name val="Calibri"/>
      <family val="2"/>
      <charset val="2"/>
      <scheme val="minor"/>
    </font>
    <font>
      <vertAlign val="subscript"/>
      <sz val="11"/>
      <color theme="1"/>
      <name val="Calibri (Body)"/>
    </font>
    <font>
      <sz val="8"/>
      <name val="Calibri"/>
      <family val="2"/>
      <scheme val="minor"/>
    </font>
    <font>
      <b/>
      <sz val="11"/>
      <color indexed="18"/>
      <name val="Calibri"/>
      <family val="2"/>
      <scheme val="minor"/>
    </font>
    <font>
      <sz val="11"/>
      <color theme="1"/>
      <name val="Calibri"/>
      <family val="1"/>
      <charset val="2"/>
      <scheme val="minor"/>
    </font>
    <font>
      <sz val="14"/>
      <color rgb="FF000000"/>
      <name val="Calibri"/>
      <family val="2"/>
      <scheme val="minor"/>
    </font>
    <font>
      <b/>
      <sz val="11"/>
      <color indexed="18"/>
      <name val="Calibri"/>
      <family val="2"/>
      <scheme val="minor"/>
    </font>
    <font>
      <vertAlign val="subscript"/>
      <sz val="11"/>
      <color rgb="FF0070C0"/>
      <name val="Calibri (Body)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4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64"/>
      </top>
      <bottom/>
      <diagonal/>
    </border>
  </borders>
  <cellStyleXfs count="14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2" fillId="7" borderId="0" applyNumberFormat="0" applyBorder="0" applyAlignment="0" applyProtection="0"/>
  </cellStyleXfs>
  <cellXfs count="106">
    <xf numFmtId="0" fontId="0" fillId="0" borderId="0" xfId="0"/>
    <xf numFmtId="0" fontId="1" fillId="0" borderId="0" xfId="0" applyFont="1"/>
    <xf numFmtId="0" fontId="0" fillId="2" borderId="0" xfId="0" applyFill="1"/>
    <xf numFmtId="2" fontId="0" fillId="2" borderId="1" xfId="0" applyNumberFormat="1" applyFill="1" applyBorder="1" applyAlignment="1">
      <alignment horizontal="center"/>
    </xf>
    <xf numFmtId="2" fontId="2" fillId="2" borderId="1" xfId="0" applyNumberFormat="1" applyFon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2" fontId="0" fillId="2" borderId="0" xfId="0" applyNumberFormat="1" applyFill="1" applyAlignment="1">
      <alignment horizontal="center"/>
    </xf>
    <xf numFmtId="0" fontId="0" fillId="2" borderId="0" xfId="0" applyFill="1" applyBorder="1"/>
    <xf numFmtId="2" fontId="0" fillId="2" borderId="0" xfId="0" applyNumberFormat="1" applyFill="1"/>
    <xf numFmtId="0" fontId="7" fillId="2" borderId="0" xfId="0" applyFont="1" applyFill="1"/>
    <xf numFmtId="0" fontId="8" fillId="2" borderId="0" xfId="0" applyFont="1" applyFill="1"/>
    <xf numFmtId="0" fontId="0" fillId="3" borderId="0" xfId="0" applyFill="1"/>
    <xf numFmtId="0" fontId="0" fillId="2" borderId="0" xfId="0" applyFill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3" xfId="0" applyFill="1" applyBorder="1"/>
    <xf numFmtId="0" fontId="0" fillId="2" borderId="2" xfId="0" applyFill="1" applyBorder="1" applyAlignment="1">
      <alignment horizontal="center"/>
    </xf>
    <xf numFmtId="0" fontId="0" fillId="2" borderId="0" xfId="0" quotePrefix="1" applyFill="1"/>
    <xf numFmtId="0" fontId="0" fillId="2" borderId="0" xfId="0" applyFill="1" applyBorder="1" applyAlignment="1">
      <alignment horizontal="right"/>
    </xf>
    <xf numFmtId="166" fontId="1" fillId="4" borderId="0" xfId="0" applyNumberFormat="1" applyFont="1" applyFill="1" applyBorder="1" applyAlignment="1">
      <alignment horizontal="center"/>
    </xf>
    <xf numFmtId="164" fontId="0" fillId="2" borderId="0" xfId="0" applyNumberForma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0" fillId="5" borderId="0" xfId="0" applyFill="1" applyBorder="1" applyAlignment="1">
      <alignment horizontal="right"/>
    </xf>
    <xf numFmtId="164" fontId="1" fillId="5" borderId="0" xfId="0" applyNumberFormat="1" applyFont="1" applyFill="1" applyBorder="1" applyAlignment="1">
      <alignment horizontal="left"/>
    </xf>
    <xf numFmtId="164" fontId="0" fillId="5" borderId="0" xfId="0" applyNumberFormat="1" applyFill="1" applyBorder="1" applyAlignment="1">
      <alignment horizontal="left"/>
    </xf>
    <xf numFmtId="0" fontId="0" fillId="2" borderId="0" xfId="0" applyFill="1" applyBorder="1" applyAlignment="1">
      <alignment horizontal="center"/>
    </xf>
    <xf numFmtId="0" fontId="1" fillId="4" borderId="0" xfId="0" applyFont="1" applyFill="1" applyBorder="1" applyAlignment="1">
      <alignment horizontal="right"/>
    </xf>
    <xf numFmtId="0" fontId="0" fillId="6" borderId="0" xfId="0" applyFill="1" applyBorder="1"/>
    <xf numFmtId="0" fontId="0" fillId="4" borderId="0" xfId="0" applyFont="1" applyFill="1" applyBorder="1" applyAlignment="1">
      <alignment horizontal="right"/>
    </xf>
    <xf numFmtId="166" fontId="0" fillId="4" borderId="0" xfId="0" applyNumberFormat="1" applyFont="1" applyFill="1" applyBorder="1" applyAlignment="1">
      <alignment horizontal="center"/>
    </xf>
    <xf numFmtId="0" fontId="3" fillId="2" borderId="0" xfId="0" applyFont="1" applyFill="1"/>
    <xf numFmtId="0" fontId="6" fillId="2" borderId="0" xfId="0" applyFont="1" applyFill="1" applyBorder="1" applyAlignment="1">
      <alignment horizontal="right"/>
    </xf>
    <xf numFmtId="166" fontId="1" fillId="2" borderId="0" xfId="0" applyNumberFormat="1" applyFont="1" applyFill="1" applyBorder="1"/>
    <xf numFmtId="2" fontId="0" fillId="2" borderId="0" xfId="0" applyNumberFormat="1" applyFill="1" applyBorder="1"/>
    <xf numFmtId="166" fontId="1" fillId="2" borderId="0" xfId="0" applyNumberFormat="1" applyFont="1" applyFill="1"/>
    <xf numFmtId="0" fontId="1" fillId="2" borderId="0" xfId="0" applyFont="1" applyFill="1" applyAlignment="1">
      <alignment horizontal="center"/>
    </xf>
    <xf numFmtId="0" fontId="0" fillId="0" borderId="6" xfId="0" applyFill="1" applyBorder="1" applyAlignment="1"/>
    <xf numFmtId="0" fontId="0" fillId="0" borderId="7" xfId="0" applyFill="1" applyBorder="1" applyAlignment="1"/>
    <xf numFmtId="164" fontId="0" fillId="2" borderId="0" xfId="0" applyNumberFormat="1" applyFill="1"/>
    <xf numFmtId="0" fontId="1" fillId="2" borderId="0" xfId="0" applyFont="1" applyFill="1"/>
    <xf numFmtId="0" fontId="0" fillId="2" borderId="0" xfId="0" applyFill="1" applyAlignment="1">
      <alignment horizontal="left"/>
    </xf>
    <xf numFmtId="0" fontId="0" fillId="2" borderId="0" xfId="0" applyFill="1" applyAlignment="1">
      <alignment horizontal="right"/>
    </xf>
    <xf numFmtId="0" fontId="0" fillId="2" borderId="0" xfId="0" quotePrefix="1" applyFill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14" fillId="2" borderId="0" xfId="0" applyFont="1" applyFill="1" applyBorder="1"/>
    <xf numFmtId="0" fontId="15" fillId="2" borderId="0" xfId="0" applyFont="1" applyFill="1" applyBorder="1"/>
    <xf numFmtId="2" fontId="12" fillId="7" borderId="0" xfId="13" applyNumberFormat="1"/>
    <xf numFmtId="164" fontId="0" fillId="2" borderId="0" xfId="0" applyNumberFormat="1" applyFill="1" applyAlignment="1">
      <alignment horizontal="center"/>
    </xf>
    <xf numFmtId="0" fontId="0" fillId="2" borderId="2" xfId="0" applyFill="1" applyBorder="1"/>
    <xf numFmtId="164" fontId="0" fillId="2" borderId="2" xfId="0" applyNumberFormat="1" applyFill="1" applyBorder="1" applyAlignment="1">
      <alignment horizontal="center"/>
    </xf>
    <xf numFmtId="166" fontId="0" fillId="2" borderId="0" xfId="0" applyNumberFormat="1" applyFill="1" applyBorder="1"/>
    <xf numFmtId="0" fontId="17" fillId="2" borderId="0" xfId="0" applyFont="1" applyFill="1" applyBorder="1" applyAlignment="1">
      <alignment horizontal="center"/>
    </xf>
    <xf numFmtId="2" fontId="0" fillId="2" borderId="0" xfId="0" applyNumberFormat="1" applyFill="1" applyBorder="1" applyAlignment="1">
      <alignment horizontal="center"/>
    </xf>
    <xf numFmtId="2" fontId="17" fillId="2" borderId="0" xfId="0" applyNumberFormat="1" applyFont="1" applyFill="1" applyBorder="1" applyAlignment="1">
      <alignment horizontal="center"/>
    </xf>
    <xf numFmtId="166" fontId="0" fillId="2" borderId="0" xfId="0" applyNumberFormat="1" applyFill="1" applyBorder="1" applyAlignment="1">
      <alignment horizontal="center"/>
    </xf>
    <xf numFmtId="165" fontId="0" fillId="2" borderId="0" xfId="0" applyNumberFormat="1" applyFill="1" applyBorder="1"/>
    <xf numFmtId="0" fontId="17" fillId="2" borderId="2" xfId="0" applyFont="1" applyFill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166" fontId="0" fillId="2" borderId="2" xfId="0" applyNumberFormat="1" applyFill="1" applyBorder="1" applyAlignment="1">
      <alignment horizontal="center"/>
    </xf>
    <xf numFmtId="2" fontId="0" fillId="2" borderId="2" xfId="0" applyNumberFormat="1" applyFill="1" applyBorder="1" applyAlignment="1">
      <alignment horizontal="center"/>
    </xf>
    <xf numFmtId="0" fontId="19" fillId="2" borderId="0" xfId="0" applyFont="1" applyFill="1" applyAlignment="1">
      <alignment horizontal="center"/>
    </xf>
    <xf numFmtId="0" fontId="0" fillId="2" borderId="0" xfId="0" quotePrefix="1" applyFill="1" applyAlignment="1">
      <alignment horizontal="right"/>
    </xf>
    <xf numFmtId="164" fontId="0" fillId="2" borderId="2" xfId="0" applyNumberFormat="1" applyFill="1" applyBorder="1"/>
    <xf numFmtId="0" fontId="0" fillId="2" borderId="2" xfId="0" applyFill="1" applyBorder="1" applyAlignment="1">
      <alignment horizontal="left"/>
    </xf>
    <xf numFmtId="0" fontId="0" fillId="8" borderId="0" xfId="0" applyFill="1" applyBorder="1"/>
    <xf numFmtId="0" fontId="0" fillId="8" borderId="0" xfId="0" applyFill="1"/>
    <xf numFmtId="0" fontId="22" fillId="0" borderId="4" xfId="0" applyFont="1" applyFill="1" applyBorder="1" applyAlignment="1">
      <alignment horizontal="center"/>
    </xf>
    <xf numFmtId="0" fontId="22" fillId="0" borderId="5" xfId="0" applyFont="1" applyFill="1" applyBorder="1" applyAlignment="1">
      <alignment horizontal="center"/>
    </xf>
    <xf numFmtId="2" fontId="1" fillId="6" borderId="0" xfId="0" applyNumberFormat="1" applyFont="1" applyFill="1" applyBorder="1" applyAlignment="1">
      <alignment horizontal="center"/>
    </xf>
    <xf numFmtId="2" fontId="0" fillId="6" borderId="0" xfId="0" applyNumberFormat="1" applyFill="1" applyBorder="1" applyAlignment="1">
      <alignment horizontal="center"/>
    </xf>
    <xf numFmtId="2" fontId="16" fillId="2" borderId="0" xfId="0" applyNumberFormat="1" applyFont="1" applyFill="1"/>
    <xf numFmtId="0" fontId="23" fillId="2" borderId="0" xfId="0" applyFont="1" applyFill="1" applyAlignment="1">
      <alignment horizontal="center"/>
    </xf>
    <xf numFmtId="0" fontId="24" fillId="9" borderId="0" xfId="0" applyFont="1" applyFill="1"/>
    <xf numFmtId="2" fontId="0" fillId="0" borderId="6" xfId="0" applyNumberFormat="1" applyFill="1" applyBorder="1" applyAlignment="1"/>
    <xf numFmtId="2" fontId="0" fillId="0" borderId="0" xfId="0" applyNumberFormat="1"/>
    <xf numFmtId="2" fontId="0" fillId="0" borderId="7" xfId="0" applyNumberFormat="1" applyFill="1" applyBorder="1" applyAlignment="1"/>
    <xf numFmtId="0" fontId="0" fillId="2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25" fillId="0" borderId="4" xfId="0" applyFont="1" applyFill="1" applyBorder="1" applyAlignment="1">
      <alignment horizontal="center"/>
    </xf>
    <xf numFmtId="0" fontId="25" fillId="0" borderId="5" xfId="0" applyFont="1" applyFill="1" applyBorder="1" applyAlignment="1">
      <alignment horizontal="center"/>
    </xf>
    <xf numFmtId="0" fontId="0" fillId="2" borderId="0" xfId="0" applyFont="1" applyFill="1"/>
    <xf numFmtId="2" fontId="0" fillId="2" borderId="0" xfId="0" applyNumberFormat="1" applyFont="1" applyFill="1"/>
    <xf numFmtId="0" fontId="0" fillId="2" borderId="0" xfId="0" applyFont="1" applyFill="1" applyAlignment="1">
      <alignment horizontal="center"/>
    </xf>
    <xf numFmtId="0" fontId="0" fillId="2" borderId="0" xfId="0" applyFont="1" applyFill="1" applyAlignment="1">
      <alignment horizontal="right"/>
    </xf>
    <xf numFmtId="2" fontId="0" fillId="2" borderId="0" xfId="0" applyNumberFormat="1" applyFont="1" applyFill="1" applyAlignment="1">
      <alignment horizontal="right"/>
    </xf>
    <xf numFmtId="2" fontId="17" fillId="2" borderId="8" xfId="0" applyNumberFormat="1" applyFont="1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8" xfId="0" applyFont="1" applyFill="1" applyBorder="1" applyAlignment="1">
      <alignment horizontal="center"/>
    </xf>
    <xf numFmtId="2" fontId="17" fillId="2" borderId="2" xfId="0" applyNumberFormat="1" applyFont="1" applyFill="1" applyBorder="1" applyAlignment="1">
      <alignment horizontal="center"/>
    </xf>
    <xf numFmtId="166" fontId="15" fillId="2" borderId="0" xfId="0" applyNumberFormat="1" applyFont="1" applyFill="1"/>
    <xf numFmtId="0" fontId="1" fillId="5" borderId="0" xfId="0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11" fontId="1" fillId="6" borderId="0" xfId="0" applyNumberFormat="1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1" fillId="2" borderId="0" xfId="0" applyFont="1" applyFill="1" applyBorder="1" applyAlignment="1">
      <alignment horizontal="center"/>
    </xf>
    <xf numFmtId="166" fontId="0" fillId="2" borderId="0" xfId="0" applyNumberFormat="1" applyFill="1"/>
    <xf numFmtId="11" fontId="1" fillId="2" borderId="0" xfId="0" applyNumberFormat="1" applyFont="1" applyFill="1" applyBorder="1" applyAlignment="1">
      <alignment horizontal="center"/>
    </xf>
    <xf numFmtId="0" fontId="1" fillId="10" borderId="0" xfId="0" applyFont="1" applyFill="1" applyBorder="1" applyAlignment="1">
      <alignment horizontal="right"/>
    </xf>
    <xf numFmtId="166" fontId="1" fillId="10" borderId="0" xfId="0" applyNumberFormat="1" applyFont="1" applyFill="1" applyBorder="1" applyAlignment="1">
      <alignment horizontal="center"/>
    </xf>
    <xf numFmtId="2" fontId="1" fillId="10" borderId="0" xfId="0" applyNumberFormat="1" applyFont="1" applyFill="1" applyBorder="1" applyAlignment="1">
      <alignment horizontal="center"/>
    </xf>
    <xf numFmtId="0" fontId="0" fillId="10" borderId="0" xfId="0" applyFill="1" applyBorder="1"/>
    <xf numFmtId="0" fontId="0" fillId="10" borderId="0" xfId="0" applyFont="1" applyFill="1" applyBorder="1" applyAlignment="1">
      <alignment horizontal="right"/>
    </xf>
    <xf numFmtId="166" fontId="0" fillId="10" borderId="0" xfId="0" applyNumberFormat="1" applyFont="1" applyFill="1" applyBorder="1" applyAlignment="1">
      <alignment horizontal="center"/>
    </xf>
    <xf numFmtId="2" fontId="0" fillId="10" borderId="0" xfId="0" applyNumberFormat="1" applyFill="1" applyBorder="1" applyAlignment="1">
      <alignment horizontal="center"/>
    </xf>
  </cellXfs>
  <cellStyles count="14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Good" xfId="13" builtinId="26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184638</xdr:colOff>
      <xdr:row>0</xdr:row>
      <xdr:rowOff>22218</xdr:rowOff>
    </xdr:from>
    <xdr:to>
      <xdr:col>2</xdr:col>
      <xdr:colOff>644769</xdr:colOff>
      <xdr:row>5</xdr:row>
      <xdr:rowOff>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3F3E115-E927-C542-974D-EF2D0599FC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4638" y="22218"/>
          <a:ext cx="2111131" cy="86159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250094</xdr:colOff>
      <xdr:row>17</xdr:row>
      <xdr:rowOff>100296</xdr:rowOff>
    </xdr:from>
    <xdr:to>
      <xdr:col>25</xdr:col>
      <xdr:colOff>295032</xdr:colOff>
      <xdr:row>19</xdr:row>
      <xdr:rowOff>80757</xdr:rowOff>
    </xdr:to>
    <xdr:sp macro="" textlink="">
      <xdr:nvSpPr>
        <xdr:cNvPr id="5" name="Rectángulo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/>
      </xdr:nvSpPr>
      <xdr:spPr>
        <a:xfrm>
          <a:off x="12956142" y="3390201"/>
          <a:ext cx="44938" cy="367508"/>
        </a:xfrm>
        <a:prstGeom prst="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23</xdr:col>
      <xdr:colOff>670169</xdr:colOff>
      <xdr:row>17</xdr:row>
      <xdr:rowOff>103555</xdr:rowOff>
    </xdr:from>
    <xdr:to>
      <xdr:col>23</xdr:col>
      <xdr:colOff>728784</xdr:colOff>
      <xdr:row>19</xdr:row>
      <xdr:rowOff>84016</xdr:rowOff>
    </xdr:to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/>
      </xdr:nvSpPr>
      <xdr:spPr>
        <a:xfrm>
          <a:off x="7291102" y="636955"/>
          <a:ext cx="58615" cy="336061"/>
        </a:xfrm>
        <a:prstGeom prst="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24</xdr:col>
      <xdr:colOff>26606</xdr:colOff>
      <xdr:row>18</xdr:row>
      <xdr:rowOff>82982</xdr:rowOff>
    </xdr:from>
    <xdr:to>
      <xdr:col>25</xdr:col>
      <xdr:colOff>250094</xdr:colOff>
      <xdr:row>18</xdr:row>
      <xdr:rowOff>90526</xdr:rowOff>
    </xdr:to>
    <xdr:cxnSp macro="">
      <xdr:nvCxnSpPr>
        <xdr:cNvPr id="10" name="Conector recto de flecha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CxnSpPr>
          <a:stCxn id="5" idx="1"/>
          <a:endCxn id="19" idx="1"/>
        </xdr:cNvCxnSpPr>
      </xdr:nvCxnSpPr>
      <xdr:spPr>
        <a:xfrm flipH="1" flipV="1">
          <a:off x="11855749" y="3566411"/>
          <a:ext cx="1100393" cy="7544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44612</xdr:colOff>
      <xdr:row>23</xdr:row>
      <xdr:rowOff>101601</xdr:rowOff>
    </xdr:from>
    <xdr:to>
      <xdr:col>25</xdr:col>
      <xdr:colOff>74245</xdr:colOff>
      <xdr:row>23</xdr:row>
      <xdr:rowOff>167056</xdr:rowOff>
    </xdr:to>
    <xdr:sp macro="" textlink="">
      <xdr:nvSpPr>
        <xdr:cNvPr id="21" name="Rectángulo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SpPr/>
      </xdr:nvSpPr>
      <xdr:spPr>
        <a:xfrm rot="5400000">
          <a:off x="8925167" y="1330246"/>
          <a:ext cx="65455" cy="452966"/>
        </a:xfrm>
        <a:prstGeom prst="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24</xdr:col>
      <xdr:colOff>26606</xdr:colOff>
      <xdr:row>18</xdr:row>
      <xdr:rowOff>82983</xdr:rowOff>
    </xdr:from>
    <xdr:to>
      <xdr:col>24</xdr:col>
      <xdr:colOff>495991</xdr:colOff>
      <xdr:row>23</xdr:row>
      <xdr:rowOff>101602</xdr:rowOff>
    </xdr:to>
    <xdr:cxnSp macro="">
      <xdr:nvCxnSpPr>
        <xdr:cNvPr id="22" name="Conector recto de flecha 21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CxnSpPr>
          <a:stCxn id="19" idx="1"/>
          <a:endCxn id="21" idx="1"/>
        </xdr:cNvCxnSpPr>
      </xdr:nvCxnSpPr>
      <xdr:spPr>
        <a:xfrm>
          <a:off x="11869356" y="3480233"/>
          <a:ext cx="469385" cy="899682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455705</xdr:colOff>
      <xdr:row>23</xdr:row>
      <xdr:rowOff>152116</xdr:rowOff>
    </xdr:from>
    <xdr:to>
      <xdr:col>24</xdr:col>
      <xdr:colOff>457859</xdr:colOff>
      <xdr:row>26</xdr:row>
      <xdr:rowOff>134470</xdr:rowOff>
    </xdr:to>
    <xdr:cxnSp macro="">
      <xdr:nvCxnSpPr>
        <xdr:cNvPr id="11" name="Conector recto de flecha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CxnSpPr/>
      </xdr:nvCxnSpPr>
      <xdr:spPr>
        <a:xfrm flipH="1">
          <a:off x="14052176" y="4492528"/>
          <a:ext cx="2154" cy="475413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791804</xdr:colOff>
      <xdr:row>17</xdr:row>
      <xdr:rowOff>120104</xdr:rowOff>
    </xdr:from>
    <xdr:to>
      <xdr:col>23</xdr:col>
      <xdr:colOff>352669</xdr:colOff>
      <xdr:row>18</xdr:row>
      <xdr:rowOff>93786</xdr:rowOff>
    </xdr:to>
    <xdr:cxnSp macro="">
      <xdr:nvCxnSpPr>
        <xdr:cNvPr id="28" name="Conector recto de flecha 27">
          <a:extLst>
            <a:ext uri="{FF2B5EF4-FFF2-40B4-BE49-F238E27FC236}">
              <a16:creationId xmlns:a16="http://schemas.microsoft.com/office/drawing/2014/main" id="{00000000-0008-0000-0300-00001C000000}"/>
            </a:ext>
          </a:extLst>
        </xdr:cNvPr>
        <xdr:cNvCxnSpPr>
          <a:cxnSpLocks/>
          <a:endCxn id="7" idx="1"/>
        </xdr:cNvCxnSpPr>
      </xdr:nvCxnSpPr>
      <xdr:spPr>
        <a:xfrm>
          <a:off x="13155628" y="3384751"/>
          <a:ext cx="434923" cy="167917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295032</xdr:colOff>
      <xdr:row>18</xdr:row>
      <xdr:rowOff>90526</xdr:rowOff>
    </xdr:from>
    <xdr:to>
      <xdr:col>26</xdr:col>
      <xdr:colOff>25348</xdr:colOff>
      <xdr:row>18</xdr:row>
      <xdr:rowOff>93537</xdr:rowOff>
    </xdr:to>
    <xdr:cxnSp macro="">
      <xdr:nvCxnSpPr>
        <xdr:cNvPr id="32" name="Conector recto de flecha 31">
          <a:extLst>
            <a:ext uri="{FF2B5EF4-FFF2-40B4-BE49-F238E27FC236}">
              <a16:creationId xmlns:a16="http://schemas.microsoft.com/office/drawing/2014/main" id="{00000000-0008-0000-0300-000020000000}"/>
            </a:ext>
          </a:extLst>
        </xdr:cNvPr>
        <xdr:cNvCxnSpPr>
          <a:cxnSpLocks/>
          <a:stCxn id="33" idx="2"/>
          <a:endCxn id="5" idx="3"/>
        </xdr:cNvCxnSpPr>
      </xdr:nvCxnSpPr>
      <xdr:spPr>
        <a:xfrm flipH="1" flipV="1">
          <a:off x="13001080" y="3573955"/>
          <a:ext cx="214125" cy="3011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171824</xdr:colOff>
      <xdr:row>0</xdr:row>
      <xdr:rowOff>0</xdr:rowOff>
    </xdr:from>
    <xdr:to>
      <xdr:col>3</xdr:col>
      <xdr:colOff>192339</xdr:colOff>
      <xdr:row>5</xdr:row>
      <xdr:rowOff>2883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82B57BDF-1008-2C4A-9C3D-93CBD1D01F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1824" y="0"/>
          <a:ext cx="2112280" cy="928086"/>
        </a:xfrm>
        <a:prstGeom prst="rect">
          <a:avLst/>
        </a:prstGeom>
      </xdr:spPr>
    </xdr:pic>
    <xdr:clientData/>
  </xdr:twoCellAnchor>
  <xdr:twoCellAnchor>
    <xdr:from>
      <xdr:col>10</xdr:col>
      <xdr:colOff>619125</xdr:colOff>
      <xdr:row>38</xdr:row>
      <xdr:rowOff>95250</xdr:rowOff>
    </xdr:from>
    <xdr:to>
      <xdr:col>11</xdr:col>
      <xdr:colOff>642938</xdr:colOff>
      <xdr:row>38</xdr:row>
      <xdr:rowOff>103188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C997370A-207D-1D46-9B42-D3597FEA7F96}"/>
            </a:ext>
          </a:extLst>
        </xdr:cNvPr>
        <xdr:cNvCxnSpPr/>
      </xdr:nvCxnSpPr>
      <xdr:spPr>
        <a:xfrm flipV="1">
          <a:off x="6881813" y="6969125"/>
          <a:ext cx="698500" cy="793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312959</xdr:colOff>
      <xdr:row>17</xdr:row>
      <xdr:rowOff>93901</xdr:rowOff>
    </xdr:from>
    <xdr:to>
      <xdr:col>24</xdr:col>
      <xdr:colOff>26606</xdr:colOff>
      <xdr:row>19</xdr:row>
      <xdr:rowOff>72064</xdr:rowOff>
    </xdr:to>
    <xdr:sp macro="" textlink="">
      <xdr:nvSpPr>
        <xdr:cNvPr id="19" name="Rectángulo 6">
          <a:extLst>
            <a:ext uri="{FF2B5EF4-FFF2-40B4-BE49-F238E27FC236}">
              <a16:creationId xmlns:a16="http://schemas.microsoft.com/office/drawing/2014/main" id="{5AFA94EF-1C1D-C148-87A1-E3D1F86E2E4C}"/>
            </a:ext>
          </a:extLst>
        </xdr:cNvPr>
        <xdr:cNvSpPr/>
      </xdr:nvSpPr>
      <xdr:spPr>
        <a:xfrm flipH="1">
          <a:off x="12573344" y="3386132"/>
          <a:ext cx="65339" cy="368932"/>
        </a:xfrm>
        <a:prstGeom prst="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22</xdr:col>
      <xdr:colOff>368905</xdr:colOff>
      <xdr:row>16</xdr:row>
      <xdr:rowOff>36285</xdr:rowOff>
    </xdr:from>
    <xdr:to>
      <xdr:col>22</xdr:col>
      <xdr:colOff>831089</xdr:colOff>
      <xdr:row>18</xdr:row>
      <xdr:rowOff>75410</xdr:rowOff>
    </xdr:to>
    <xdr:grpSp>
      <xdr:nvGrpSpPr>
        <xdr:cNvPr id="25" name="Agrupar 51">
          <a:extLst>
            <a:ext uri="{FF2B5EF4-FFF2-40B4-BE49-F238E27FC236}">
              <a16:creationId xmlns:a16="http://schemas.microsoft.com/office/drawing/2014/main" id="{224E9DAA-5BFA-C54E-B6C3-CF49455B3045}"/>
            </a:ext>
          </a:extLst>
        </xdr:cNvPr>
        <xdr:cNvGrpSpPr/>
      </xdr:nvGrpSpPr>
      <xdr:grpSpPr>
        <a:xfrm>
          <a:off x="10964334" y="3199190"/>
          <a:ext cx="462184" cy="426172"/>
          <a:chOff x="513989" y="2399805"/>
          <a:chExt cx="713232" cy="713205"/>
        </a:xfrm>
        <a:solidFill>
          <a:srgbClr val="FFC000"/>
        </a:solidFill>
      </xdr:grpSpPr>
      <xdr:sp macro="" textlink="">
        <xdr:nvSpPr>
          <xdr:cNvPr id="26" name="Elipse 24">
            <a:extLst>
              <a:ext uri="{FF2B5EF4-FFF2-40B4-BE49-F238E27FC236}">
                <a16:creationId xmlns:a16="http://schemas.microsoft.com/office/drawing/2014/main" id="{CF8A47DC-5BF6-594C-99F5-E28BF63D4D73}"/>
              </a:ext>
            </a:extLst>
          </xdr:cNvPr>
          <xdr:cNvSpPr/>
        </xdr:nvSpPr>
        <xdr:spPr>
          <a:xfrm>
            <a:off x="513989" y="2399805"/>
            <a:ext cx="713232" cy="713205"/>
          </a:xfrm>
          <a:prstGeom prst="ellipse">
            <a:avLst/>
          </a:prstGeom>
          <a:grpFill/>
          <a:ln w="12700" cmpd="sng">
            <a:solidFill>
              <a:schemeClr val="tx1"/>
            </a:solidFill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s-CO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 sz="5400"/>
          </a:p>
        </xdr:txBody>
      </xdr:sp>
      <xdr:grpSp>
        <xdr:nvGrpSpPr>
          <xdr:cNvPr id="27" name="Agrupar 50">
            <a:extLst>
              <a:ext uri="{FF2B5EF4-FFF2-40B4-BE49-F238E27FC236}">
                <a16:creationId xmlns:a16="http://schemas.microsoft.com/office/drawing/2014/main" id="{BEE458AA-8FB0-5642-955E-937ABD7932DF}"/>
              </a:ext>
            </a:extLst>
          </xdr:cNvPr>
          <xdr:cNvGrpSpPr/>
        </xdr:nvGrpSpPr>
        <xdr:grpSpPr>
          <a:xfrm>
            <a:off x="640043" y="2583347"/>
            <a:ext cx="473632" cy="331761"/>
            <a:chOff x="870606" y="4138532"/>
            <a:chExt cx="473632" cy="331761"/>
          </a:xfrm>
          <a:grpFill/>
        </xdr:grpSpPr>
        <xdr:sp macro="" textlink="">
          <xdr:nvSpPr>
            <xdr:cNvPr id="29" name="Arco 25">
              <a:extLst>
                <a:ext uri="{FF2B5EF4-FFF2-40B4-BE49-F238E27FC236}">
                  <a16:creationId xmlns:a16="http://schemas.microsoft.com/office/drawing/2014/main" id="{FDBC8BCB-E9EF-C64D-8D3B-CAE1A3B28765}"/>
                </a:ext>
              </a:extLst>
            </xdr:cNvPr>
            <xdr:cNvSpPr/>
          </xdr:nvSpPr>
          <xdr:spPr>
            <a:xfrm rot="10800000" flipV="1">
              <a:off x="870606" y="4202009"/>
              <a:ext cx="224650" cy="268284"/>
            </a:xfrm>
            <a:prstGeom prst="arc">
              <a:avLst>
                <a:gd name="adj1" fmla="val 10746619"/>
                <a:gd name="adj2" fmla="val 0"/>
              </a:avLst>
            </a:prstGeom>
            <a:grpFill/>
            <a:ln w="12700" cmpd="sng">
              <a:solidFill>
                <a:schemeClr val="tx1"/>
              </a:solidFill>
            </a:ln>
            <a:effectLst/>
          </xdr:spPr>
          <xdr:style>
            <a:lnRef idx="2">
              <a:schemeClr val="accent1"/>
            </a:lnRef>
            <a:fillRef idx="0">
              <a:schemeClr val="accent1"/>
            </a:fillRef>
            <a:effectRef idx="1">
              <a:schemeClr val="accent1"/>
            </a:effectRef>
            <a:fontRef idx="minor">
              <a:schemeClr val="tx1"/>
            </a:fontRef>
          </xdr:style>
          <xdr:txBody>
            <a:bodyPr wrap="square" rtlCol="0" anchor="ctr"/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 sz="6000"/>
            </a:p>
          </xdr:txBody>
        </xdr:sp>
        <xdr:sp macro="" textlink="">
          <xdr:nvSpPr>
            <xdr:cNvPr id="30" name="Arco 26">
              <a:extLst>
                <a:ext uri="{FF2B5EF4-FFF2-40B4-BE49-F238E27FC236}">
                  <a16:creationId xmlns:a16="http://schemas.microsoft.com/office/drawing/2014/main" id="{0B0483F9-7FD2-E148-988F-A00A43A60D28}"/>
                </a:ext>
              </a:extLst>
            </xdr:cNvPr>
            <xdr:cNvSpPr/>
          </xdr:nvSpPr>
          <xdr:spPr>
            <a:xfrm flipV="1">
              <a:off x="1095268" y="4138532"/>
              <a:ext cx="248970" cy="331757"/>
            </a:xfrm>
            <a:prstGeom prst="arc">
              <a:avLst>
                <a:gd name="adj1" fmla="val 10746619"/>
                <a:gd name="adj2" fmla="val 0"/>
              </a:avLst>
            </a:prstGeom>
            <a:grpFill/>
            <a:ln w="12700" cmpd="sng">
              <a:solidFill>
                <a:schemeClr val="tx1"/>
              </a:solidFill>
            </a:ln>
            <a:effectLst/>
          </xdr:spPr>
          <xdr:style>
            <a:lnRef idx="2">
              <a:schemeClr val="accent1"/>
            </a:lnRef>
            <a:fillRef idx="0">
              <a:schemeClr val="accent1"/>
            </a:fillRef>
            <a:effectRef idx="1">
              <a:schemeClr val="accent1"/>
            </a:effectRef>
            <a:fontRef idx="minor">
              <a:schemeClr val="tx1"/>
            </a:fontRef>
          </xdr:style>
          <xdr:txBody>
            <a:bodyPr wrap="square" rtlCol="0" anchor="ctr"/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 sz="6000"/>
            </a:p>
          </xdr:txBody>
        </xdr:sp>
      </xdr:grpSp>
    </xdr:grpSp>
    <xdr:clientData/>
  </xdr:twoCellAnchor>
  <xdr:twoCellAnchor>
    <xdr:from>
      <xdr:col>26</xdr:col>
      <xdr:colOff>25348</xdr:colOff>
      <xdr:row>17</xdr:row>
      <xdr:rowOff>102405</xdr:rowOff>
    </xdr:from>
    <xdr:to>
      <xdr:col>26</xdr:col>
      <xdr:colOff>447525</xdr:colOff>
      <xdr:row>19</xdr:row>
      <xdr:rowOff>84670</xdr:rowOff>
    </xdr:to>
    <xdr:grpSp>
      <xdr:nvGrpSpPr>
        <xdr:cNvPr id="31" name="Agrupar 51">
          <a:extLst>
            <a:ext uri="{FF2B5EF4-FFF2-40B4-BE49-F238E27FC236}">
              <a16:creationId xmlns:a16="http://schemas.microsoft.com/office/drawing/2014/main" id="{9D5979D2-15E1-B046-812C-B339C0394BD2}"/>
            </a:ext>
          </a:extLst>
        </xdr:cNvPr>
        <xdr:cNvGrpSpPr/>
      </xdr:nvGrpSpPr>
      <xdr:grpSpPr>
        <a:xfrm>
          <a:off x="13215205" y="3458834"/>
          <a:ext cx="422177" cy="369312"/>
          <a:chOff x="513989" y="2399805"/>
          <a:chExt cx="713232" cy="713205"/>
        </a:xfrm>
      </xdr:grpSpPr>
      <xdr:sp macro="" textlink="">
        <xdr:nvSpPr>
          <xdr:cNvPr id="33" name="Elipse 24">
            <a:extLst>
              <a:ext uri="{FF2B5EF4-FFF2-40B4-BE49-F238E27FC236}">
                <a16:creationId xmlns:a16="http://schemas.microsoft.com/office/drawing/2014/main" id="{A9D20259-347D-A049-86F3-FA87D765701F}"/>
              </a:ext>
            </a:extLst>
          </xdr:cNvPr>
          <xdr:cNvSpPr/>
        </xdr:nvSpPr>
        <xdr:spPr>
          <a:xfrm>
            <a:off x="513989" y="2399805"/>
            <a:ext cx="713232" cy="713205"/>
          </a:xfrm>
          <a:prstGeom prst="ellipse">
            <a:avLst/>
          </a:prstGeom>
          <a:solidFill>
            <a:srgbClr val="FF0000">
              <a:alpha val="36000"/>
            </a:srgbClr>
          </a:solidFill>
          <a:ln w="12700" cmpd="sng">
            <a:solidFill>
              <a:schemeClr val="tx1"/>
            </a:solidFill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s-CO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 sz="5400"/>
          </a:p>
        </xdr:txBody>
      </xdr:sp>
      <xdr:grpSp>
        <xdr:nvGrpSpPr>
          <xdr:cNvPr id="34" name="Agrupar 50">
            <a:extLst>
              <a:ext uri="{FF2B5EF4-FFF2-40B4-BE49-F238E27FC236}">
                <a16:creationId xmlns:a16="http://schemas.microsoft.com/office/drawing/2014/main" id="{F1CABBC6-FAE8-EC4D-AECA-0A3AE9A1C914}"/>
              </a:ext>
            </a:extLst>
          </xdr:cNvPr>
          <xdr:cNvGrpSpPr/>
        </xdr:nvGrpSpPr>
        <xdr:grpSpPr>
          <a:xfrm>
            <a:off x="640043" y="2583347"/>
            <a:ext cx="473632" cy="331761"/>
            <a:chOff x="870606" y="4138532"/>
            <a:chExt cx="473632" cy="331761"/>
          </a:xfrm>
        </xdr:grpSpPr>
        <xdr:sp macro="" textlink="">
          <xdr:nvSpPr>
            <xdr:cNvPr id="35" name="Arco 25">
              <a:extLst>
                <a:ext uri="{FF2B5EF4-FFF2-40B4-BE49-F238E27FC236}">
                  <a16:creationId xmlns:a16="http://schemas.microsoft.com/office/drawing/2014/main" id="{18004015-65ED-4A47-B8CD-6355E5C5EB15}"/>
                </a:ext>
              </a:extLst>
            </xdr:cNvPr>
            <xdr:cNvSpPr/>
          </xdr:nvSpPr>
          <xdr:spPr>
            <a:xfrm rot="10800000" flipV="1">
              <a:off x="870606" y="4202009"/>
              <a:ext cx="224650" cy="268284"/>
            </a:xfrm>
            <a:prstGeom prst="arc">
              <a:avLst>
                <a:gd name="adj1" fmla="val 10746619"/>
                <a:gd name="adj2" fmla="val 0"/>
              </a:avLst>
            </a:prstGeom>
            <a:ln w="12700" cmpd="sng">
              <a:solidFill>
                <a:schemeClr val="tx1"/>
              </a:solidFill>
            </a:ln>
            <a:effectLst/>
          </xdr:spPr>
          <xdr:style>
            <a:lnRef idx="2">
              <a:schemeClr val="accent1"/>
            </a:lnRef>
            <a:fillRef idx="0">
              <a:schemeClr val="accent1"/>
            </a:fillRef>
            <a:effectRef idx="1">
              <a:schemeClr val="accent1"/>
            </a:effectRef>
            <a:fontRef idx="minor">
              <a:schemeClr val="tx1"/>
            </a:fontRef>
          </xdr:style>
          <xdr:txBody>
            <a:bodyPr wrap="square" rtlCol="0" anchor="ctr"/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 sz="6000"/>
            </a:p>
          </xdr:txBody>
        </xdr:sp>
        <xdr:sp macro="" textlink="">
          <xdr:nvSpPr>
            <xdr:cNvPr id="36" name="Arco 26">
              <a:extLst>
                <a:ext uri="{FF2B5EF4-FFF2-40B4-BE49-F238E27FC236}">
                  <a16:creationId xmlns:a16="http://schemas.microsoft.com/office/drawing/2014/main" id="{4F954D13-CB9A-6646-9C9C-A042F3215E30}"/>
                </a:ext>
              </a:extLst>
            </xdr:cNvPr>
            <xdr:cNvSpPr/>
          </xdr:nvSpPr>
          <xdr:spPr>
            <a:xfrm flipV="1">
              <a:off x="1095268" y="4138532"/>
              <a:ext cx="248970" cy="331757"/>
            </a:xfrm>
            <a:prstGeom prst="arc">
              <a:avLst>
                <a:gd name="adj1" fmla="val 10746619"/>
                <a:gd name="adj2" fmla="val 0"/>
              </a:avLst>
            </a:prstGeom>
            <a:ln w="12700" cmpd="sng">
              <a:solidFill>
                <a:schemeClr val="tx1"/>
              </a:solidFill>
            </a:ln>
            <a:effectLst/>
          </xdr:spPr>
          <xdr:style>
            <a:lnRef idx="2">
              <a:schemeClr val="accent1"/>
            </a:lnRef>
            <a:fillRef idx="0">
              <a:schemeClr val="accent1"/>
            </a:fillRef>
            <a:effectRef idx="1">
              <a:schemeClr val="accent1"/>
            </a:effectRef>
            <a:fontRef idx="minor">
              <a:schemeClr val="tx1"/>
            </a:fontRef>
          </xdr:style>
          <xdr:txBody>
            <a:bodyPr wrap="square" rtlCol="0" anchor="ctr"/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 sz="6000"/>
            </a:p>
          </xdr:txBody>
        </xdr:sp>
      </xdr:grpSp>
    </xdr:grpSp>
    <xdr:clientData/>
  </xdr:twoCellAnchor>
  <xdr:twoCellAnchor>
    <xdr:from>
      <xdr:col>24</xdr:col>
      <xdr:colOff>497881</xdr:colOff>
      <xdr:row>18</xdr:row>
      <xdr:rowOff>90526</xdr:rowOff>
    </xdr:from>
    <xdr:to>
      <xdr:col>25</xdr:col>
      <xdr:colOff>250094</xdr:colOff>
      <xdr:row>23</xdr:row>
      <xdr:rowOff>101602</xdr:rowOff>
    </xdr:to>
    <xdr:cxnSp macro="">
      <xdr:nvCxnSpPr>
        <xdr:cNvPr id="38" name="Conector recto de flecha 21">
          <a:extLst>
            <a:ext uri="{FF2B5EF4-FFF2-40B4-BE49-F238E27FC236}">
              <a16:creationId xmlns:a16="http://schemas.microsoft.com/office/drawing/2014/main" id="{7A61CA5A-766E-404F-80BC-69B012839F77}"/>
            </a:ext>
          </a:extLst>
        </xdr:cNvPr>
        <xdr:cNvCxnSpPr>
          <a:stCxn id="5" idx="1"/>
          <a:endCxn id="21" idx="1"/>
        </xdr:cNvCxnSpPr>
      </xdr:nvCxnSpPr>
      <xdr:spPr>
        <a:xfrm flipH="1">
          <a:off x="12327024" y="3573955"/>
          <a:ext cx="629118" cy="88798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134937</xdr:colOff>
      <xdr:row>14</xdr:row>
      <xdr:rowOff>182940</xdr:rowOff>
    </xdr:from>
    <xdr:to>
      <xdr:col>24</xdr:col>
      <xdr:colOff>713997</xdr:colOff>
      <xdr:row>16</xdr:row>
      <xdr:rowOff>159127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D670112B-D36A-4C4B-B723-3A675F69698D}"/>
            </a:ext>
          </a:extLst>
        </xdr:cNvPr>
        <xdr:cNvSpPr txBox="1"/>
      </xdr:nvSpPr>
      <xdr:spPr>
        <a:xfrm>
          <a:off x="11964080" y="2910416"/>
          <a:ext cx="579060" cy="41161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P</a:t>
          </a:r>
          <a:r>
            <a:rPr lang="en-US" sz="1100" baseline="-25000"/>
            <a:t>21</a:t>
          </a:r>
          <a:r>
            <a:rPr lang="en-US" sz="1100"/>
            <a:t>=</a:t>
          </a:r>
        </a:p>
      </xdr:txBody>
    </xdr:sp>
    <xdr:clientData/>
  </xdr:twoCellAnchor>
  <xdr:twoCellAnchor>
    <xdr:from>
      <xdr:col>25</xdr:col>
      <xdr:colOff>275241</xdr:colOff>
      <xdr:row>20</xdr:row>
      <xdr:rowOff>99483</xdr:rowOff>
    </xdr:from>
    <xdr:to>
      <xdr:col>26</xdr:col>
      <xdr:colOff>370492</xdr:colOff>
      <xdr:row>23</xdr:row>
      <xdr:rowOff>21241</xdr:rowOff>
    </xdr:to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1D4CD922-A866-3E4F-9D66-96312279F80E}"/>
            </a:ext>
          </a:extLst>
        </xdr:cNvPr>
        <xdr:cNvSpPr txBox="1"/>
      </xdr:nvSpPr>
      <xdr:spPr>
        <a:xfrm>
          <a:off x="12981289" y="4060673"/>
          <a:ext cx="579060" cy="41161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P</a:t>
          </a:r>
          <a:r>
            <a:rPr lang="en-US" sz="1100" baseline="-25000"/>
            <a:t>23</a:t>
          </a:r>
          <a:r>
            <a:rPr lang="en-US" sz="1100"/>
            <a:t>=</a:t>
          </a:r>
        </a:p>
      </xdr:txBody>
    </xdr:sp>
    <xdr:clientData/>
  </xdr:twoCellAnchor>
  <xdr:twoCellAnchor>
    <xdr:from>
      <xdr:col>22</xdr:col>
      <xdr:colOff>167593</xdr:colOff>
      <xdr:row>21</xdr:row>
      <xdr:rowOff>100692</xdr:rowOff>
    </xdr:from>
    <xdr:to>
      <xdr:col>22</xdr:col>
      <xdr:colOff>746653</xdr:colOff>
      <xdr:row>24</xdr:row>
      <xdr:rowOff>22451</xdr:rowOff>
    </xdr:to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668A4E9E-80C9-AA46-9E14-9CB2D5190E63}"/>
            </a:ext>
          </a:extLst>
        </xdr:cNvPr>
        <xdr:cNvSpPr txBox="1"/>
      </xdr:nvSpPr>
      <xdr:spPr>
        <a:xfrm>
          <a:off x="10763022" y="4225168"/>
          <a:ext cx="579060" cy="41161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P</a:t>
          </a:r>
          <a:r>
            <a:rPr lang="en-US" sz="1100" baseline="-25000"/>
            <a:t>13</a:t>
          </a:r>
          <a:r>
            <a:rPr lang="en-US" sz="1100"/>
            <a:t>=</a:t>
          </a:r>
        </a:p>
      </xdr:txBody>
    </xdr:sp>
    <xdr:clientData/>
  </xdr:twoCellAnchor>
  <xdr:twoCellAnchor>
    <xdr:from>
      <xdr:col>22</xdr:col>
      <xdr:colOff>168802</xdr:colOff>
      <xdr:row>18</xdr:row>
      <xdr:rowOff>156330</xdr:rowOff>
    </xdr:from>
    <xdr:to>
      <xdr:col>22</xdr:col>
      <xdr:colOff>747862</xdr:colOff>
      <xdr:row>21</xdr:row>
      <xdr:rowOff>17613</xdr:rowOff>
    </xdr:to>
    <xdr:sp macro="" textlink="">
      <xdr:nvSpPr>
        <xdr:cNvPr id="41" name="TextBox 40">
          <a:extLst>
            <a:ext uri="{FF2B5EF4-FFF2-40B4-BE49-F238E27FC236}">
              <a16:creationId xmlns:a16="http://schemas.microsoft.com/office/drawing/2014/main" id="{3680C2DB-4B23-C946-8D54-0F0A6399FCD5}"/>
            </a:ext>
          </a:extLst>
        </xdr:cNvPr>
        <xdr:cNvSpPr txBox="1"/>
      </xdr:nvSpPr>
      <xdr:spPr>
        <a:xfrm>
          <a:off x="10764231" y="3730473"/>
          <a:ext cx="579060" cy="41161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P</a:t>
          </a:r>
          <a:r>
            <a:rPr lang="en-US" sz="1100" baseline="-25000"/>
            <a:t>G1</a:t>
          </a:r>
          <a:r>
            <a:rPr lang="en-US" sz="1100"/>
            <a:t>=</a:t>
          </a:r>
        </a:p>
      </xdr:txBody>
    </xdr:sp>
    <xdr:clientData/>
  </xdr:twoCellAnchor>
  <xdr:twoCellAnchor>
    <xdr:from>
      <xdr:col>22</xdr:col>
      <xdr:colOff>163964</xdr:colOff>
      <xdr:row>19</xdr:row>
      <xdr:rowOff>127301</xdr:rowOff>
    </xdr:from>
    <xdr:to>
      <xdr:col>22</xdr:col>
      <xdr:colOff>743024</xdr:colOff>
      <xdr:row>22</xdr:row>
      <xdr:rowOff>18822</xdr:rowOff>
    </xdr:to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C8E3C3F6-059D-C044-A24C-010D42EAA87A}"/>
            </a:ext>
          </a:extLst>
        </xdr:cNvPr>
        <xdr:cNvSpPr txBox="1"/>
      </xdr:nvSpPr>
      <xdr:spPr>
        <a:xfrm>
          <a:off x="10759393" y="3894968"/>
          <a:ext cx="579060" cy="41161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Q</a:t>
          </a:r>
          <a:r>
            <a:rPr lang="en-US" sz="1100" baseline="-25000"/>
            <a:t>G1</a:t>
          </a:r>
          <a:r>
            <a:rPr lang="en-US" sz="1100"/>
            <a:t>=</a:t>
          </a:r>
        </a:p>
      </xdr:txBody>
    </xdr:sp>
    <xdr:clientData/>
  </xdr:twoCellAnchor>
  <xdr:twoCellAnchor>
    <xdr:from>
      <xdr:col>26</xdr:col>
      <xdr:colOff>399822</xdr:colOff>
      <xdr:row>16</xdr:row>
      <xdr:rowOff>94644</xdr:rowOff>
    </xdr:from>
    <xdr:to>
      <xdr:col>27</xdr:col>
      <xdr:colOff>404358</xdr:colOff>
      <xdr:row>18</xdr:row>
      <xdr:rowOff>145822</xdr:rowOff>
    </xdr:to>
    <xdr:sp macro="" textlink="">
      <xdr:nvSpPr>
        <xdr:cNvPr id="43" name="TextBox 42">
          <a:extLst>
            <a:ext uri="{FF2B5EF4-FFF2-40B4-BE49-F238E27FC236}">
              <a16:creationId xmlns:a16="http://schemas.microsoft.com/office/drawing/2014/main" id="{5A4D0983-FDB8-0648-AB43-002FAA70F54F}"/>
            </a:ext>
          </a:extLst>
        </xdr:cNvPr>
        <xdr:cNvSpPr txBox="1"/>
      </xdr:nvSpPr>
      <xdr:spPr>
        <a:xfrm>
          <a:off x="13589679" y="3257549"/>
          <a:ext cx="579060" cy="37170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P</a:t>
          </a:r>
          <a:r>
            <a:rPr lang="en-US" sz="1100" baseline="-25000"/>
            <a:t>G2</a:t>
          </a:r>
          <a:r>
            <a:rPr lang="en-US" sz="1100"/>
            <a:t>=</a:t>
          </a:r>
        </a:p>
      </xdr:txBody>
    </xdr:sp>
    <xdr:clientData/>
  </xdr:twoCellAnchor>
  <xdr:twoCellAnchor>
    <xdr:from>
      <xdr:col>26</xdr:col>
      <xdr:colOff>497793</xdr:colOff>
      <xdr:row>17</xdr:row>
      <xdr:rowOff>146654</xdr:rowOff>
    </xdr:from>
    <xdr:to>
      <xdr:col>27</xdr:col>
      <xdr:colOff>502329</xdr:colOff>
      <xdr:row>19</xdr:row>
      <xdr:rowOff>171222</xdr:rowOff>
    </xdr:to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22F2ED5B-A564-6743-92D5-A5B0BB4433DB}"/>
            </a:ext>
          </a:extLst>
        </xdr:cNvPr>
        <xdr:cNvSpPr txBox="1"/>
      </xdr:nvSpPr>
      <xdr:spPr>
        <a:xfrm>
          <a:off x="13687650" y="3527273"/>
          <a:ext cx="579060" cy="41161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Q</a:t>
          </a:r>
          <a:r>
            <a:rPr lang="en-US" sz="1100" baseline="-25000"/>
            <a:t>G2</a:t>
          </a:r>
          <a:r>
            <a:rPr lang="en-US" sz="1100"/>
            <a:t>=</a:t>
          </a:r>
        </a:p>
      </xdr:txBody>
    </xdr:sp>
    <xdr:clientData/>
  </xdr:twoCellAnchor>
  <xdr:twoCellAnchor>
    <xdr:from>
      <xdr:col>24</xdr:col>
      <xdr:colOff>739697</xdr:colOff>
      <xdr:row>24</xdr:row>
      <xdr:rowOff>92226</xdr:rowOff>
    </xdr:from>
    <xdr:to>
      <xdr:col>25</xdr:col>
      <xdr:colOff>441852</xdr:colOff>
      <xdr:row>27</xdr:row>
      <xdr:rowOff>13985</xdr:rowOff>
    </xdr:to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AF73BBCF-101A-2C47-8791-8293A3A6DBA6}"/>
            </a:ext>
          </a:extLst>
        </xdr:cNvPr>
        <xdr:cNvSpPr txBox="1"/>
      </xdr:nvSpPr>
      <xdr:spPr>
        <a:xfrm>
          <a:off x="12568840" y="4706559"/>
          <a:ext cx="579060" cy="41161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P</a:t>
          </a:r>
          <a:r>
            <a:rPr lang="en-US" sz="1100" baseline="-25000"/>
            <a:t>D3</a:t>
          </a:r>
          <a:r>
            <a:rPr lang="en-US" sz="1100"/>
            <a:t>=</a:t>
          </a:r>
        </a:p>
      </xdr:txBody>
    </xdr:sp>
    <xdr:clientData/>
  </xdr:twoCellAnchor>
  <xdr:twoCellAnchor>
    <xdr:from>
      <xdr:col>24</xdr:col>
      <xdr:colOff>873954</xdr:colOff>
      <xdr:row>25</xdr:row>
      <xdr:rowOff>93435</xdr:rowOff>
    </xdr:from>
    <xdr:to>
      <xdr:col>26</xdr:col>
      <xdr:colOff>92300</xdr:colOff>
      <xdr:row>28</xdr:row>
      <xdr:rowOff>15194</xdr:rowOff>
    </xdr:to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31E972AE-798B-F64D-BF7C-585BDE5872FD}"/>
            </a:ext>
          </a:extLst>
        </xdr:cNvPr>
        <xdr:cNvSpPr txBox="1"/>
      </xdr:nvSpPr>
      <xdr:spPr>
        <a:xfrm>
          <a:off x="12703097" y="4871054"/>
          <a:ext cx="579060" cy="41161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Q</a:t>
          </a:r>
          <a:r>
            <a:rPr lang="en-US" sz="1100" baseline="-25000"/>
            <a:t>D3</a:t>
          </a:r>
          <a:r>
            <a:rPr lang="en-US" sz="1100"/>
            <a:t>=</a:t>
          </a:r>
        </a:p>
      </xdr:txBody>
    </xdr:sp>
    <xdr:clientData/>
  </xdr:twoCellAnchor>
  <xdr:twoCellAnchor>
    <xdr:from>
      <xdr:col>23</xdr:col>
      <xdr:colOff>208717</xdr:colOff>
      <xdr:row>15</xdr:row>
      <xdr:rowOff>172055</xdr:rowOff>
    </xdr:from>
    <xdr:to>
      <xdr:col>24</xdr:col>
      <xdr:colOff>507998</xdr:colOff>
      <xdr:row>17</xdr:row>
      <xdr:rowOff>148242</xdr:rowOff>
    </xdr:to>
    <xdr:sp macro="" textlink="">
      <xdr:nvSpPr>
        <xdr:cNvPr id="47" name="TextBox 46">
          <a:extLst>
            <a:ext uri="{FF2B5EF4-FFF2-40B4-BE49-F238E27FC236}">
              <a16:creationId xmlns:a16="http://schemas.microsoft.com/office/drawing/2014/main" id="{69B1243B-043B-4143-BC16-57CB30CA35A3}"/>
            </a:ext>
          </a:extLst>
        </xdr:cNvPr>
        <xdr:cNvSpPr txBox="1"/>
      </xdr:nvSpPr>
      <xdr:spPr>
        <a:xfrm>
          <a:off x="11681050" y="3117245"/>
          <a:ext cx="656091" cy="32090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V</a:t>
          </a:r>
          <a:r>
            <a:rPr lang="en-US" sz="1100" baseline="-25000"/>
            <a:t>1</a:t>
          </a:r>
          <a:r>
            <a:rPr lang="en-US" sz="1100"/>
            <a:t>=1</a:t>
          </a:r>
          <a:r>
            <a:rPr lang="en-US" sz="1100" baseline="0"/>
            <a:t> pu</a:t>
          </a:r>
          <a:endParaRPr lang="en-US" sz="1100"/>
        </a:p>
      </xdr:txBody>
    </xdr:sp>
    <xdr:clientData/>
  </xdr:twoCellAnchor>
  <xdr:twoCellAnchor>
    <xdr:from>
      <xdr:col>24</xdr:col>
      <xdr:colOff>699784</xdr:colOff>
      <xdr:row>15</xdr:row>
      <xdr:rowOff>179312</xdr:rowOff>
    </xdr:from>
    <xdr:to>
      <xdr:col>25</xdr:col>
      <xdr:colOff>478970</xdr:colOff>
      <xdr:row>17</xdr:row>
      <xdr:rowOff>155499</xdr:rowOff>
    </xdr:to>
    <xdr:sp macro="" textlink="">
      <xdr:nvSpPr>
        <xdr:cNvPr id="48" name="TextBox 47">
          <a:extLst>
            <a:ext uri="{FF2B5EF4-FFF2-40B4-BE49-F238E27FC236}">
              <a16:creationId xmlns:a16="http://schemas.microsoft.com/office/drawing/2014/main" id="{89D85523-504A-F44A-AA7B-270F0E3CE161}"/>
            </a:ext>
          </a:extLst>
        </xdr:cNvPr>
        <xdr:cNvSpPr txBox="1"/>
      </xdr:nvSpPr>
      <xdr:spPr>
        <a:xfrm>
          <a:off x="12528927" y="3124502"/>
          <a:ext cx="656091" cy="32090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V</a:t>
          </a:r>
          <a:r>
            <a:rPr lang="en-US" sz="1100" baseline="-25000"/>
            <a:t>2</a:t>
          </a:r>
          <a:r>
            <a:rPr lang="en-US" sz="1100"/>
            <a:t>=1</a:t>
          </a:r>
          <a:r>
            <a:rPr lang="en-US" sz="1100" baseline="0"/>
            <a:t> pu</a:t>
          </a:r>
          <a:endParaRPr lang="en-US" sz="1100"/>
        </a:p>
      </xdr:txBody>
    </xdr:sp>
    <xdr:clientData/>
  </xdr:twoCellAnchor>
  <xdr:twoCellAnchor>
    <xdr:from>
      <xdr:col>22</xdr:col>
      <xdr:colOff>580041</xdr:colOff>
      <xdr:row>23</xdr:row>
      <xdr:rowOff>101902</xdr:rowOff>
    </xdr:from>
    <xdr:to>
      <xdr:col>24</xdr:col>
      <xdr:colOff>2418</xdr:colOff>
      <xdr:row>26</xdr:row>
      <xdr:rowOff>23661</xdr:rowOff>
    </xdr:to>
    <xdr:sp macro="" textlink="">
      <xdr:nvSpPr>
        <xdr:cNvPr id="49" name="TextBox 48">
          <a:extLst>
            <a:ext uri="{FF2B5EF4-FFF2-40B4-BE49-F238E27FC236}">
              <a16:creationId xmlns:a16="http://schemas.microsoft.com/office/drawing/2014/main" id="{7909D3F5-904B-AF4D-B1C4-C6BCFBCBF389}"/>
            </a:ext>
          </a:extLst>
        </xdr:cNvPr>
        <xdr:cNvSpPr txBox="1"/>
      </xdr:nvSpPr>
      <xdr:spPr>
        <a:xfrm>
          <a:off x="11175470" y="4552950"/>
          <a:ext cx="656091" cy="41161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V</a:t>
          </a:r>
          <a:r>
            <a:rPr lang="en-US" sz="1100" baseline="-25000"/>
            <a:t>3</a:t>
          </a:r>
          <a:r>
            <a:rPr lang="en-US" sz="1100"/>
            <a:t>=</a:t>
          </a:r>
        </a:p>
      </xdr:txBody>
    </xdr:sp>
    <xdr:clientData/>
  </xdr:twoCellAnchor>
  <xdr:twoCellAnchor editAs="oneCell">
    <xdr:from>
      <xdr:col>11</xdr:col>
      <xdr:colOff>42333</xdr:colOff>
      <xdr:row>10</xdr:row>
      <xdr:rowOff>30237</xdr:rowOff>
    </xdr:from>
    <xdr:to>
      <xdr:col>17</xdr:col>
      <xdr:colOff>155619</xdr:colOff>
      <xdr:row>33</xdr:row>
      <xdr:rowOff>12096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AAB540C6-91F0-784C-B4E3-FF718872B9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38571" y="1935237"/>
          <a:ext cx="2967762" cy="413657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250094</xdr:colOff>
      <xdr:row>17</xdr:row>
      <xdr:rowOff>100296</xdr:rowOff>
    </xdr:from>
    <xdr:to>
      <xdr:col>25</xdr:col>
      <xdr:colOff>295032</xdr:colOff>
      <xdr:row>19</xdr:row>
      <xdr:rowOff>80757</xdr:rowOff>
    </xdr:to>
    <xdr:sp macro="" textlink="">
      <xdr:nvSpPr>
        <xdr:cNvPr id="2" name="Rectángulo 4">
          <a:extLst>
            <a:ext uri="{FF2B5EF4-FFF2-40B4-BE49-F238E27FC236}">
              <a16:creationId xmlns:a16="http://schemas.microsoft.com/office/drawing/2014/main" id="{9F6877C2-BEA0-7B4E-B8B2-BCFE19AD0E56}"/>
            </a:ext>
          </a:extLst>
        </xdr:cNvPr>
        <xdr:cNvSpPr/>
      </xdr:nvSpPr>
      <xdr:spPr>
        <a:xfrm>
          <a:off x="12962794" y="3414996"/>
          <a:ext cx="44938" cy="361461"/>
        </a:xfrm>
        <a:prstGeom prst="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23</xdr:col>
      <xdr:colOff>670169</xdr:colOff>
      <xdr:row>17</xdr:row>
      <xdr:rowOff>103555</xdr:rowOff>
    </xdr:from>
    <xdr:to>
      <xdr:col>23</xdr:col>
      <xdr:colOff>728784</xdr:colOff>
      <xdr:row>19</xdr:row>
      <xdr:rowOff>84016</xdr:rowOff>
    </xdr:to>
    <xdr:sp macro="" textlink="">
      <xdr:nvSpPr>
        <xdr:cNvPr id="3" name="Rectángulo 6">
          <a:extLst>
            <a:ext uri="{FF2B5EF4-FFF2-40B4-BE49-F238E27FC236}">
              <a16:creationId xmlns:a16="http://schemas.microsoft.com/office/drawing/2014/main" id="{929CF7AD-4F57-9E4F-A233-F112A838D7C0}"/>
            </a:ext>
          </a:extLst>
        </xdr:cNvPr>
        <xdr:cNvSpPr/>
      </xdr:nvSpPr>
      <xdr:spPr>
        <a:xfrm>
          <a:off x="11833469" y="3418255"/>
          <a:ext cx="7815" cy="361461"/>
        </a:xfrm>
        <a:prstGeom prst="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24</xdr:col>
      <xdr:colOff>26606</xdr:colOff>
      <xdr:row>18</xdr:row>
      <xdr:rowOff>82982</xdr:rowOff>
    </xdr:from>
    <xdr:to>
      <xdr:col>25</xdr:col>
      <xdr:colOff>250094</xdr:colOff>
      <xdr:row>18</xdr:row>
      <xdr:rowOff>90526</xdr:rowOff>
    </xdr:to>
    <xdr:cxnSp macro="">
      <xdr:nvCxnSpPr>
        <xdr:cNvPr id="4" name="Conector recto de flecha 9">
          <a:extLst>
            <a:ext uri="{FF2B5EF4-FFF2-40B4-BE49-F238E27FC236}">
              <a16:creationId xmlns:a16="http://schemas.microsoft.com/office/drawing/2014/main" id="{0796C74B-4D76-BF40-BCE9-2F39AB1B3B79}"/>
            </a:ext>
          </a:extLst>
        </xdr:cNvPr>
        <xdr:cNvCxnSpPr>
          <a:stCxn id="2" idx="1"/>
          <a:endCxn id="12" idx="1"/>
        </xdr:cNvCxnSpPr>
      </xdr:nvCxnSpPr>
      <xdr:spPr>
        <a:xfrm flipH="1" flipV="1">
          <a:off x="11863006" y="3588182"/>
          <a:ext cx="1099788" cy="7544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44612</xdr:colOff>
      <xdr:row>23</xdr:row>
      <xdr:rowOff>101601</xdr:rowOff>
    </xdr:from>
    <xdr:to>
      <xdr:col>25</xdr:col>
      <xdr:colOff>74245</xdr:colOff>
      <xdr:row>23</xdr:row>
      <xdr:rowOff>167056</xdr:rowOff>
    </xdr:to>
    <xdr:sp macro="" textlink="">
      <xdr:nvSpPr>
        <xdr:cNvPr id="5" name="Rectángulo 20">
          <a:extLst>
            <a:ext uri="{FF2B5EF4-FFF2-40B4-BE49-F238E27FC236}">
              <a16:creationId xmlns:a16="http://schemas.microsoft.com/office/drawing/2014/main" id="{CF8C6B43-5832-C446-BE54-557DC4902A3C}"/>
            </a:ext>
          </a:extLst>
        </xdr:cNvPr>
        <xdr:cNvSpPr/>
      </xdr:nvSpPr>
      <xdr:spPr>
        <a:xfrm rot="5400000">
          <a:off x="12301251" y="4062862"/>
          <a:ext cx="65455" cy="905933"/>
        </a:xfrm>
        <a:prstGeom prst="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24</xdr:col>
      <xdr:colOff>26606</xdr:colOff>
      <xdr:row>18</xdr:row>
      <xdr:rowOff>82983</xdr:rowOff>
    </xdr:from>
    <xdr:to>
      <xdr:col>24</xdr:col>
      <xdr:colOff>495991</xdr:colOff>
      <xdr:row>23</xdr:row>
      <xdr:rowOff>101602</xdr:rowOff>
    </xdr:to>
    <xdr:cxnSp macro="">
      <xdr:nvCxnSpPr>
        <xdr:cNvPr id="6" name="Conector recto de flecha 21">
          <a:extLst>
            <a:ext uri="{FF2B5EF4-FFF2-40B4-BE49-F238E27FC236}">
              <a16:creationId xmlns:a16="http://schemas.microsoft.com/office/drawing/2014/main" id="{B6CEB11D-0C52-054A-AC4B-2F46645D1695}"/>
            </a:ext>
          </a:extLst>
        </xdr:cNvPr>
        <xdr:cNvCxnSpPr>
          <a:stCxn id="12" idx="1"/>
          <a:endCxn id="5" idx="1"/>
        </xdr:cNvCxnSpPr>
      </xdr:nvCxnSpPr>
      <xdr:spPr>
        <a:xfrm>
          <a:off x="11863006" y="3588183"/>
          <a:ext cx="469385" cy="894919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455705</xdr:colOff>
      <xdr:row>23</xdr:row>
      <xdr:rowOff>152116</xdr:rowOff>
    </xdr:from>
    <xdr:to>
      <xdr:col>24</xdr:col>
      <xdr:colOff>457859</xdr:colOff>
      <xdr:row>26</xdr:row>
      <xdr:rowOff>134470</xdr:rowOff>
    </xdr:to>
    <xdr:cxnSp macro="">
      <xdr:nvCxnSpPr>
        <xdr:cNvPr id="7" name="Conector recto de flecha 10">
          <a:extLst>
            <a:ext uri="{FF2B5EF4-FFF2-40B4-BE49-F238E27FC236}">
              <a16:creationId xmlns:a16="http://schemas.microsoft.com/office/drawing/2014/main" id="{A4A5CADD-4814-7745-B10A-7306409F1394}"/>
            </a:ext>
          </a:extLst>
        </xdr:cNvPr>
        <xdr:cNvCxnSpPr/>
      </xdr:nvCxnSpPr>
      <xdr:spPr>
        <a:xfrm flipH="1">
          <a:off x="12292105" y="4533616"/>
          <a:ext cx="2154" cy="477654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791804</xdr:colOff>
      <xdr:row>17</xdr:row>
      <xdr:rowOff>120104</xdr:rowOff>
    </xdr:from>
    <xdr:to>
      <xdr:col>23</xdr:col>
      <xdr:colOff>352669</xdr:colOff>
      <xdr:row>18</xdr:row>
      <xdr:rowOff>93786</xdr:rowOff>
    </xdr:to>
    <xdr:cxnSp macro="">
      <xdr:nvCxnSpPr>
        <xdr:cNvPr id="8" name="Conector recto de flecha 27">
          <a:extLst>
            <a:ext uri="{FF2B5EF4-FFF2-40B4-BE49-F238E27FC236}">
              <a16:creationId xmlns:a16="http://schemas.microsoft.com/office/drawing/2014/main" id="{E10D3240-C03D-6A40-91A1-825F66E915CD}"/>
            </a:ext>
          </a:extLst>
        </xdr:cNvPr>
        <xdr:cNvCxnSpPr>
          <a:cxnSpLocks/>
          <a:endCxn id="3" idx="1"/>
        </xdr:cNvCxnSpPr>
      </xdr:nvCxnSpPr>
      <xdr:spPr>
        <a:xfrm>
          <a:off x="11396304" y="3434804"/>
          <a:ext cx="437165" cy="164182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295032</xdr:colOff>
      <xdr:row>18</xdr:row>
      <xdr:rowOff>90526</xdr:rowOff>
    </xdr:from>
    <xdr:to>
      <xdr:col>26</xdr:col>
      <xdr:colOff>25348</xdr:colOff>
      <xdr:row>18</xdr:row>
      <xdr:rowOff>93537</xdr:rowOff>
    </xdr:to>
    <xdr:cxnSp macro="">
      <xdr:nvCxnSpPr>
        <xdr:cNvPr id="9" name="Conector recto de flecha 31">
          <a:extLst>
            <a:ext uri="{FF2B5EF4-FFF2-40B4-BE49-F238E27FC236}">
              <a16:creationId xmlns:a16="http://schemas.microsoft.com/office/drawing/2014/main" id="{B94A77C4-4107-4C4C-BA4E-6B41AAEA6D1B}"/>
            </a:ext>
          </a:extLst>
        </xdr:cNvPr>
        <xdr:cNvCxnSpPr>
          <a:cxnSpLocks/>
          <a:stCxn id="19" idx="2"/>
          <a:endCxn id="2" idx="3"/>
        </xdr:cNvCxnSpPr>
      </xdr:nvCxnSpPr>
      <xdr:spPr>
        <a:xfrm flipH="1" flipV="1">
          <a:off x="13007732" y="3595726"/>
          <a:ext cx="212916" cy="3011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171824</xdr:colOff>
      <xdr:row>0</xdr:row>
      <xdr:rowOff>0</xdr:rowOff>
    </xdr:from>
    <xdr:to>
      <xdr:col>3</xdr:col>
      <xdr:colOff>192339</xdr:colOff>
      <xdr:row>5</xdr:row>
      <xdr:rowOff>2883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82CF9A1-86EE-B142-AF32-59EDE21617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1824" y="0"/>
          <a:ext cx="2116015" cy="929983"/>
        </a:xfrm>
        <a:prstGeom prst="rect">
          <a:avLst/>
        </a:prstGeom>
      </xdr:spPr>
    </xdr:pic>
    <xdr:clientData/>
  </xdr:twoCellAnchor>
  <xdr:twoCellAnchor>
    <xdr:from>
      <xdr:col>10</xdr:col>
      <xdr:colOff>619125</xdr:colOff>
      <xdr:row>38</xdr:row>
      <xdr:rowOff>95250</xdr:rowOff>
    </xdr:from>
    <xdr:to>
      <xdr:col>11</xdr:col>
      <xdr:colOff>642938</xdr:colOff>
      <xdr:row>38</xdr:row>
      <xdr:rowOff>103188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55CD5F7F-726B-F94E-B394-11063210CEA3}"/>
            </a:ext>
          </a:extLst>
        </xdr:cNvPr>
        <xdr:cNvCxnSpPr/>
      </xdr:nvCxnSpPr>
      <xdr:spPr>
        <a:xfrm flipV="1">
          <a:off x="7350125" y="7054850"/>
          <a:ext cx="696913" cy="793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312959</xdr:colOff>
      <xdr:row>17</xdr:row>
      <xdr:rowOff>93901</xdr:rowOff>
    </xdr:from>
    <xdr:to>
      <xdr:col>24</xdr:col>
      <xdr:colOff>26606</xdr:colOff>
      <xdr:row>19</xdr:row>
      <xdr:rowOff>72064</xdr:rowOff>
    </xdr:to>
    <xdr:sp macro="" textlink="">
      <xdr:nvSpPr>
        <xdr:cNvPr id="12" name="Rectángulo 6">
          <a:extLst>
            <a:ext uri="{FF2B5EF4-FFF2-40B4-BE49-F238E27FC236}">
              <a16:creationId xmlns:a16="http://schemas.microsoft.com/office/drawing/2014/main" id="{C3346943-9DC7-6349-BBBC-E51EA7DA9064}"/>
            </a:ext>
          </a:extLst>
        </xdr:cNvPr>
        <xdr:cNvSpPr/>
      </xdr:nvSpPr>
      <xdr:spPr>
        <a:xfrm flipH="1">
          <a:off x="11793759" y="3408601"/>
          <a:ext cx="69247" cy="359163"/>
        </a:xfrm>
        <a:prstGeom prst="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22</xdr:col>
      <xdr:colOff>368905</xdr:colOff>
      <xdr:row>16</xdr:row>
      <xdr:rowOff>36285</xdr:rowOff>
    </xdr:from>
    <xdr:to>
      <xdr:col>22</xdr:col>
      <xdr:colOff>831089</xdr:colOff>
      <xdr:row>18</xdr:row>
      <xdr:rowOff>75410</xdr:rowOff>
    </xdr:to>
    <xdr:grpSp>
      <xdr:nvGrpSpPr>
        <xdr:cNvPr id="13" name="Agrupar 51">
          <a:extLst>
            <a:ext uri="{FF2B5EF4-FFF2-40B4-BE49-F238E27FC236}">
              <a16:creationId xmlns:a16="http://schemas.microsoft.com/office/drawing/2014/main" id="{BC828378-54B0-F04E-9A23-38E054203636}"/>
            </a:ext>
          </a:extLst>
        </xdr:cNvPr>
        <xdr:cNvGrpSpPr/>
      </xdr:nvGrpSpPr>
      <xdr:grpSpPr>
        <a:xfrm>
          <a:off x="10964334" y="3199190"/>
          <a:ext cx="462184" cy="426172"/>
          <a:chOff x="513989" y="2399805"/>
          <a:chExt cx="713232" cy="713205"/>
        </a:xfrm>
        <a:solidFill>
          <a:srgbClr val="FFC000"/>
        </a:solidFill>
      </xdr:grpSpPr>
      <xdr:sp macro="" textlink="">
        <xdr:nvSpPr>
          <xdr:cNvPr id="14" name="Elipse 24">
            <a:extLst>
              <a:ext uri="{FF2B5EF4-FFF2-40B4-BE49-F238E27FC236}">
                <a16:creationId xmlns:a16="http://schemas.microsoft.com/office/drawing/2014/main" id="{EC0DBC91-CAF7-4F48-9D31-8624693F361B}"/>
              </a:ext>
            </a:extLst>
          </xdr:cNvPr>
          <xdr:cNvSpPr/>
        </xdr:nvSpPr>
        <xdr:spPr>
          <a:xfrm>
            <a:off x="513989" y="2399805"/>
            <a:ext cx="713232" cy="713205"/>
          </a:xfrm>
          <a:prstGeom prst="ellipse">
            <a:avLst/>
          </a:prstGeom>
          <a:grpFill/>
          <a:ln w="12700" cmpd="sng">
            <a:solidFill>
              <a:schemeClr val="tx1"/>
            </a:solidFill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s-CO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 sz="5400"/>
          </a:p>
        </xdr:txBody>
      </xdr:sp>
      <xdr:grpSp>
        <xdr:nvGrpSpPr>
          <xdr:cNvPr id="15" name="Agrupar 50">
            <a:extLst>
              <a:ext uri="{FF2B5EF4-FFF2-40B4-BE49-F238E27FC236}">
                <a16:creationId xmlns:a16="http://schemas.microsoft.com/office/drawing/2014/main" id="{92BA5040-4B57-2D44-BF5A-DBBFEFBC42D3}"/>
              </a:ext>
            </a:extLst>
          </xdr:cNvPr>
          <xdr:cNvGrpSpPr/>
        </xdr:nvGrpSpPr>
        <xdr:grpSpPr>
          <a:xfrm>
            <a:off x="640043" y="2583347"/>
            <a:ext cx="473632" cy="331761"/>
            <a:chOff x="870606" y="4138532"/>
            <a:chExt cx="473632" cy="331761"/>
          </a:xfrm>
          <a:grpFill/>
        </xdr:grpSpPr>
        <xdr:sp macro="" textlink="">
          <xdr:nvSpPr>
            <xdr:cNvPr id="16" name="Arco 25">
              <a:extLst>
                <a:ext uri="{FF2B5EF4-FFF2-40B4-BE49-F238E27FC236}">
                  <a16:creationId xmlns:a16="http://schemas.microsoft.com/office/drawing/2014/main" id="{013E87DC-6347-2F46-B94E-F0395889A1A4}"/>
                </a:ext>
              </a:extLst>
            </xdr:cNvPr>
            <xdr:cNvSpPr/>
          </xdr:nvSpPr>
          <xdr:spPr>
            <a:xfrm rot="10800000" flipV="1">
              <a:off x="870606" y="4202009"/>
              <a:ext cx="224650" cy="268284"/>
            </a:xfrm>
            <a:prstGeom prst="arc">
              <a:avLst>
                <a:gd name="adj1" fmla="val 10746619"/>
                <a:gd name="adj2" fmla="val 0"/>
              </a:avLst>
            </a:prstGeom>
            <a:grpFill/>
            <a:ln w="12700" cmpd="sng">
              <a:solidFill>
                <a:schemeClr val="tx1"/>
              </a:solidFill>
            </a:ln>
            <a:effectLst/>
          </xdr:spPr>
          <xdr:style>
            <a:lnRef idx="2">
              <a:schemeClr val="accent1"/>
            </a:lnRef>
            <a:fillRef idx="0">
              <a:schemeClr val="accent1"/>
            </a:fillRef>
            <a:effectRef idx="1">
              <a:schemeClr val="accent1"/>
            </a:effectRef>
            <a:fontRef idx="minor">
              <a:schemeClr val="tx1"/>
            </a:fontRef>
          </xdr:style>
          <xdr:txBody>
            <a:bodyPr wrap="square" rtlCol="0" anchor="ctr"/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 sz="6000"/>
            </a:p>
          </xdr:txBody>
        </xdr:sp>
        <xdr:sp macro="" textlink="">
          <xdr:nvSpPr>
            <xdr:cNvPr id="17" name="Arco 26">
              <a:extLst>
                <a:ext uri="{FF2B5EF4-FFF2-40B4-BE49-F238E27FC236}">
                  <a16:creationId xmlns:a16="http://schemas.microsoft.com/office/drawing/2014/main" id="{99A8C034-D8DD-2049-8C54-15FFA773A5C5}"/>
                </a:ext>
              </a:extLst>
            </xdr:cNvPr>
            <xdr:cNvSpPr/>
          </xdr:nvSpPr>
          <xdr:spPr>
            <a:xfrm flipV="1">
              <a:off x="1095268" y="4138532"/>
              <a:ext cx="248970" cy="331757"/>
            </a:xfrm>
            <a:prstGeom prst="arc">
              <a:avLst>
                <a:gd name="adj1" fmla="val 10746619"/>
                <a:gd name="adj2" fmla="val 0"/>
              </a:avLst>
            </a:prstGeom>
            <a:grpFill/>
            <a:ln w="12700" cmpd="sng">
              <a:solidFill>
                <a:schemeClr val="tx1"/>
              </a:solidFill>
            </a:ln>
            <a:effectLst/>
          </xdr:spPr>
          <xdr:style>
            <a:lnRef idx="2">
              <a:schemeClr val="accent1"/>
            </a:lnRef>
            <a:fillRef idx="0">
              <a:schemeClr val="accent1"/>
            </a:fillRef>
            <a:effectRef idx="1">
              <a:schemeClr val="accent1"/>
            </a:effectRef>
            <a:fontRef idx="minor">
              <a:schemeClr val="tx1"/>
            </a:fontRef>
          </xdr:style>
          <xdr:txBody>
            <a:bodyPr wrap="square" rtlCol="0" anchor="ctr"/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 sz="6000"/>
            </a:p>
          </xdr:txBody>
        </xdr:sp>
      </xdr:grpSp>
    </xdr:grpSp>
    <xdr:clientData/>
  </xdr:twoCellAnchor>
  <xdr:twoCellAnchor>
    <xdr:from>
      <xdr:col>26</xdr:col>
      <xdr:colOff>25348</xdr:colOff>
      <xdr:row>17</xdr:row>
      <xdr:rowOff>102405</xdr:rowOff>
    </xdr:from>
    <xdr:to>
      <xdr:col>26</xdr:col>
      <xdr:colOff>447525</xdr:colOff>
      <xdr:row>19</xdr:row>
      <xdr:rowOff>84670</xdr:rowOff>
    </xdr:to>
    <xdr:grpSp>
      <xdr:nvGrpSpPr>
        <xdr:cNvPr id="18" name="Agrupar 51">
          <a:extLst>
            <a:ext uri="{FF2B5EF4-FFF2-40B4-BE49-F238E27FC236}">
              <a16:creationId xmlns:a16="http://schemas.microsoft.com/office/drawing/2014/main" id="{FB4B84BE-405B-0047-8F74-1DEB1BC4139A}"/>
            </a:ext>
          </a:extLst>
        </xdr:cNvPr>
        <xdr:cNvGrpSpPr/>
      </xdr:nvGrpSpPr>
      <xdr:grpSpPr>
        <a:xfrm>
          <a:off x="13215205" y="3458834"/>
          <a:ext cx="422177" cy="369312"/>
          <a:chOff x="513989" y="2399805"/>
          <a:chExt cx="713232" cy="713205"/>
        </a:xfrm>
      </xdr:grpSpPr>
      <xdr:sp macro="" textlink="">
        <xdr:nvSpPr>
          <xdr:cNvPr id="19" name="Elipse 24">
            <a:extLst>
              <a:ext uri="{FF2B5EF4-FFF2-40B4-BE49-F238E27FC236}">
                <a16:creationId xmlns:a16="http://schemas.microsoft.com/office/drawing/2014/main" id="{05D529B7-98C8-444A-B892-5F5D0B8FF6B6}"/>
              </a:ext>
            </a:extLst>
          </xdr:cNvPr>
          <xdr:cNvSpPr/>
        </xdr:nvSpPr>
        <xdr:spPr>
          <a:xfrm>
            <a:off x="513989" y="2399805"/>
            <a:ext cx="713232" cy="713205"/>
          </a:xfrm>
          <a:prstGeom prst="ellipse">
            <a:avLst/>
          </a:prstGeom>
          <a:solidFill>
            <a:srgbClr val="FF0000">
              <a:alpha val="36000"/>
            </a:srgbClr>
          </a:solidFill>
          <a:ln w="12700" cmpd="sng">
            <a:solidFill>
              <a:schemeClr val="tx1"/>
            </a:solidFill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s-CO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 sz="5400"/>
          </a:p>
        </xdr:txBody>
      </xdr:sp>
      <xdr:grpSp>
        <xdr:nvGrpSpPr>
          <xdr:cNvPr id="20" name="Agrupar 50">
            <a:extLst>
              <a:ext uri="{FF2B5EF4-FFF2-40B4-BE49-F238E27FC236}">
                <a16:creationId xmlns:a16="http://schemas.microsoft.com/office/drawing/2014/main" id="{B967B148-2E69-CF4A-82A8-CB409C8F21B9}"/>
              </a:ext>
            </a:extLst>
          </xdr:cNvPr>
          <xdr:cNvGrpSpPr/>
        </xdr:nvGrpSpPr>
        <xdr:grpSpPr>
          <a:xfrm>
            <a:off x="640043" y="2583347"/>
            <a:ext cx="473632" cy="331761"/>
            <a:chOff x="870606" y="4138532"/>
            <a:chExt cx="473632" cy="331761"/>
          </a:xfrm>
        </xdr:grpSpPr>
        <xdr:sp macro="" textlink="">
          <xdr:nvSpPr>
            <xdr:cNvPr id="21" name="Arco 25">
              <a:extLst>
                <a:ext uri="{FF2B5EF4-FFF2-40B4-BE49-F238E27FC236}">
                  <a16:creationId xmlns:a16="http://schemas.microsoft.com/office/drawing/2014/main" id="{E667EBE2-C774-9F44-9AE9-07FAA53AB8BB}"/>
                </a:ext>
              </a:extLst>
            </xdr:cNvPr>
            <xdr:cNvSpPr/>
          </xdr:nvSpPr>
          <xdr:spPr>
            <a:xfrm rot="10800000" flipV="1">
              <a:off x="870606" y="4202009"/>
              <a:ext cx="224650" cy="268284"/>
            </a:xfrm>
            <a:prstGeom prst="arc">
              <a:avLst>
                <a:gd name="adj1" fmla="val 10746619"/>
                <a:gd name="adj2" fmla="val 0"/>
              </a:avLst>
            </a:prstGeom>
            <a:ln w="12700" cmpd="sng">
              <a:solidFill>
                <a:schemeClr val="tx1"/>
              </a:solidFill>
            </a:ln>
            <a:effectLst/>
          </xdr:spPr>
          <xdr:style>
            <a:lnRef idx="2">
              <a:schemeClr val="accent1"/>
            </a:lnRef>
            <a:fillRef idx="0">
              <a:schemeClr val="accent1"/>
            </a:fillRef>
            <a:effectRef idx="1">
              <a:schemeClr val="accent1"/>
            </a:effectRef>
            <a:fontRef idx="minor">
              <a:schemeClr val="tx1"/>
            </a:fontRef>
          </xdr:style>
          <xdr:txBody>
            <a:bodyPr wrap="square" rtlCol="0" anchor="ctr"/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 sz="6000"/>
            </a:p>
          </xdr:txBody>
        </xdr:sp>
        <xdr:sp macro="" textlink="">
          <xdr:nvSpPr>
            <xdr:cNvPr id="22" name="Arco 26">
              <a:extLst>
                <a:ext uri="{FF2B5EF4-FFF2-40B4-BE49-F238E27FC236}">
                  <a16:creationId xmlns:a16="http://schemas.microsoft.com/office/drawing/2014/main" id="{7F895BBB-0C58-A94C-9809-FA1934C426AA}"/>
                </a:ext>
              </a:extLst>
            </xdr:cNvPr>
            <xdr:cNvSpPr/>
          </xdr:nvSpPr>
          <xdr:spPr>
            <a:xfrm flipV="1">
              <a:off x="1095268" y="4138532"/>
              <a:ext cx="248970" cy="331757"/>
            </a:xfrm>
            <a:prstGeom prst="arc">
              <a:avLst>
                <a:gd name="adj1" fmla="val 10746619"/>
                <a:gd name="adj2" fmla="val 0"/>
              </a:avLst>
            </a:prstGeom>
            <a:ln w="12700" cmpd="sng">
              <a:solidFill>
                <a:schemeClr val="tx1"/>
              </a:solidFill>
            </a:ln>
            <a:effectLst/>
          </xdr:spPr>
          <xdr:style>
            <a:lnRef idx="2">
              <a:schemeClr val="accent1"/>
            </a:lnRef>
            <a:fillRef idx="0">
              <a:schemeClr val="accent1"/>
            </a:fillRef>
            <a:effectRef idx="1">
              <a:schemeClr val="accent1"/>
            </a:effectRef>
            <a:fontRef idx="minor">
              <a:schemeClr val="tx1"/>
            </a:fontRef>
          </xdr:style>
          <xdr:txBody>
            <a:bodyPr wrap="square" rtlCol="0" anchor="ctr"/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 sz="6000"/>
            </a:p>
          </xdr:txBody>
        </xdr:sp>
      </xdr:grpSp>
    </xdr:grpSp>
    <xdr:clientData/>
  </xdr:twoCellAnchor>
  <xdr:twoCellAnchor>
    <xdr:from>
      <xdr:col>24</xdr:col>
      <xdr:colOff>497881</xdr:colOff>
      <xdr:row>18</xdr:row>
      <xdr:rowOff>90526</xdr:rowOff>
    </xdr:from>
    <xdr:to>
      <xdr:col>25</xdr:col>
      <xdr:colOff>250094</xdr:colOff>
      <xdr:row>23</xdr:row>
      <xdr:rowOff>101602</xdr:rowOff>
    </xdr:to>
    <xdr:cxnSp macro="">
      <xdr:nvCxnSpPr>
        <xdr:cNvPr id="23" name="Conector recto de flecha 21">
          <a:extLst>
            <a:ext uri="{FF2B5EF4-FFF2-40B4-BE49-F238E27FC236}">
              <a16:creationId xmlns:a16="http://schemas.microsoft.com/office/drawing/2014/main" id="{1F8E93C1-DAF6-E34E-AC33-02AFAD9A22B4}"/>
            </a:ext>
          </a:extLst>
        </xdr:cNvPr>
        <xdr:cNvCxnSpPr>
          <a:stCxn id="2" idx="1"/>
          <a:endCxn id="5" idx="1"/>
        </xdr:cNvCxnSpPr>
      </xdr:nvCxnSpPr>
      <xdr:spPr>
        <a:xfrm flipH="1">
          <a:off x="12334281" y="3595726"/>
          <a:ext cx="628513" cy="887376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134937</xdr:colOff>
      <xdr:row>14</xdr:row>
      <xdr:rowOff>182940</xdr:rowOff>
    </xdr:from>
    <xdr:to>
      <xdr:col>24</xdr:col>
      <xdr:colOff>713997</xdr:colOff>
      <xdr:row>16</xdr:row>
      <xdr:rowOff>159127</xdr:rowOff>
    </xdr:to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3999CF70-426F-E14F-9928-C048D2793978}"/>
            </a:ext>
          </a:extLst>
        </xdr:cNvPr>
        <xdr:cNvSpPr txBox="1"/>
      </xdr:nvSpPr>
      <xdr:spPr>
        <a:xfrm>
          <a:off x="11971337" y="2875340"/>
          <a:ext cx="579060" cy="40798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P</a:t>
          </a:r>
          <a:r>
            <a:rPr lang="en-US" sz="1100" baseline="-25000"/>
            <a:t>21</a:t>
          </a:r>
          <a:r>
            <a:rPr lang="en-US" sz="1100"/>
            <a:t>=</a:t>
          </a:r>
        </a:p>
      </xdr:txBody>
    </xdr:sp>
    <xdr:clientData/>
  </xdr:twoCellAnchor>
  <xdr:twoCellAnchor>
    <xdr:from>
      <xdr:col>25</xdr:col>
      <xdr:colOff>275241</xdr:colOff>
      <xdr:row>20</xdr:row>
      <xdr:rowOff>99483</xdr:rowOff>
    </xdr:from>
    <xdr:to>
      <xdr:col>26</xdr:col>
      <xdr:colOff>370492</xdr:colOff>
      <xdr:row>23</xdr:row>
      <xdr:rowOff>21241</xdr:rowOff>
    </xdr:to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1B3BD391-34DD-5E4D-8BA5-F7BEF0A6DF2D}"/>
            </a:ext>
          </a:extLst>
        </xdr:cNvPr>
        <xdr:cNvSpPr txBox="1"/>
      </xdr:nvSpPr>
      <xdr:spPr>
        <a:xfrm>
          <a:off x="12987941" y="3985683"/>
          <a:ext cx="577851" cy="41705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P</a:t>
          </a:r>
          <a:r>
            <a:rPr lang="en-US" sz="1100" baseline="-25000"/>
            <a:t>23</a:t>
          </a:r>
          <a:r>
            <a:rPr lang="en-US" sz="1100"/>
            <a:t>=</a:t>
          </a:r>
        </a:p>
      </xdr:txBody>
    </xdr:sp>
    <xdr:clientData/>
  </xdr:twoCellAnchor>
  <xdr:twoCellAnchor>
    <xdr:from>
      <xdr:col>22</xdr:col>
      <xdr:colOff>95022</xdr:colOff>
      <xdr:row>21</xdr:row>
      <xdr:rowOff>124882</xdr:rowOff>
    </xdr:from>
    <xdr:to>
      <xdr:col>22</xdr:col>
      <xdr:colOff>674082</xdr:colOff>
      <xdr:row>24</xdr:row>
      <xdr:rowOff>46641</xdr:rowOff>
    </xdr:to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CFC1D008-5DDE-4948-BD2A-9B6A26D24C75}"/>
            </a:ext>
          </a:extLst>
        </xdr:cNvPr>
        <xdr:cNvSpPr txBox="1"/>
      </xdr:nvSpPr>
      <xdr:spPr>
        <a:xfrm>
          <a:off x="10690451" y="4225168"/>
          <a:ext cx="579060" cy="41161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P</a:t>
          </a:r>
          <a:r>
            <a:rPr lang="en-US" sz="1100" baseline="-25000"/>
            <a:t>13</a:t>
          </a:r>
          <a:r>
            <a:rPr lang="en-US" sz="1100"/>
            <a:t>=</a:t>
          </a:r>
        </a:p>
      </xdr:txBody>
    </xdr:sp>
    <xdr:clientData/>
  </xdr:twoCellAnchor>
  <xdr:twoCellAnchor>
    <xdr:from>
      <xdr:col>22</xdr:col>
      <xdr:colOff>168802</xdr:colOff>
      <xdr:row>18</xdr:row>
      <xdr:rowOff>156330</xdr:rowOff>
    </xdr:from>
    <xdr:to>
      <xdr:col>22</xdr:col>
      <xdr:colOff>747862</xdr:colOff>
      <xdr:row>21</xdr:row>
      <xdr:rowOff>17613</xdr:rowOff>
    </xdr:to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FEF17551-C1BE-5A4A-BC54-0C88BC91DED6}"/>
            </a:ext>
          </a:extLst>
        </xdr:cNvPr>
        <xdr:cNvSpPr txBox="1"/>
      </xdr:nvSpPr>
      <xdr:spPr>
        <a:xfrm>
          <a:off x="10773302" y="3661530"/>
          <a:ext cx="579060" cy="40738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P</a:t>
          </a:r>
          <a:r>
            <a:rPr lang="en-US" sz="1100" baseline="-25000"/>
            <a:t>G1</a:t>
          </a:r>
          <a:r>
            <a:rPr lang="en-US" sz="1100"/>
            <a:t>=</a:t>
          </a:r>
        </a:p>
      </xdr:txBody>
    </xdr:sp>
    <xdr:clientData/>
  </xdr:twoCellAnchor>
  <xdr:twoCellAnchor>
    <xdr:from>
      <xdr:col>22</xdr:col>
      <xdr:colOff>163964</xdr:colOff>
      <xdr:row>19</xdr:row>
      <xdr:rowOff>127301</xdr:rowOff>
    </xdr:from>
    <xdr:to>
      <xdr:col>22</xdr:col>
      <xdr:colOff>743024</xdr:colOff>
      <xdr:row>22</xdr:row>
      <xdr:rowOff>18822</xdr:rowOff>
    </xdr:to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DFC967D2-7985-3944-B9C9-AAABEB5BFC2F}"/>
            </a:ext>
          </a:extLst>
        </xdr:cNvPr>
        <xdr:cNvSpPr txBox="1"/>
      </xdr:nvSpPr>
      <xdr:spPr>
        <a:xfrm>
          <a:off x="10768464" y="3823001"/>
          <a:ext cx="579060" cy="41222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Q</a:t>
          </a:r>
          <a:r>
            <a:rPr lang="en-US" sz="1100" baseline="-25000"/>
            <a:t>G1</a:t>
          </a:r>
          <a:r>
            <a:rPr lang="en-US" sz="1100"/>
            <a:t>=</a:t>
          </a:r>
        </a:p>
      </xdr:txBody>
    </xdr:sp>
    <xdr:clientData/>
  </xdr:twoCellAnchor>
  <xdr:twoCellAnchor>
    <xdr:from>
      <xdr:col>26</xdr:col>
      <xdr:colOff>399822</xdr:colOff>
      <xdr:row>16</xdr:row>
      <xdr:rowOff>94644</xdr:rowOff>
    </xdr:from>
    <xdr:to>
      <xdr:col>27</xdr:col>
      <xdr:colOff>404358</xdr:colOff>
      <xdr:row>18</xdr:row>
      <xdr:rowOff>145822</xdr:rowOff>
    </xdr:to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AB10AC46-E334-0F45-9E80-90B94201896F}"/>
            </a:ext>
          </a:extLst>
        </xdr:cNvPr>
        <xdr:cNvSpPr txBox="1"/>
      </xdr:nvSpPr>
      <xdr:spPr>
        <a:xfrm>
          <a:off x="13595122" y="3218844"/>
          <a:ext cx="576036" cy="4321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P</a:t>
          </a:r>
          <a:r>
            <a:rPr lang="en-US" sz="1100" baseline="-25000"/>
            <a:t>G2</a:t>
          </a:r>
          <a:r>
            <a:rPr lang="en-US" sz="1100"/>
            <a:t>=</a:t>
          </a:r>
        </a:p>
      </xdr:txBody>
    </xdr:sp>
    <xdr:clientData/>
  </xdr:twoCellAnchor>
  <xdr:twoCellAnchor>
    <xdr:from>
      <xdr:col>26</xdr:col>
      <xdr:colOff>497793</xdr:colOff>
      <xdr:row>17</xdr:row>
      <xdr:rowOff>146654</xdr:rowOff>
    </xdr:from>
    <xdr:to>
      <xdr:col>27</xdr:col>
      <xdr:colOff>502329</xdr:colOff>
      <xdr:row>19</xdr:row>
      <xdr:rowOff>171222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018E05A9-01CC-CC40-AC5E-BB2375932B15}"/>
            </a:ext>
          </a:extLst>
        </xdr:cNvPr>
        <xdr:cNvSpPr txBox="1"/>
      </xdr:nvSpPr>
      <xdr:spPr>
        <a:xfrm>
          <a:off x="13693093" y="3461354"/>
          <a:ext cx="576036" cy="4055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Q</a:t>
          </a:r>
          <a:r>
            <a:rPr lang="en-US" sz="1100" baseline="-25000"/>
            <a:t>G2</a:t>
          </a:r>
          <a:r>
            <a:rPr lang="en-US" sz="1100"/>
            <a:t>=</a:t>
          </a:r>
        </a:p>
      </xdr:txBody>
    </xdr:sp>
    <xdr:clientData/>
  </xdr:twoCellAnchor>
  <xdr:twoCellAnchor>
    <xdr:from>
      <xdr:col>24</xdr:col>
      <xdr:colOff>739697</xdr:colOff>
      <xdr:row>24</xdr:row>
      <xdr:rowOff>92226</xdr:rowOff>
    </xdr:from>
    <xdr:to>
      <xdr:col>25</xdr:col>
      <xdr:colOff>441852</xdr:colOff>
      <xdr:row>27</xdr:row>
      <xdr:rowOff>13985</xdr:rowOff>
    </xdr:to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AD47DD3E-7845-2647-BBD1-E875FAC73CAE}"/>
            </a:ext>
          </a:extLst>
        </xdr:cNvPr>
        <xdr:cNvSpPr txBox="1"/>
      </xdr:nvSpPr>
      <xdr:spPr>
        <a:xfrm>
          <a:off x="12576097" y="4638826"/>
          <a:ext cx="578455" cy="41705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P</a:t>
          </a:r>
          <a:r>
            <a:rPr lang="en-US" sz="1100" baseline="-25000"/>
            <a:t>D3</a:t>
          </a:r>
          <a:r>
            <a:rPr lang="en-US" sz="1100"/>
            <a:t>=</a:t>
          </a:r>
        </a:p>
      </xdr:txBody>
    </xdr:sp>
    <xdr:clientData/>
  </xdr:twoCellAnchor>
  <xdr:twoCellAnchor>
    <xdr:from>
      <xdr:col>24</xdr:col>
      <xdr:colOff>873954</xdr:colOff>
      <xdr:row>25</xdr:row>
      <xdr:rowOff>93435</xdr:rowOff>
    </xdr:from>
    <xdr:to>
      <xdr:col>26</xdr:col>
      <xdr:colOff>92300</xdr:colOff>
      <xdr:row>28</xdr:row>
      <xdr:rowOff>15194</xdr:rowOff>
    </xdr:to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3B985398-31DE-E74B-AE85-0CC26AC4628F}"/>
            </a:ext>
          </a:extLst>
        </xdr:cNvPr>
        <xdr:cNvSpPr txBox="1"/>
      </xdr:nvSpPr>
      <xdr:spPr>
        <a:xfrm>
          <a:off x="12710354" y="4805135"/>
          <a:ext cx="577246" cy="41705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Q</a:t>
          </a:r>
          <a:r>
            <a:rPr lang="en-US" sz="1100" baseline="-25000"/>
            <a:t>D3</a:t>
          </a:r>
          <a:r>
            <a:rPr lang="en-US" sz="1100"/>
            <a:t>=</a:t>
          </a:r>
        </a:p>
      </xdr:txBody>
    </xdr:sp>
    <xdr:clientData/>
  </xdr:twoCellAnchor>
  <xdr:twoCellAnchor>
    <xdr:from>
      <xdr:col>23</xdr:col>
      <xdr:colOff>208717</xdr:colOff>
      <xdr:row>15</xdr:row>
      <xdr:rowOff>172055</xdr:rowOff>
    </xdr:from>
    <xdr:to>
      <xdr:col>24</xdr:col>
      <xdr:colOff>507998</xdr:colOff>
      <xdr:row>17</xdr:row>
      <xdr:rowOff>148242</xdr:rowOff>
    </xdr:to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6010AE5F-8508-B74D-94E3-CAE9C0C1D83A}"/>
            </a:ext>
          </a:extLst>
        </xdr:cNvPr>
        <xdr:cNvSpPr txBox="1"/>
      </xdr:nvSpPr>
      <xdr:spPr>
        <a:xfrm>
          <a:off x="11689517" y="3080355"/>
          <a:ext cx="654881" cy="38258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V</a:t>
          </a:r>
          <a:r>
            <a:rPr lang="en-US" sz="1100" baseline="-25000"/>
            <a:t>1</a:t>
          </a:r>
          <a:r>
            <a:rPr lang="en-US" sz="1100"/>
            <a:t>=1</a:t>
          </a:r>
          <a:r>
            <a:rPr lang="en-US" sz="1100" baseline="0"/>
            <a:t> pu</a:t>
          </a:r>
          <a:endParaRPr lang="en-US" sz="1100"/>
        </a:p>
      </xdr:txBody>
    </xdr:sp>
    <xdr:clientData/>
  </xdr:twoCellAnchor>
  <xdr:twoCellAnchor>
    <xdr:from>
      <xdr:col>24</xdr:col>
      <xdr:colOff>699784</xdr:colOff>
      <xdr:row>15</xdr:row>
      <xdr:rowOff>179312</xdr:rowOff>
    </xdr:from>
    <xdr:to>
      <xdr:col>25</xdr:col>
      <xdr:colOff>478970</xdr:colOff>
      <xdr:row>17</xdr:row>
      <xdr:rowOff>155499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E3524315-F314-C84C-B219-F85B89ABE048}"/>
            </a:ext>
          </a:extLst>
        </xdr:cNvPr>
        <xdr:cNvSpPr txBox="1"/>
      </xdr:nvSpPr>
      <xdr:spPr>
        <a:xfrm>
          <a:off x="12536184" y="3087612"/>
          <a:ext cx="655486" cy="38258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V</a:t>
          </a:r>
          <a:r>
            <a:rPr lang="en-US" sz="1100" baseline="-25000"/>
            <a:t>2</a:t>
          </a:r>
          <a:r>
            <a:rPr lang="en-US" sz="1100"/>
            <a:t>=1</a:t>
          </a:r>
          <a:r>
            <a:rPr lang="en-US" sz="1100" baseline="0"/>
            <a:t> pu</a:t>
          </a:r>
          <a:endParaRPr lang="en-US" sz="1100"/>
        </a:p>
      </xdr:txBody>
    </xdr:sp>
    <xdr:clientData/>
  </xdr:twoCellAnchor>
  <xdr:twoCellAnchor>
    <xdr:from>
      <xdr:col>22</xdr:col>
      <xdr:colOff>580041</xdr:colOff>
      <xdr:row>23</xdr:row>
      <xdr:rowOff>101902</xdr:rowOff>
    </xdr:from>
    <xdr:to>
      <xdr:col>24</xdr:col>
      <xdr:colOff>2418</xdr:colOff>
      <xdr:row>26</xdr:row>
      <xdr:rowOff>23661</xdr:rowOff>
    </xdr:to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7AE66D00-C76C-4549-BE60-5BBE22FBB901}"/>
            </a:ext>
          </a:extLst>
        </xdr:cNvPr>
        <xdr:cNvSpPr txBox="1"/>
      </xdr:nvSpPr>
      <xdr:spPr>
        <a:xfrm>
          <a:off x="11184541" y="4483402"/>
          <a:ext cx="654277" cy="41705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V</a:t>
          </a:r>
          <a:r>
            <a:rPr lang="en-US" sz="1100" baseline="-25000"/>
            <a:t>3</a:t>
          </a:r>
          <a:r>
            <a:rPr lang="en-US" sz="1100"/>
            <a:t>=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4E0DC-F611-534C-B29D-27F4B7B8E407}">
  <dimension ref="A1:M33"/>
  <sheetViews>
    <sheetView zoomScale="150" zoomScaleNormal="150" workbookViewId="0">
      <selection activeCell="G26" sqref="G26"/>
    </sheetView>
  </sheetViews>
  <sheetFormatPr baseColWidth="10" defaultColWidth="11.5" defaultRowHeight="15" x14ac:dyDescent="0.2"/>
  <sheetData>
    <row r="1" spans="1:13" s="2" customFormat="1" x14ac:dyDescent="0.2"/>
    <row r="2" spans="1:13" s="2" customFormat="1" ht="19" x14ac:dyDescent="0.25">
      <c r="E2" s="9" t="s">
        <v>38</v>
      </c>
    </row>
    <row r="3" spans="1:13" s="2" customFormat="1" ht="19" x14ac:dyDescent="0.25">
      <c r="E3" s="10" t="s">
        <v>152</v>
      </c>
    </row>
    <row r="4" spans="1:13" s="2" customFormat="1" x14ac:dyDescent="0.2"/>
    <row r="5" spans="1:13" s="11" customFormat="1" ht="5" customHeight="1" x14ac:dyDescent="0.2"/>
    <row r="6" spans="1:13" s="2" customFormat="1" x14ac:dyDescent="0.2"/>
    <row r="7" spans="1:13" s="2" customFormat="1" x14ac:dyDescent="0.2">
      <c r="A7" s="2" t="s">
        <v>39</v>
      </c>
      <c r="C7" t="s">
        <v>146</v>
      </c>
    </row>
    <row r="8" spans="1:13" s="2" customFormat="1" x14ac:dyDescent="0.2"/>
    <row r="9" spans="1:13" s="2" customFormat="1" x14ac:dyDescent="0.2">
      <c r="B9" s="2" t="s">
        <v>40</v>
      </c>
    </row>
    <row r="10" spans="1:13" s="2" customFormat="1" x14ac:dyDescent="0.2">
      <c r="B10" s="12"/>
      <c r="C10" s="12"/>
      <c r="D10" s="12"/>
      <c r="E10" s="12"/>
    </row>
    <row r="11" spans="1:13" s="2" customFormat="1" ht="18" x14ac:dyDescent="0.25">
      <c r="B11" s="13" t="s">
        <v>41</v>
      </c>
      <c r="C11" s="13" t="s">
        <v>42</v>
      </c>
      <c r="D11" s="13" t="s">
        <v>43</v>
      </c>
      <c r="E11" s="13" t="s">
        <v>44</v>
      </c>
      <c r="F11" s="13" t="s">
        <v>45</v>
      </c>
      <c r="G11" s="13" t="s">
        <v>46</v>
      </c>
      <c r="H11" s="13" t="s">
        <v>150</v>
      </c>
      <c r="I11" s="13" t="s">
        <v>151</v>
      </c>
      <c r="L11" s="91" t="s">
        <v>54</v>
      </c>
      <c r="M11" s="91"/>
    </row>
    <row r="12" spans="1:13" s="2" customFormat="1" ht="19" x14ac:dyDescent="0.2">
      <c r="B12" s="14"/>
      <c r="C12" s="13" t="s">
        <v>47</v>
      </c>
      <c r="D12" s="13" t="s">
        <v>48</v>
      </c>
      <c r="E12" s="13" t="s">
        <v>49</v>
      </c>
      <c r="F12" s="13" t="s">
        <v>50</v>
      </c>
      <c r="G12" s="13" t="s">
        <v>50</v>
      </c>
      <c r="H12" s="13" t="s">
        <v>50</v>
      </c>
      <c r="I12" s="13" t="s">
        <v>50</v>
      </c>
      <c r="L12" s="21" t="s">
        <v>33</v>
      </c>
      <c r="M12" s="22">
        <v>0</v>
      </c>
    </row>
    <row r="13" spans="1:13" s="2" customFormat="1" x14ac:dyDescent="0.2">
      <c r="B13" s="12">
        <v>1</v>
      </c>
      <c r="C13" s="12">
        <v>100</v>
      </c>
      <c r="D13" s="12">
        <v>20</v>
      </c>
      <c r="E13" s="12">
        <v>0</v>
      </c>
      <c r="F13" s="12">
        <v>50</v>
      </c>
      <c r="G13" s="12">
        <v>200</v>
      </c>
      <c r="H13" s="12">
        <v>-150</v>
      </c>
      <c r="I13" s="12">
        <v>150</v>
      </c>
      <c r="L13" s="21" t="s">
        <v>31</v>
      </c>
      <c r="M13" s="22">
        <v>1</v>
      </c>
    </row>
    <row r="14" spans="1:13" s="2" customFormat="1" x14ac:dyDescent="0.2">
      <c r="B14" s="15">
        <v>2</v>
      </c>
      <c r="C14" s="15">
        <v>200</v>
      </c>
      <c r="D14" s="15">
        <v>10</v>
      </c>
      <c r="E14" s="15">
        <v>0</v>
      </c>
      <c r="F14" s="15">
        <v>50</v>
      </c>
      <c r="G14" s="15">
        <v>200</v>
      </c>
      <c r="H14" s="15">
        <v>-150</v>
      </c>
      <c r="I14" s="15">
        <v>150</v>
      </c>
      <c r="L14" s="21" t="s">
        <v>34</v>
      </c>
      <c r="M14" s="23">
        <v>1</v>
      </c>
    </row>
    <row r="15" spans="1:13" s="2" customFormat="1" x14ac:dyDescent="0.2">
      <c r="L15" s="21" t="s">
        <v>17</v>
      </c>
      <c r="M15" s="23">
        <v>0</v>
      </c>
    </row>
    <row r="16" spans="1:13" s="2" customFormat="1" x14ac:dyDescent="0.2">
      <c r="B16" s="2" t="s">
        <v>51</v>
      </c>
      <c r="L16" s="21" t="s">
        <v>18</v>
      </c>
      <c r="M16" s="22">
        <v>0</v>
      </c>
    </row>
    <row r="17" spans="2:13" s="2" customFormat="1" x14ac:dyDescent="0.2">
      <c r="F17" s="2" t="s">
        <v>153</v>
      </c>
      <c r="L17" s="21" t="s">
        <v>19</v>
      </c>
      <c r="M17" s="22">
        <f>C18</f>
        <v>200</v>
      </c>
    </row>
    <row r="18" spans="2:13" s="2" customFormat="1" x14ac:dyDescent="0.2">
      <c r="B18" s="2" t="s">
        <v>52</v>
      </c>
      <c r="C18" s="2">
        <v>200</v>
      </c>
      <c r="D18" s="2" t="s">
        <v>50</v>
      </c>
      <c r="F18" s="2">
        <v>12</v>
      </c>
      <c r="G18" s="2">
        <v>100</v>
      </c>
      <c r="H18" s="2" t="s">
        <v>50</v>
      </c>
      <c r="L18" s="21" t="s">
        <v>20</v>
      </c>
      <c r="M18" s="23">
        <v>0</v>
      </c>
    </row>
    <row r="19" spans="2:13" s="2" customFormat="1" x14ac:dyDescent="0.2">
      <c r="B19" s="1" t="s">
        <v>0</v>
      </c>
      <c r="C19" s="1">
        <v>200</v>
      </c>
      <c r="D19" s="1" t="s">
        <v>1</v>
      </c>
      <c r="F19" s="2">
        <v>23</v>
      </c>
      <c r="G19" s="2">
        <v>200</v>
      </c>
      <c r="H19" s="2" t="s">
        <v>50</v>
      </c>
      <c r="L19" s="21" t="s">
        <v>21</v>
      </c>
      <c r="M19" s="23">
        <v>0</v>
      </c>
    </row>
    <row r="20" spans="2:13" s="2" customFormat="1" x14ac:dyDescent="0.2">
      <c r="F20" s="2">
        <v>13</v>
      </c>
      <c r="G20" s="2">
        <v>200</v>
      </c>
      <c r="H20" s="2" t="s">
        <v>50</v>
      </c>
      <c r="L20" s="21" t="s">
        <v>22</v>
      </c>
      <c r="M20" s="23">
        <v>0</v>
      </c>
    </row>
    <row r="21" spans="2:13" s="2" customFormat="1" x14ac:dyDescent="0.2">
      <c r="L21" s="21" t="s">
        <v>13</v>
      </c>
      <c r="M21" s="23">
        <v>0</v>
      </c>
    </row>
    <row r="22" spans="2:13" s="2" customFormat="1" x14ac:dyDescent="0.2">
      <c r="F22" s="2" t="s">
        <v>154</v>
      </c>
      <c r="G22" s="2">
        <v>1.05</v>
      </c>
      <c r="H22" s="2" t="s">
        <v>126</v>
      </c>
      <c r="L22" s="21" t="s">
        <v>16</v>
      </c>
      <c r="M22" s="23">
        <v>0</v>
      </c>
    </row>
    <row r="23" spans="2:13" s="2" customFormat="1" x14ac:dyDescent="0.2">
      <c r="F23" s="2" t="s">
        <v>155</v>
      </c>
      <c r="G23" s="2">
        <v>0.95</v>
      </c>
      <c r="H23" s="2" t="s">
        <v>126</v>
      </c>
    </row>
    <row r="24" spans="2:13" s="2" customFormat="1" x14ac:dyDescent="0.2"/>
    <row r="25" spans="2:13" s="2" customFormat="1" x14ac:dyDescent="0.2"/>
    <row r="26" spans="2:13" s="2" customFormat="1" x14ac:dyDescent="0.2">
      <c r="G26" s="2">
        <f>250/200</f>
        <v>1.25</v>
      </c>
    </row>
    <row r="27" spans="2:13" s="2" customFormat="1" x14ac:dyDescent="0.2"/>
    <row r="28" spans="2:13" s="2" customFormat="1" x14ac:dyDescent="0.2"/>
    <row r="29" spans="2:13" s="2" customFormat="1" x14ac:dyDescent="0.2"/>
    <row r="30" spans="2:13" s="2" customFormat="1" x14ac:dyDescent="0.2"/>
    <row r="31" spans="2:13" s="2" customFormat="1" x14ac:dyDescent="0.2"/>
    <row r="32" spans="2:13" s="2" customFormat="1" x14ac:dyDescent="0.2"/>
    <row r="33" s="2" customFormat="1" x14ac:dyDescent="0.2"/>
  </sheetData>
  <mergeCells count="1">
    <mergeCell ref="L11:M1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75B8E-1207-4C18-A952-5F64BE97625E}">
  <dimension ref="A1:H26"/>
  <sheetViews>
    <sheetView showGridLines="0" topLeftCell="A11" zoomScale="150" zoomScaleNormal="150" workbookViewId="0">
      <selection activeCell="G22" sqref="G20:G22"/>
    </sheetView>
  </sheetViews>
  <sheetFormatPr baseColWidth="10" defaultColWidth="8.83203125" defaultRowHeight="15" x14ac:dyDescent="0.2"/>
  <cols>
    <col min="1" max="1" width="2.33203125" customWidth="1"/>
    <col min="2" max="2" width="6.33203125" bestFit="1" customWidth="1"/>
    <col min="3" max="3" width="7.33203125" customWidth="1"/>
    <col min="4" max="4" width="12.6640625" bestFit="1" customWidth="1"/>
    <col min="5" max="5" width="12.83203125" bestFit="1" customWidth="1"/>
    <col min="7" max="7" width="10.6640625" bestFit="1" customWidth="1"/>
  </cols>
  <sheetData>
    <row r="1" spans="1:5" x14ac:dyDescent="0.2">
      <c r="A1" s="1" t="s">
        <v>68</v>
      </c>
    </row>
    <row r="2" spans="1:5" x14ac:dyDescent="0.2">
      <c r="A2" s="1" t="s">
        <v>135</v>
      </c>
    </row>
    <row r="3" spans="1:5" x14ac:dyDescent="0.2">
      <c r="A3" s="1" t="s">
        <v>137</v>
      </c>
    </row>
    <row r="6" spans="1:5" ht="16" thickBot="1" x14ac:dyDescent="0.25">
      <c r="A6" t="s">
        <v>69</v>
      </c>
    </row>
    <row r="7" spans="1:5" x14ac:dyDescent="0.2">
      <c r="B7" s="65"/>
      <c r="C7" s="65"/>
      <c r="D7" s="65" t="s">
        <v>72</v>
      </c>
      <c r="E7" s="65" t="s">
        <v>74</v>
      </c>
    </row>
    <row r="8" spans="1:5" ht="16" thickBot="1" x14ac:dyDescent="0.25">
      <c r="B8" s="66" t="s">
        <v>70</v>
      </c>
      <c r="C8" s="66" t="s">
        <v>71</v>
      </c>
      <c r="D8" s="66" t="s">
        <v>73</v>
      </c>
      <c r="E8" s="66" t="s">
        <v>75</v>
      </c>
    </row>
    <row r="9" spans="1:5" x14ac:dyDescent="0.2">
      <c r="B9" s="35" t="s">
        <v>79</v>
      </c>
      <c r="C9" s="35" t="s">
        <v>80</v>
      </c>
      <c r="D9" s="35">
        <v>0.9980087422674736</v>
      </c>
      <c r="E9" s="35">
        <v>0</v>
      </c>
    </row>
    <row r="10" spans="1:5" x14ac:dyDescent="0.2">
      <c r="B10" s="35" t="s">
        <v>81</v>
      </c>
      <c r="C10" s="35" t="s">
        <v>82</v>
      </c>
      <c r="D10" s="35">
        <v>-1.5059632191391812E-2</v>
      </c>
      <c r="E10" s="35">
        <v>0</v>
      </c>
    </row>
    <row r="11" spans="1:5" x14ac:dyDescent="0.2">
      <c r="B11" s="35" t="s">
        <v>83</v>
      </c>
      <c r="C11" s="35" t="s">
        <v>84</v>
      </c>
      <c r="D11" s="35">
        <v>-7.019730346348256E-2</v>
      </c>
      <c r="E11" s="35">
        <v>0</v>
      </c>
    </row>
    <row r="12" spans="1:5" x14ac:dyDescent="0.2">
      <c r="B12" s="35" t="s">
        <v>85</v>
      </c>
      <c r="C12" s="35" t="s">
        <v>86</v>
      </c>
      <c r="D12" s="35">
        <v>0.85059062962359988</v>
      </c>
      <c r="E12" s="35">
        <v>0</v>
      </c>
    </row>
    <row r="13" spans="1:5" x14ac:dyDescent="0.2">
      <c r="B13" s="35" t="s">
        <v>87</v>
      </c>
      <c r="C13" s="35" t="s">
        <v>88</v>
      </c>
      <c r="D13" s="35">
        <v>0.39940937037640012</v>
      </c>
      <c r="E13" s="35">
        <v>0</v>
      </c>
    </row>
    <row r="14" spans="1:5" x14ac:dyDescent="0.2">
      <c r="B14" s="35" t="s">
        <v>89</v>
      </c>
      <c r="C14" s="35" t="s">
        <v>90</v>
      </c>
      <c r="D14" s="35">
        <v>4.5625668906479101E-2</v>
      </c>
      <c r="E14" s="35">
        <v>0</v>
      </c>
    </row>
    <row r="15" spans="1:5" ht="16" thickBot="1" x14ac:dyDescent="0.25">
      <c r="B15" s="36" t="s">
        <v>91</v>
      </c>
      <c r="C15" s="36" t="s">
        <v>92</v>
      </c>
      <c r="D15" s="36">
        <v>3.6213220786662101E-2</v>
      </c>
      <c r="E15" s="36">
        <v>0</v>
      </c>
    </row>
    <row r="17" spans="1:8" ht="16" thickBot="1" x14ac:dyDescent="0.25">
      <c r="A17" t="s">
        <v>76</v>
      </c>
    </row>
    <row r="18" spans="1:8" x14ac:dyDescent="0.2">
      <c r="B18" s="65"/>
      <c r="C18" s="65"/>
      <c r="D18" s="65" t="s">
        <v>72</v>
      </c>
      <c r="E18" s="65" t="s">
        <v>77</v>
      </c>
      <c r="G18" s="65" t="s">
        <v>77</v>
      </c>
    </row>
    <row r="19" spans="1:8" ht="16" thickBot="1" x14ac:dyDescent="0.25">
      <c r="B19" s="66" t="s">
        <v>70</v>
      </c>
      <c r="C19" s="66" t="s">
        <v>71</v>
      </c>
      <c r="D19" s="66" t="s">
        <v>73</v>
      </c>
      <c r="E19" s="66" t="s">
        <v>78</v>
      </c>
      <c r="G19" s="66" t="s">
        <v>78</v>
      </c>
    </row>
    <row r="20" spans="1:8" x14ac:dyDescent="0.2">
      <c r="B20" s="35" t="s">
        <v>93</v>
      </c>
      <c r="C20" s="35" t="s">
        <v>94</v>
      </c>
      <c r="D20" s="35">
        <v>0.85059062962359988</v>
      </c>
      <c r="E20" s="72">
        <v>5701.18310546875</v>
      </c>
      <c r="F20" s="73"/>
      <c r="G20" s="72">
        <f>E20/200</f>
        <v>28.505915527343749</v>
      </c>
      <c r="H20" s="2" t="s">
        <v>48</v>
      </c>
    </row>
    <row r="21" spans="1:8" x14ac:dyDescent="0.2">
      <c r="B21" s="35" t="s">
        <v>95</v>
      </c>
      <c r="C21" s="35" t="s">
        <v>96</v>
      </c>
      <c r="D21" s="35">
        <v>0.39940937037640012</v>
      </c>
      <c r="E21" s="72">
        <v>6597.64013671875</v>
      </c>
      <c r="F21" s="73"/>
      <c r="G21" s="72">
        <f t="shared" ref="G21:G25" si="0">E21/200</f>
        <v>32.988200683593753</v>
      </c>
      <c r="H21" s="2" t="s">
        <v>48</v>
      </c>
    </row>
    <row r="22" spans="1:8" x14ac:dyDescent="0.2">
      <c r="B22" s="35" t="s">
        <v>97</v>
      </c>
      <c r="C22" s="35" t="s">
        <v>98</v>
      </c>
      <c r="D22" s="35">
        <v>-1.25</v>
      </c>
      <c r="E22" s="72">
        <v>7496.7746298275806</v>
      </c>
      <c r="F22" s="73"/>
      <c r="G22" s="72">
        <f t="shared" si="0"/>
        <v>37.483873149137906</v>
      </c>
      <c r="H22" s="2" t="s">
        <v>48</v>
      </c>
    </row>
    <row r="23" spans="1:8" x14ac:dyDescent="0.2">
      <c r="B23" s="35" t="s">
        <v>99</v>
      </c>
      <c r="C23" s="35" t="s">
        <v>100</v>
      </c>
      <c r="D23" s="35">
        <v>4.5625668906479101E-2</v>
      </c>
      <c r="E23" s="72">
        <v>0</v>
      </c>
      <c r="F23" s="73"/>
      <c r="G23" s="72">
        <f t="shared" si="0"/>
        <v>0</v>
      </c>
    </row>
    <row r="24" spans="1:8" x14ac:dyDescent="0.2">
      <c r="B24" s="35" t="s">
        <v>101</v>
      </c>
      <c r="C24" s="35" t="s">
        <v>102</v>
      </c>
      <c r="D24" s="35">
        <v>3.6213220786662101E-2</v>
      </c>
      <c r="E24" s="72">
        <v>0</v>
      </c>
      <c r="F24" s="73"/>
      <c r="G24" s="72">
        <f t="shared" si="0"/>
        <v>0</v>
      </c>
    </row>
    <row r="25" spans="1:8" x14ac:dyDescent="0.2">
      <c r="B25" s="35" t="s">
        <v>103</v>
      </c>
      <c r="C25" s="35" t="s">
        <v>104</v>
      </c>
      <c r="D25" s="35">
        <v>0</v>
      </c>
      <c r="E25" s="72">
        <v>-6.83041415073113</v>
      </c>
      <c r="F25" s="73"/>
      <c r="G25" s="72">
        <f t="shared" si="0"/>
        <v>-3.4152070753655651E-2</v>
      </c>
    </row>
    <row r="26" spans="1:8" ht="16" thickBot="1" x14ac:dyDescent="0.25">
      <c r="B26" s="36" t="s">
        <v>136</v>
      </c>
      <c r="C26" s="36" t="s">
        <v>1</v>
      </c>
      <c r="D26" s="36">
        <v>140.0000001789081</v>
      </c>
      <c r="E26" s="74">
        <v>-13.482168462607149</v>
      </c>
      <c r="F26" s="73"/>
      <c r="G26" s="74">
        <f>E26/200</f>
        <v>-6.7410842313035749E-2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ACB10-96D4-4CA4-A0AC-E2891D4B0032}">
  <dimension ref="A1:E36"/>
  <sheetViews>
    <sheetView showGridLines="0" zoomScale="190" zoomScaleNormal="190" workbookViewId="0">
      <selection activeCell="E22" sqref="E22"/>
    </sheetView>
  </sheetViews>
  <sheetFormatPr baseColWidth="10" defaultColWidth="8.83203125" defaultRowHeight="15" x14ac:dyDescent="0.2"/>
  <cols>
    <col min="1" max="1" width="2.33203125" customWidth="1"/>
    <col min="2" max="2" width="6.33203125" bestFit="1" customWidth="1"/>
    <col min="3" max="3" width="27.83203125" bestFit="1" customWidth="1"/>
    <col min="4" max="4" width="12.6640625" bestFit="1" customWidth="1"/>
    <col min="5" max="5" width="12" bestFit="1" customWidth="1"/>
  </cols>
  <sheetData>
    <row r="1" spans="1:5" x14ac:dyDescent="0.2">
      <c r="A1" s="1" t="s">
        <v>68</v>
      </c>
    </row>
    <row r="2" spans="1:5" x14ac:dyDescent="0.2">
      <c r="A2" s="1" t="s">
        <v>157</v>
      </c>
    </row>
    <row r="3" spans="1:5" x14ac:dyDescent="0.2">
      <c r="A3" s="1" t="s">
        <v>168</v>
      </c>
    </row>
    <row r="6" spans="1:5" ht="16" thickBot="1" x14ac:dyDescent="0.25">
      <c r="A6" t="s">
        <v>69</v>
      </c>
    </row>
    <row r="7" spans="1:5" x14ac:dyDescent="0.2">
      <c r="B7" s="79"/>
      <c r="C7" s="79"/>
      <c r="D7" s="79" t="s">
        <v>72</v>
      </c>
      <c r="E7" s="79" t="s">
        <v>74</v>
      </c>
    </row>
    <row r="8" spans="1:5" ht="16" thickBot="1" x14ac:dyDescent="0.25">
      <c r="B8" s="80" t="s">
        <v>70</v>
      </c>
      <c r="C8" s="80" t="s">
        <v>71</v>
      </c>
      <c r="D8" s="80" t="s">
        <v>73</v>
      </c>
      <c r="E8" s="80" t="s">
        <v>75</v>
      </c>
    </row>
    <row r="9" spans="1:5" x14ac:dyDescent="0.2">
      <c r="B9" s="35" t="s">
        <v>79</v>
      </c>
      <c r="C9" s="35" t="s">
        <v>80</v>
      </c>
      <c r="D9" s="35">
        <v>0.99871115742522842</v>
      </c>
      <c r="E9" s="35">
        <v>0</v>
      </c>
    </row>
    <row r="10" spans="1:5" x14ac:dyDescent="0.2">
      <c r="B10" s="35" t="s">
        <v>81</v>
      </c>
      <c r="C10" s="35" t="s">
        <v>82</v>
      </c>
      <c r="D10" s="35">
        <v>1.6681391530130138E-2</v>
      </c>
      <c r="E10" s="35">
        <v>0</v>
      </c>
    </row>
    <row r="11" spans="1:5" x14ac:dyDescent="0.2">
      <c r="B11" s="35" t="s">
        <v>83</v>
      </c>
      <c r="C11" s="35" t="s">
        <v>84</v>
      </c>
      <c r="D11" s="35">
        <v>-4.1746510969515226E-2</v>
      </c>
      <c r="E11" s="35">
        <v>0</v>
      </c>
    </row>
    <row r="12" spans="1:5" x14ac:dyDescent="0.2">
      <c r="B12" s="35" t="s">
        <v>85</v>
      </c>
      <c r="C12" s="35" t="s">
        <v>86</v>
      </c>
      <c r="D12" s="35">
        <v>0.25</v>
      </c>
      <c r="E12" s="35">
        <v>0</v>
      </c>
    </row>
    <row r="13" spans="1:5" x14ac:dyDescent="0.2">
      <c r="B13" s="35" t="s">
        <v>87</v>
      </c>
      <c r="C13" s="35" t="s">
        <v>88</v>
      </c>
      <c r="D13" s="35">
        <v>0.750000000000274</v>
      </c>
      <c r="E13" s="35">
        <v>0</v>
      </c>
    </row>
    <row r="14" spans="1:5" x14ac:dyDescent="0.2">
      <c r="B14" s="35" t="s">
        <v>89</v>
      </c>
      <c r="C14" s="35" t="s">
        <v>90</v>
      </c>
      <c r="D14" s="35">
        <v>2.2981125968684214E-2</v>
      </c>
      <c r="E14" s="35">
        <v>0</v>
      </c>
    </row>
    <row r="15" spans="1:5" ht="16" thickBot="1" x14ac:dyDescent="0.25">
      <c r="B15" s="36" t="s">
        <v>91</v>
      </c>
      <c r="C15" s="36" t="s">
        <v>92</v>
      </c>
      <c r="D15" s="36">
        <v>3.1322035732775186E-2</v>
      </c>
      <c r="E15" s="36">
        <v>0</v>
      </c>
    </row>
    <row r="17" spans="1:5" ht="16" thickBot="1" x14ac:dyDescent="0.25">
      <c r="A17" t="s">
        <v>76</v>
      </c>
    </row>
    <row r="18" spans="1:5" x14ac:dyDescent="0.2">
      <c r="B18" s="79"/>
      <c r="C18" s="79"/>
      <c r="D18" s="79" t="s">
        <v>72</v>
      </c>
      <c r="E18" s="79" t="s">
        <v>77</v>
      </c>
    </row>
    <row r="19" spans="1:5" ht="16" thickBot="1" x14ac:dyDescent="0.25">
      <c r="B19" s="80" t="s">
        <v>70</v>
      </c>
      <c r="C19" s="80" t="s">
        <v>71</v>
      </c>
      <c r="D19" s="80" t="s">
        <v>73</v>
      </c>
      <c r="E19" s="80" t="s">
        <v>78</v>
      </c>
    </row>
    <row r="20" spans="1:5" x14ac:dyDescent="0.2">
      <c r="B20" s="35" t="s">
        <v>93</v>
      </c>
      <c r="C20" s="35" t="s">
        <v>94</v>
      </c>
      <c r="D20" s="35">
        <v>0.25</v>
      </c>
      <c r="E20" s="35">
        <v>2000.0000000333046</v>
      </c>
    </row>
    <row r="21" spans="1:5" x14ac:dyDescent="0.2">
      <c r="B21" s="35" t="s">
        <v>95</v>
      </c>
      <c r="C21" s="35" t="s">
        <v>96</v>
      </c>
      <c r="D21" s="35">
        <v>0.750000000000274</v>
      </c>
      <c r="E21" s="35">
        <v>2000</v>
      </c>
    </row>
    <row r="22" spans="1:5" x14ac:dyDescent="0.2">
      <c r="B22" s="35" t="s">
        <v>97</v>
      </c>
      <c r="C22" s="35" t="s">
        <v>98</v>
      </c>
      <c r="D22" s="35">
        <v>-1</v>
      </c>
      <c r="E22" s="35">
        <v>2000.0000003165942</v>
      </c>
    </row>
    <row r="23" spans="1:5" x14ac:dyDescent="0.2">
      <c r="B23" s="35" t="s">
        <v>99</v>
      </c>
      <c r="C23" s="35" t="s">
        <v>100</v>
      </c>
      <c r="D23" s="35">
        <v>2.2981125968684214E-2</v>
      </c>
      <c r="E23" s="35">
        <v>0</v>
      </c>
    </row>
    <row r="24" spans="1:5" x14ac:dyDescent="0.2">
      <c r="B24" s="35" t="s">
        <v>101</v>
      </c>
      <c r="C24" s="35" t="s">
        <v>102</v>
      </c>
      <c r="D24" s="35">
        <v>3.1322035732775186E-2</v>
      </c>
      <c r="E24" s="35">
        <v>0</v>
      </c>
    </row>
    <row r="25" spans="1:5" x14ac:dyDescent="0.2">
      <c r="B25" s="35" t="s">
        <v>103</v>
      </c>
      <c r="C25" s="35" t="s">
        <v>104</v>
      </c>
      <c r="D25" s="35">
        <v>0</v>
      </c>
      <c r="E25" s="35">
        <v>5.9833195213444654E-6</v>
      </c>
    </row>
    <row r="26" spans="1:5" x14ac:dyDescent="0.2">
      <c r="B26" s="35" t="s">
        <v>158</v>
      </c>
      <c r="C26" s="35" t="s">
        <v>159</v>
      </c>
      <c r="D26" s="35">
        <v>50</v>
      </c>
      <c r="E26" s="35">
        <v>0</v>
      </c>
    </row>
    <row r="27" spans="1:5" x14ac:dyDescent="0.2">
      <c r="B27" s="35" t="s">
        <v>160</v>
      </c>
      <c r="C27" s="35" t="s">
        <v>161</v>
      </c>
      <c r="D27" s="35">
        <v>150.0000000000548</v>
      </c>
      <c r="E27" s="35">
        <v>0</v>
      </c>
    </row>
    <row r="28" spans="1:5" x14ac:dyDescent="0.2">
      <c r="B28" s="35" t="s">
        <v>158</v>
      </c>
      <c r="C28" s="35" t="s">
        <v>159</v>
      </c>
      <c r="D28" s="35">
        <v>50</v>
      </c>
      <c r="E28" s="35">
        <v>9.999999999833479</v>
      </c>
    </row>
    <row r="29" spans="1:5" x14ac:dyDescent="0.2">
      <c r="B29" s="35" t="s">
        <v>160</v>
      </c>
      <c r="C29" s="35" t="s">
        <v>161</v>
      </c>
      <c r="D29" s="35">
        <v>150.0000000000548</v>
      </c>
      <c r="E29" s="35">
        <v>0</v>
      </c>
    </row>
    <row r="30" spans="1:5" x14ac:dyDescent="0.2">
      <c r="B30" s="35" t="s">
        <v>162</v>
      </c>
      <c r="C30" s="35" t="s">
        <v>163</v>
      </c>
      <c r="D30" s="35">
        <v>4.596225193736843</v>
      </c>
      <c r="E30" s="35">
        <v>0</v>
      </c>
    </row>
    <row r="31" spans="1:5" x14ac:dyDescent="0.2">
      <c r="B31" s="35" t="s">
        <v>164</v>
      </c>
      <c r="C31" s="35" t="s">
        <v>165</v>
      </c>
      <c r="D31" s="35">
        <v>6.2644071465550368</v>
      </c>
      <c r="E31" s="35">
        <v>0</v>
      </c>
    </row>
    <row r="32" spans="1:5" x14ac:dyDescent="0.2">
      <c r="B32" s="35" t="s">
        <v>162</v>
      </c>
      <c r="C32" s="35" t="s">
        <v>163</v>
      </c>
      <c r="D32" s="35">
        <v>4.596225193736843</v>
      </c>
      <c r="E32" s="35">
        <v>0</v>
      </c>
    </row>
    <row r="33" spans="2:5" x14ac:dyDescent="0.2">
      <c r="B33" s="35" t="s">
        <v>164</v>
      </c>
      <c r="C33" s="35" t="s">
        <v>165</v>
      </c>
      <c r="D33" s="35">
        <v>6.2644071465550368</v>
      </c>
      <c r="E33" s="35">
        <v>0</v>
      </c>
    </row>
    <row r="34" spans="2:5" x14ac:dyDescent="0.2">
      <c r="B34" s="35" t="s">
        <v>166</v>
      </c>
      <c r="C34" s="35" t="s">
        <v>1</v>
      </c>
      <c r="D34" s="35">
        <v>33.361235778057299</v>
      </c>
      <c r="E34" s="35">
        <v>0</v>
      </c>
    </row>
    <row r="35" spans="2:5" x14ac:dyDescent="0.2">
      <c r="B35" s="35" t="s">
        <v>136</v>
      </c>
      <c r="C35" s="35" t="s">
        <v>1</v>
      </c>
      <c r="D35" s="35">
        <v>83.36119440580589</v>
      </c>
      <c r="E35" s="35">
        <v>0</v>
      </c>
    </row>
    <row r="36" spans="2:5" ht="16" thickBot="1" x14ac:dyDescent="0.25">
      <c r="B36" s="36" t="s">
        <v>167</v>
      </c>
      <c r="C36" s="36" t="s">
        <v>1</v>
      </c>
      <c r="D36" s="36">
        <v>116.63880584451508</v>
      </c>
      <c r="E36" s="36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D140"/>
  <sheetViews>
    <sheetView zoomScale="210" zoomScaleNormal="210" zoomScalePageLayoutView="130" workbookViewId="0">
      <pane ySplit="5" topLeftCell="A15" activePane="bottomLeft" state="frozen"/>
      <selection pane="bottomLeft" activeCell="H47" sqref="H47"/>
    </sheetView>
  </sheetViews>
  <sheetFormatPr baseColWidth="10" defaultColWidth="11.5" defaultRowHeight="15" x14ac:dyDescent="0.2"/>
  <cols>
    <col min="1" max="2" width="8.83203125" customWidth="1"/>
    <col min="3" max="3" width="9.83203125" customWidth="1"/>
    <col min="4" max="4" width="12.5" customWidth="1"/>
    <col min="5" max="6" width="8.83203125" customWidth="1"/>
    <col min="7" max="7" width="8.1640625" customWidth="1"/>
    <col min="8" max="8" width="8.83203125" customWidth="1"/>
    <col min="9" max="9" width="8.33203125" customWidth="1"/>
    <col min="10" max="10" width="5.33203125" customWidth="1"/>
    <col min="11" max="12" width="8.83203125" customWidth="1"/>
    <col min="13" max="13" width="9.6640625" customWidth="1"/>
    <col min="14" max="14" width="3.1640625" customWidth="1"/>
    <col min="15" max="15" width="8.83203125" customWidth="1"/>
    <col min="16" max="16" width="5.1640625" customWidth="1"/>
    <col min="17" max="17" width="1.83203125" customWidth="1"/>
    <col min="18" max="18" width="4.5" customWidth="1"/>
    <col min="19" max="20" width="1.6640625" hidden="1" customWidth="1"/>
    <col min="21" max="22" width="1.1640625" hidden="1" customWidth="1"/>
    <col min="24" max="24" width="4.6640625" customWidth="1"/>
    <col min="26" max="26" width="6.33203125" customWidth="1"/>
    <col min="27" max="27" width="7.5" customWidth="1"/>
    <col min="28" max="28" width="8.1640625" customWidth="1"/>
  </cols>
  <sheetData>
    <row r="1" spans="1:30" s="2" customFormat="1" x14ac:dyDescent="0.2"/>
    <row r="2" spans="1:30" s="2" customFormat="1" ht="19" x14ac:dyDescent="0.25">
      <c r="E2" s="9" t="s">
        <v>38</v>
      </c>
    </row>
    <row r="3" spans="1:30" s="2" customFormat="1" ht="19" x14ac:dyDescent="0.25">
      <c r="E3" s="71" t="s">
        <v>156</v>
      </c>
    </row>
    <row r="4" spans="1:30" s="2" customFormat="1" x14ac:dyDescent="0.2"/>
    <row r="5" spans="1:30" s="11" customFormat="1" ht="5" customHeight="1" x14ac:dyDescent="0.2"/>
    <row r="6" spans="1:30" s="2" customFormat="1" x14ac:dyDescent="0.2"/>
    <row r="7" spans="1:30" s="2" customFormat="1" x14ac:dyDescent="0.2">
      <c r="A7" s="1" t="s">
        <v>0</v>
      </c>
      <c r="B7" s="1">
        <f>Database!C19</f>
        <v>200</v>
      </c>
      <c r="C7" s="1" t="s">
        <v>1</v>
      </c>
      <c r="G7" s="94" t="s">
        <v>53</v>
      </c>
      <c r="H7" s="94"/>
      <c r="I7" s="94"/>
      <c r="J7" s="94"/>
      <c r="K7" s="94"/>
      <c r="L7" s="94"/>
      <c r="M7" s="94"/>
      <c r="N7" s="94"/>
    </row>
    <row r="8" spans="1:30" s="2" customFormat="1" x14ac:dyDescent="0.2">
      <c r="A8" s="7"/>
      <c r="B8" s="7"/>
      <c r="C8" s="7"/>
      <c r="D8" s="7"/>
      <c r="E8" s="7"/>
      <c r="F8" s="7"/>
      <c r="G8" s="4">
        <f>P8/(P8*P8+R8*R8)+P9/(P9*P9+R9*R9)</f>
        <v>0</v>
      </c>
      <c r="H8" s="3">
        <f>-P8/(P8*P8+R8*R8)</f>
        <v>0</v>
      </c>
      <c r="I8" s="3">
        <f>-P9/(P9*P9+R9*R9)</f>
        <v>0</v>
      </c>
      <c r="K8" s="5">
        <f>-R8/(P8*P8+R8*R8)-R9/(R9*R9+P9*P9)</f>
        <v>-19.999999999999996</v>
      </c>
      <c r="L8" s="5">
        <f>R8/(R8*R8+P8*P8)</f>
        <v>9.9999999999999982</v>
      </c>
      <c r="M8" s="5">
        <f>R9/(R9*R9+P9*P9)</f>
        <v>9.9999999999999982</v>
      </c>
      <c r="N8" s="7"/>
      <c r="O8" s="40" t="s">
        <v>25</v>
      </c>
      <c r="P8" s="2">
        <v>0</v>
      </c>
      <c r="Q8" s="16" t="s">
        <v>2</v>
      </c>
      <c r="R8" s="39">
        <v>0.1</v>
      </c>
    </row>
    <row r="9" spans="1:30" s="2" customFormat="1" x14ac:dyDescent="0.2">
      <c r="A9" s="91" t="s">
        <v>147</v>
      </c>
      <c r="B9" s="91"/>
      <c r="C9" s="95" t="s">
        <v>148</v>
      </c>
      <c r="D9" s="95"/>
      <c r="F9" s="17" t="s">
        <v>30</v>
      </c>
      <c r="G9" s="3">
        <f>_G12</f>
        <v>0</v>
      </c>
      <c r="H9" s="3">
        <f>P8/(P8*P8+R8*R8)+P10/(P10*P10+R10*R10)</f>
        <v>0</v>
      </c>
      <c r="I9" s="3">
        <f>-P10/(P10*P10+R10*R10)</f>
        <v>0</v>
      </c>
      <c r="J9" s="60" t="s">
        <v>2</v>
      </c>
      <c r="K9" s="5">
        <f>_B12</f>
        <v>9.9999999999999982</v>
      </c>
      <c r="L9" s="5">
        <f>-R8/(R8*R8+P8*P8)-R10/(R10*R10+P10*P10)</f>
        <v>-19.999999999999996</v>
      </c>
      <c r="M9" s="5">
        <f>R10/(R10*R10+P10*P10)</f>
        <v>9.9999999999999982</v>
      </c>
      <c r="N9" s="7"/>
      <c r="O9" s="40" t="s">
        <v>26</v>
      </c>
      <c r="P9" s="2">
        <v>0</v>
      </c>
      <c r="Q9" s="16" t="s">
        <v>2</v>
      </c>
      <c r="R9" s="39">
        <v>0.1</v>
      </c>
    </row>
    <row r="10" spans="1:30" s="2" customFormat="1" x14ac:dyDescent="0.2">
      <c r="A10" s="21" t="s">
        <v>33</v>
      </c>
      <c r="B10" s="22">
        <f>Database!M12</f>
        <v>0</v>
      </c>
      <c r="C10" s="27" t="s">
        <v>32</v>
      </c>
      <c r="D10" s="28">
        <v>0.99871115742522842</v>
      </c>
      <c r="F10" s="17" t="s">
        <v>10</v>
      </c>
      <c r="G10" s="3">
        <f>I8</f>
        <v>0</v>
      </c>
      <c r="H10" s="3">
        <f>I9</f>
        <v>0</v>
      </c>
      <c r="I10" s="3">
        <f>P10/(P10*P10+R10*R10)+P9/(P9*P9+R9*R9)</f>
        <v>0</v>
      </c>
      <c r="K10" s="5">
        <f>_B13</f>
        <v>9.9999999999999982</v>
      </c>
      <c r="L10" s="5">
        <f>_B23</f>
        <v>9.9999999999999982</v>
      </c>
      <c r="M10" s="5">
        <f>-R9/(R9*R9+P9*P9)-R10/(R10*R10+P10*P10)</f>
        <v>-19.999999999999996</v>
      </c>
      <c r="O10" s="40" t="s">
        <v>27</v>
      </c>
      <c r="P10" s="2">
        <v>0</v>
      </c>
      <c r="Q10" s="16" t="s">
        <v>2</v>
      </c>
      <c r="R10" s="39">
        <v>0.1</v>
      </c>
    </row>
    <row r="11" spans="1:30" x14ac:dyDescent="0.2">
      <c r="A11" s="21" t="s">
        <v>31</v>
      </c>
      <c r="B11" s="22">
        <f>Database!M13</f>
        <v>1</v>
      </c>
      <c r="C11" s="27" t="s">
        <v>35</v>
      </c>
      <c r="D11" s="28">
        <v>1.6681391530130138E-2</v>
      </c>
      <c r="E11" s="7"/>
      <c r="F11" s="7"/>
      <c r="G11" s="42" t="s">
        <v>134</v>
      </c>
      <c r="H11" s="2"/>
      <c r="I11" s="42" t="s">
        <v>133</v>
      </c>
      <c r="J11" s="7"/>
      <c r="K11" s="7"/>
      <c r="L11" s="7"/>
      <c r="M11" s="7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</row>
    <row r="12" spans="1:30" x14ac:dyDescent="0.2">
      <c r="A12" s="21" t="s">
        <v>34</v>
      </c>
      <c r="B12" s="22">
        <f>Database!M14</f>
        <v>1</v>
      </c>
      <c r="C12" s="27" t="s">
        <v>36</v>
      </c>
      <c r="D12" s="28">
        <v>-4.1746510969515226E-2</v>
      </c>
      <c r="E12" s="93" t="s">
        <v>55</v>
      </c>
      <c r="F12" s="93"/>
      <c r="G12" s="76" t="s">
        <v>170</v>
      </c>
      <c r="H12" s="12"/>
      <c r="I12" s="76" t="s">
        <v>170</v>
      </c>
      <c r="J12" s="7"/>
      <c r="K12" s="7"/>
      <c r="L12" s="7"/>
      <c r="M12" s="7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spans="1:30" ht="17" x14ac:dyDescent="0.25">
      <c r="A13" s="21" t="s">
        <v>17</v>
      </c>
      <c r="B13" s="22">
        <f>Database!M15</f>
        <v>0</v>
      </c>
      <c r="C13" s="25" t="s">
        <v>11</v>
      </c>
      <c r="D13" s="18">
        <v>0.25</v>
      </c>
      <c r="E13" s="67">
        <f>_PG1*Sbase</f>
        <v>50</v>
      </c>
      <c r="F13" s="26" t="s">
        <v>50</v>
      </c>
      <c r="G13" s="42">
        <f>Database!F13</f>
        <v>50</v>
      </c>
      <c r="H13" s="12" t="s">
        <v>169</v>
      </c>
      <c r="I13" s="42">
        <f>Database!G13</f>
        <v>200</v>
      </c>
      <c r="J13" s="7"/>
      <c r="K13" s="7"/>
      <c r="L13" s="7"/>
      <c r="M13" s="7"/>
      <c r="N13" s="7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</row>
    <row r="14" spans="1:30" ht="17" x14ac:dyDescent="0.25">
      <c r="A14" s="21" t="s">
        <v>18</v>
      </c>
      <c r="B14" s="22">
        <f>Database!M16</f>
        <v>0</v>
      </c>
      <c r="C14" s="25" t="s">
        <v>12</v>
      </c>
      <c r="D14" s="18">
        <v>0.750000000000274</v>
      </c>
      <c r="E14" s="67">
        <f>_PG2*Sbase</f>
        <v>150.0000000000548</v>
      </c>
      <c r="F14" s="26" t="s">
        <v>50</v>
      </c>
      <c r="G14" s="42">
        <f>Database!F14</f>
        <v>50</v>
      </c>
      <c r="H14" s="12" t="s">
        <v>171</v>
      </c>
      <c r="I14" s="42">
        <f>Database!G14</f>
        <v>200</v>
      </c>
      <c r="J14" s="7"/>
      <c r="K14" s="7"/>
      <c r="L14" s="7"/>
      <c r="M14" s="7"/>
      <c r="N14" s="7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</row>
    <row r="15" spans="1:30" ht="17" x14ac:dyDescent="0.25">
      <c r="A15" s="21" t="s">
        <v>19</v>
      </c>
      <c r="B15" s="22">
        <f>Database!M17/Sbase</f>
        <v>1</v>
      </c>
      <c r="C15" s="27" t="s">
        <v>14</v>
      </c>
      <c r="D15" s="28">
        <v>2.2981125968684214E-2</v>
      </c>
      <c r="E15" s="68">
        <f>_QG1*Sbase</f>
        <v>4.596225193736843</v>
      </c>
      <c r="F15" s="26" t="s">
        <v>56</v>
      </c>
      <c r="G15" s="75">
        <f>Database!H13</f>
        <v>-150</v>
      </c>
      <c r="H15" s="12" t="s">
        <v>172</v>
      </c>
      <c r="I15" s="76">
        <f>Database!I13</f>
        <v>150</v>
      </c>
      <c r="J15" s="7"/>
      <c r="K15" s="7" t="s">
        <v>127</v>
      </c>
      <c r="L15" s="7"/>
      <c r="M15" s="7"/>
      <c r="N15" s="7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</row>
    <row r="16" spans="1:30" ht="17" x14ac:dyDescent="0.25">
      <c r="A16" s="21" t="s">
        <v>20</v>
      </c>
      <c r="B16" s="22">
        <f>Database!M18</f>
        <v>0</v>
      </c>
      <c r="C16" s="27" t="s">
        <v>15</v>
      </c>
      <c r="D16" s="28">
        <v>3.1322035732775186E-2</v>
      </c>
      <c r="E16" s="68">
        <f>_QG2*Sbase</f>
        <v>6.2644071465550368</v>
      </c>
      <c r="F16" s="26" t="s">
        <v>56</v>
      </c>
      <c r="G16" s="75">
        <f>Database!H14</f>
        <v>-150</v>
      </c>
      <c r="H16" s="12" t="s">
        <v>173</v>
      </c>
      <c r="I16" s="76">
        <f>Database!I14</f>
        <v>150</v>
      </c>
      <c r="J16" s="7"/>
      <c r="K16" s="7"/>
      <c r="L16" s="7"/>
      <c r="M16" s="7"/>
      <c r="N16" s="7"/>
      <c r="O16" s="2"/>
      <c r="P16" s="2"/>
      <c r="Q16" s="2"/>
      <c r="R16" s="2"/>
      <c r="S16" s="2"/>
      <c r="T16" s="2"/>
      <c r="U16" s="2"/>
      <c r="V16" s="2"/>
      <c r="W16" s="2"/>
      <c r="X16" s="2"/>
      <c r="Y16" s="85">
        <f>H45</f>
        <v>33.361235778057299</v>
      </c>
      <c r="Z16" s="2" t="s">
        <v>50</v>
      </c>
      <c r="AA16" s="2"/>
      <c r="AB16" s="2"/>
      <c r="AC16" s="2"/>
      <c r="AD16" s="2"/>
    </row>
    <row r="17" spans="1:30" ht="15" customHeight="1" x14ac:dyDescent="0.25">
      <c r="A17" s="21" t="s">
        <v>21</v>
      </c>
      <c r="B17" s="22">
        <f>Database!M19</f>
        <v>0</v>
      </c>
      <c r="C17" s="7"/>
      <c r="D17" s="32"/>
      <c r="E17" s="32"/>
      <c r="F17" s="7"/>
      <c r="G17" s="77">
        <f>Database!G23</f>
        <v>0.95</v>
      </c>
      <c r="H17" s="12" t="s">
        <v>177</v>
      </c>
      <c r="I17" s="77">
        <f>Database!G22</f>
        <v>1.05</v>
      </c>
      <c r="J17" s="7"/>
      <c r="K17" s="7"/>
      <c r="L17" s="7"/>
      <c r="M17" s="7"/>
      <c r="N17" s="7"/>
      <c r="O17" s="2"/>
      <c r="P17" s="2"/>
      <c r="Q17" s="2"/>
      <c r="R17" s="2"/>
      <c r="S17" s="2"/>
      <c r="T17" s="2"/>
      <c r="U17" s="2"/>
      <c r="V17" s="2"/>
      <c r="W17" s="2"/>
      <c r="X17" s="2"/>
      <c r="Z17" s="2"/>
      <c r="AA17" s="2"/>
      <c r="AB17" s="2"/>
      <c r="AC17" s="2"/>
      <c r="AD17" s="2"/>
    </row>
    <row r="18" spans="1:30" x14ac:dyDescent="0.2">
      <c r="A18" s="21" t="s">
        <v>22</v>
      </c>
      <c r="B18" s="22">
        <f>Database!M20</f>
        <v>0</v>
      </c>
      <c r="C18" s="7"/>
      <c r="D18" s="7"/>
      <c r="E18" s="7"/>
      <c r="F18" s="7"/>
      <c r="G18" s="7"/>
      <c r="H18" s="7"/>
      <c r="I18" s="7"/>
      <c r="J18" s="7"/>
      <c r="K18" s="7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83"/>
      <c r="Z18" s="2"/>
      <c r="AA18" s="2"/>
      <c r="AB18" s="85">
        <f>_PG2*Sbase</f>
        <v>150.0000000000548</v>
      </c>
      <c r="AC18" s="2" t="s">
        <v>50</v>
      </c>
      <c r="AD18" s="2"/>
    </row>
    <row r="19" spans="1:30" x14ac:dyDescent="0.2">
      <c r="A19" s="21" t="s">
        <v>13</v>
      </c>
      <c r="B19" s="22">
        <f>Database!M21</f>
        <v>0</v>
      </c>
      <c r="C19" s="7"/>
      <c r="E19" s="7"/>
      <c r="G19" s="7"/>
      <c r="H19" s="7"/>
      <c r="I19" s="7"/>
      <c r="J19" s="7"/>
      <c r="K19" s="7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69">
        <f>_QG2*Sbase</f>
        <v>6.2644071465550368</v>
      </c>
      <c r="AC19" s="2" t="s">
        <v>116</v>
      </c>
      <c r="AD19" s="2"/>
    </row>
    <row r="20" spans="1:30" x14ac:dyDescent="0.2">
      <c r="A20" s="21" t="s">
        <v>16</v>
      </c>
      <c r="B20" s="22">
        <f>Database!M22</f>
        <v>0</v>
      </c>
      <c r="C20" s="7"/>
      <c r="D20" s="7"/>
      <c r="E20" s="7"/>
      <c r="F20" s="7"/>
      <c r="G20" s="7"/>
      <c r="H20" s="7"/>
      <c r="I20" s="7"/>
      <c r="J20" s="7"/>
      <c r="K20" s="7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82">
        <f>_PG1*Sbase</f>
        <v>50</v>
      </c>
      <c r="X20" s="2" t="s">
        <v>50</v>
      </c>
      <c r="Y20" s="2"/>
      <c r="Z20" s="2"/>
      <c r="AA20" s="2"/>
      <c r="AB20" s="2"/>
      <c r="AC20" s="2"/>
      <c r="AD20" s="2"/>
    </row>
    <row r="21" spans="1:30" s="2" customFormat="1" ht="13" customHeight="1" x14ac:dyDescent="0.2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W21" s="82">
        <f>_QG1*Sbase</f>
        <v>4.596225193736843</v>
      </c>
      <c r="X21" s="7" t="s">
        <v>116</v>
      </c>
      <c r="Y21" s="7"/>
      <c r="Z21" s="7"/>
      <c r="AA21" s="7"/>
    </row>
    <row r="22" spans="1:30" s="7" customFormat="1" ht="13" customHeight="1" x14ac:dyDescent="0.2">
      <c r="A22" s="96" t="s">
        <v>60</v>
      </c>
      <c r="B22" s="96"/>
      <c r="C22" s="96"/>
      <c r="D22" s="96"/>
      <c r="E22" s="96"/>
      <c r="F22" s="19"/>
      <c r="G22" s="19"/>
      <c r="H22" s="19"/>
      <c r="P22" s="2"/>
      <c r="Q22" s="2"/>
      <c r="W22" s="2"/>
      <c r="Y22" s="2"/>
      <c r="AA22" s="85">
        <f>H47</f>
        <v>116.63880584451508</v>
      </c>
      <c r="AB22" s="81" t="s">
        <v>50</v>
      </c>
    </row>
    <row r="23" spans="1:30" s="2" customFormat="1" ht="13" customHeight="1" x14ac:dyDescent="0.2">
      <c r="A23" s="2" t="s">
        <v>149</v>
      </c>
      <c r="B23" s="34" t="s">
        <v>59</v>
      </c>
      <c r="C23" s="34" t="s">
        <v>107</v>
      </c>
      <c r="D23" s="34" t="s">
        <v>106</v>
      </c>
      <c r="F23" s="34" t="s">
        <v>105</v>
      </c>
      <c r="H23" s="34" t="s">
        <v>37</v>
      </c>
      <c r="I23" s="38"/>
      <c r="K23" s="7"/>
      <c r="M23" s="7"/>
      <c r="N23" s="7"/>
      <c r="W23" s="82">
        <f>H46</f>
        <v>83.36119440580589</v>
      </c>
      <c r="X23" s="81" t="s">
        <v>50</v>
      </c>
    </row>
    <row r="24" spans="1:30" s="2" customFormat="1" ht="13" customHeight="1" x14ac:dyDescent="0.25">
      <c r="A24" s="17">
        <v>0</v>
      </c>
      <c r="B24" s="7">
        <f>Database!D13</f>
        <v>20</v>
      </c>
      <c r="C24" s="7">
        <f>Database!E13</f>
        <v>0</v>
      </c>
      <c r="D24" s="8">
        <f>Database!C13+$B$24*E13+(1/2)*$C$24*(E13)^2+A24</f>
        <v>1100</v>
      </c>
      <c r="E24" s="2" t="s">
        <v>47</v>
      </c>
      <c r="F24" s="6">
        <f>B24*_PG1+C24</f>
        <v>5</v>
      </c>
      <c r="G24" s="59" t="s">
        <v>130</v>
      </c>
      <c r="H24" s="6">
        <f>'Sensitivity Report 3'!E20/Sbase</f>
        <v>10.000000000166523</v>
      </c>
      <c r="I24" s="2" t="s">
        <v>48</v>
      </c>
      <c r="K24" s="7"/>
      <c r="M24" s="7"/>
      <c r="N24" s="7"/>
    </row>
    <row r="25" spans="1:30" s="2" customFormat="1" ht="13" customHeight="1" x14ac:dyDescent="0.25">
      <c r="A25" s="17">
        <v>0</v>
      </c>
      <c r="B25" s="7">
        <v>10</v>
      </c>
      <c r="C25" s="7">
        <f>Database!E14</f>
        <v>0</v>
      </c>
      <c r="D25" s="8">
        <f>Database!C14+$B$25*E14+(1/2)*$C$25*(E14)^2+A25</f>
        <v>1700.000000000548</v>
      </c>
      <c r="E25" s="2" t="s">
        <v>47</v>
      </c>
      <c r="F25" s="6">
        <f>B25*_PG1+C25</f>
        <v>2.5</v>
      </c>
      <c r="G25" s="59" t="s">
        <v>131</v>
      </c>
      <c r="H25" s="6">
        <f>'Sensitivity Report 3'!E21/Sbase</f>
        <v>10</v>
      </c>
      <c r="I25" s="2" t="s">
        <v>48</v>
      </c>
      <c r="K25" s="32"/>
      <c r="M25" s="7"/>
      <c r="N25" s="7"/>
      <c r="Q25" s="29"/>
      <c r="X25" s="90">
        <f>_V3</f>
        <v>0.99871115742522842</v>
      </c>
    </row>
    <row r="26" spans="1:30" s="2" customFormat="1" ht="13" customHeight="1" x14ac:dyDescent="0.25">
      <c r="A26" s="17"/>
      <c r="F26" s="6"/>
      <c r="G26" s="59" t="s">
        <v>132</v>
      </c>
      <c r="H26" s="6">
        <f>'Sensitivity Report 3'!E22/Sbase</f>
        <v>10.00000000158297</v>
      </c>
      <c r="I26" s="2" t="s">
        <v>48</v>
      </c>
      <c r="K26" s="32"/>
      <c r="M26" s="7"/>
      <c r="N26" s="7"/>
      <c r="Z26" s="84">
        <f>_PD3*Sbase</f>
        <v>200</v>
      </c>
      <c r="AA26" s="81" t="s">
        <v>50</v>
      </c>
    </row>
    <row r="27" spans="1:30" s="2" customFormat="1" ht="13" customHeight="1" x14ac:dyDescent="0.2">
      <c r="A27" s="43" t="s">
        <v>61</v>
      </c>
      <c r="B27" s="44"/>
      <c r="C27" s="7"/>
      <c r="D27" s="45">
        <f>D24+D25</f>
        <v>2800.000000000548</v>
      </c>
      <c r="E27" s="2" t="s">
        <v>47</v>
      </c>
      <c r="F27" s="41" t="s">
        <v>108</v>
      </c>
      <c r="M27" s="7"/>
      <c r="N27" s="7"/>
      <c r="Z27" s="81">
        <f>_QD3*Sbase</f>
        <v>0</v>
      </c>
      <c r="AA27" s="81" t="s">
        <v>116</v>
      </c>
    </row>
    <row r="28" spans="1:30" s="2" customFormat="1" ht="13" customHeight="1" x14ac:dyDescent="0.25">
      <c r="A28" s="42" t="s">
        <v>115</v>
      </c>
      <c r="B28" s="20"/>
      <c r="C28" s="20"/>
      <c r="G28" s="70" t="s">
        <v>138</v>
      </c>
      <c r="H28" s="6">
        <f>H24-H25</f>
        <v>1.6652279555273708E-10</v>
      </c>
      <c r="I28" s="2" t="s">
        <v>48</v>
      </c>
      <c r="M28" s="7"/>
      <c r="N28" s="7"/>
      <c r="Z28" s="81"/>
      <c r="AA28" s="81"/>
    </row>
    <row r="29" spans="1:30" s="2" customFormat="1" ht="13" customHeight="1" x14ac:dyDescent="0.25">
      <c r="B29" s="30" t="s">
        <v>62</v>
      </c>
      <c r="C29" s="31">
        <f>_PG1-_PD1</f>
        <v>0.25</v>
      </c>
      <c r="D29" s="33">
        <f>(_V1*_V1*_G11+_V1*_V2*(_G12*COS(_T1-_T2)+_B12*SIN(_T1-_T2))+_V1*_V3*(_G13*COS(_T1-_T3)+_B13*SIN(_T1-_T3)))</f>
        <v>0.24999979313874293</v>
      </c>
      <c r="F29" s="41" t="s">
        <v>109</v>
      </c>
      <c r="G29" s="70" t="s">
        <v>139</v>
      </c>
      <c r="H29" s="6">
        <f>H24-H26</f>
        <v>-1.4164474038125263E-9</v>
      </c>
      <c r="I29" s="2" t="s">
        <v>48</v>
      </c>
      <c r="M29" s="7"/>
      <c r="N29" s="32"/>
    </row>
    <row r="30" spans="1:30" s="2" customFormat="1" ht="13" customHeight="1" x14ac:dyDescent="0.2">
      <c r="B30" s="30" t="s">
        <v>63</v>
      </c>
      <c r="C30" s="31">
        <f>_PG2-_PD2</f>
        <v>0.750000000000274</v>
      </c>
      <c r="D30" s="33">
        <f>(_V2*_V2*_G22+_V2*_V1*(_G21*COS(_T2-_T1)+_B21*SIN(_T2-_T1))+_V2*_V3*(_G23*COS(_T2-_T3)+_B23*SIN(_T2-_T3)))</f>
        <v>0.75000020811286183</v>
      </c>
      <c r="F30" s="41" t="s">
        <v>110</v>
      </c>
      <c r="M30" s="7"/>
      <c r="N30" s="32"/>
    </row>
    <row r="31" spans="1:30" s="2" customFormat="1" ht="13" customHeight="1" x14ac:dyDescent="0.2">
      <c r="B31" s="30" t="s">
        <v>64</v>
      </c>
      <c r="C31" s="31">
        <f>_PG3-_PD3</f>
        <v>-1</v>
      </c>
      <c r="D31" s="33">
        <f>(_V3*_V3*_G33+_V3*_V1*(_G31*COS(_T3-_T1)+_B31*SIN(_T3-_T1))+_V3*_V2*(_G32*COS(_T3-_T2)+_B32*SIN(_T3-_T2)))</f>
        <v>-1.0000000012516048</v>
      </c>
      <c r="F31" s="41" t="s">
        <v>111</v>
      </c>
      <c r="M31" s="32"/>
      <c r="N31" s="7"/>
    </row>
    <row r="32" spans="1:30" s="2" customFormat="1" ht="13" customHeight="1" x14ac:dyDescent="0.2">
      <c r="B32" s="30" t="s">
        <v>65</v>
      </c>
      <c r="C32" s="31">
        <f>_QG1-_QD1</f>
        <v>2.2981125968684214E-2</v>
      </c>
      <c r="D32" s="33">
        <f>(-_V1*_V1*_B11+_V1*_V2*(_G12*SIN(_T1-_T2)-_B12*COS(_T1-_T2))+_V1*_V3*(_G13*SIN(_T1-_T3)-_B13*COS(_T1-_T3)))</f>
        <v>2.2981098886196705E-2</v>
      </c>
      <c r="F32" s="41" t="s">
        <v>112</v>
      </c>
      <c r="M32" s="7"/>
      <c r="N32" s="7"/>
      <c r="P32" s="8"/>
    </row>
    <row r="33" spans="1:27" s="2" customFormat="1" ht="13" customHeight="1" x14ac:dyDescent="0.2">
      <c r="B33" s="30" t="s">
        <v>66</v>
      </c>
      <c r="C33" s="31">
        <f>_QG2-_QD2</f>
        <v>3.1322035732775186E-2</v>
      </c>
      <c r="D33" s="33">
        <f>(-_V2*_V2*_B22+_V2*_V1*(_G21*SIN(_T2-_T1)-_B21*COS(_T2-_T1))+_V2*_V3*(_G23*SIN(_T2-_T3)-_B23*COS(_T2-_T3)))</f>
        <v>3.1321988080048158E-2</v>
      </c>
      <c r="E33" s="24"/>
      <c r="F33" s="41" t="s">
        <v>113</v>
      </c>
      <c r="H33" s="24"/>
      <c r="I33" s="7"/>
      <c r="K33" s="7"/>
      <c r="L33" s="7"/>
      <c r="M33" s="7"/>
      <c r="N33" s="7"/>
    </row>
    <row r="34" spans="1:27" s="2" customFormat="1" ht="13" customHeight="1" x14ac:dyDescent="0.2">
      <c r="A34"/>
      <c r="B34" s="30" t="s">
        <v>67</v>
      </c>
      <c r="C34" s="31">
        <f>_QG3-_QD3</f>
        <v>0</v>
      </c>
      <c r="D34" s="33">
        <f>(-_V3*_V3*_B33+_V3*_V1*(_G31*SIN(_T3-_T1)-_B31*COS(_T3-_T1))+_V3*_V2*(_G32*SIN(_T3-_T2)-_B32*COS(_T3-_T2)))</f>
        <v>-1.7427433718353313E-8</v>
      </c>
      <c r="E34" s="7"/>
      <c r="F34" s="41" t="s">
        <v>114</v>
      </c>
      <c r="H34" s="7"/>
      <c r="I34" s="7"/>
      <c r="K34" s="7"/>
      <c r="L34" s="7"/>
      <c r="M34" s="7"/>
      <c r="N34" s="7"/>
    </row>
    <row r="35" spans="1:27" s="2" customFormat="1" x14ac:dyDescent="0.2">
      <c r="E35" s="7"/>
      <c r="F35" s="7"/>
      <c r="G35" s="7"/>
      <c r="H35" s="7"/>
      <c r="I35" s="7"/>
      <c r="K35" s="7"/>
      <c r="L35" s="7"/>
      <c r="M35" s="7"/>
      <c r="N35" s="7"/>
    </row>
    <row r="36" spans="1:27" s="2" customFormat="1" x14ac:dyDescent="0.2">
      <c r="A36" s="47"/>
      <c r="B36" s="47" t="s">
        <v>119</v>
      </c>
      <c r="C36" s="15" t="s">
        <v>121</v>
      </c>
      <c r="D36" s="47" t="s">
        <v>122</v>
      </c>
      <c r="E36" s="7"/>
      <c r="F36" s="47"/>
      <c r="G36" s="62" t="s">
        <v>124</v>
      </c>
      <c r="J36" s="47"/>
      <c r="K36" s="47" t="s">
        <v>129</v>
      </c>
      <c r="L36" s="7"/>
      <c r="M36" s="7"/>
      <c r="N36" s="7"/>
    </row>
    <row r="37" spans="1:27" s="2" customFormat="1" x14ac:dyDescent="0.2">
      <c r="A37" s="2" t="s">
        <v>117</v>
      </c>
      <c r="B37" s="46">
        <f>E13*H24</f>
        <v>500.00000000832614</v>
      </c>
      <c r="C37" s="46">
        <f>D24</f>
        <v>1100</v>
      </c>
      <c r="D37" s="46">
        <f>B37-C37</f>
        <v>-599.9999999916738</v>
      </c>
      <c r="E37" s="19"/>
      <c r="F37" s="19" t="s">
        <v>125</v>
      </c>
      <c r="G37" s="19">
        <f>_PD3*Sbase*H26</f>
        <v>2000.000000316594</v>
      </c>
      <c r="J37" s="19" t="s">
        <v>128</v>
      </c>
      <c r="K37" s="19">
        <f>G39-B39</f>
        <v>3.077198016399052E-7</v>
      </c>
      <c r="L37" s="7"/>
      <c r="M37" s="7"/>
      <c r="N37" s="7"/>
    </row>
    <row r="38" spans="1:27" s="2" customFormat="1" x14ac:dyDescent="0.2">
      <c r="A38" s="47" t="s">
        <v>118</v>
      </c>
      <c r="B38" s="48">
        <f>E14*H25</f>
        <v>1500.000000000548</v>
      </c>
      <c r="C38" s="48">
        <f>D25</f>
        <v>1700.000000000548</v>
      </c>
      <c r="D38" s="48">
        <f t="shared" ref="D38:D39" si="0">B38-C38</f>
        <v>-200</v>
      </c>
      <c r="E38" s="19"/>
      <c r="F38" s="47"/>
      <c r="G38" s="47"/>
      <c r="J38" s="48"/>
      <c r="K38" s="47"/>
      <c r="L38" s="7"/>
      <c r="M38" s="7"/>
      <c r="N38" s="7"/>
    </row>
    <row r="39" spans="1:27" s="2" customFormat="1" x14ac:dyDescent="0.2">
      <c r="A39" s="2" t="s">
        <v>120</v>
      </c>
      <c r="B39" s="46">
        <f>SUM(B37:B38)</f>
        <v>2000.0000000088742</v>
      </c>
      <c r="C39" s="46">
        <f>SUM(C37:C38)</f>
        <v>2800.000000000548</v>
      </c>
      <c r="D39" s="46">
        <f t="shared" si="0"/>
        <v>-799.9999999916738</v>
      </c>
      <c r="E39" s="19"/>
      <c r="F39" s="19" t="s">
        <v>120</v>
      </c>
      <c r="G39" s="19">
        <f>G37</f>
        <v>2000.000000316594</v>
      </c>
      <c r="J39" s="19" t="s">
        <v>120</v>
      </c>
      <c r="K39" s="19">
        <f>G39-B39</f>
        <v>3.077198016399052E-7</v>
      </c>
      <c r="L39" s="32"/>
      <c r="M39" s="63" t="s">
        <v>143</v>
      </c>
      <c r="N39" s="63"/>
      <c r="O39" s="64"/>
      <c r="P39" s="64"/>
    </row>
    <row r="40" spans="1:27" s="2" customFormat="1" x14ac:dyDescent="0.2">
      <c r="C40" s="7"/>
      <c r="D40" s="7"/>
      <c r="E40" s="7"/>
      <c r="F40" s="49"/>
      <c r="G40" s="7"/>
      <c r="H40" s="7"/>
      <c r="I40" s="7"/>
      <c r="J40" s="7"/>
      <c r="K40" s="7"/>
      <c r="L40" s="32"/>
      <c r="M40" s="32"/>
      <c r="N40" s="32"/>
      <c r="O40" s="32"/>
      <c r="P40" s="32"/>
      <c r="Q40" s="32"/>
      <c r="R40" s="32"/>
    </row>
    <row r="41" spans="1:27" s="2" customFormat="1" x14ac:dyDescent="0.2">
      <c r="A41" s="7" t="s">
        <v>57</v>
      </c>
      <c r="B41" s="49"/>
      <c r="C41" s="7"/>
      <c r="D41" s="7"/>
      <c r="E41" s="7"/>
      <c r="F41" s="7"/>
      <c r="I41" s="7"/>
      <c r="J41" s="7"/>
      <c r="K41" s="92"/>
      <c r="L41" s="92"/>
    </row>
    <row r="42" spans="1:27" s="2" customFormat="1" x14ac:dyDescent="0.2">
      <c r="A42" s="7" t="s">
        <v>58</v>
      </c>
      <c r="B42" s="24"/>
      <c r="C42" s="24"/>
      <c r="D42" s="24"/>
      <c r="E42" s="24"/>
      <c r="F42" s="24"/>
      <c r="G42" s="24"/>
      <c r="H42" s="24"/>
      <c r="I42" s="7"/>
      <c r="J42" s="7"/>
      <c r="K42" s="7"/>
      <c r="L42" s="7"/>
    </row>
    <row r="43" spans="1:27" s="2" customFormat="1" x14ac:dyDescent="0.2">
      <c r="A43" s="7"/>
      <c r="B43" s="24" t="s">
        <v>3</v>
      </c>
      <c r="C43" s="24" t="s">
        <v>4</v>
      </c>
      <c r="D43" s="24" t="s">
        <v>5</v>
      </c>
      <c r="E43" s="24" t="s">
        <v>6</v>
      </c>
      <c r="F43" s="24" t="s">
        <v>7</v>
      </c>
      <c r="G43" s="24" t="s">
        <v>8</v>
      </c>
      <c r="H43" s="50" t="s">
        <v>9</v>
      </c>
      <c r="I43" s="7"/>
      <c r="J43" s="42" t="s">
        <v>28</v>
      </c>
      <c r="L43" s="92" t="s">
        <v>123</v>
      </c>
      <c r="M43" s="92"/>
      <c r="Y43" s="50" t="s">
        <v>9</v>
      </c>
      <c r="Z43" s="7"/>
      <c r="AA43" s="42" t="s">
        <v>28</v>
      </c>
    </row>
    <row r="44" spans="1:27" s="2" customFormat="1" x14ac:dyDescent="0.2">
      <c r="A44" s="47"/>
      <c r="B44" s="15" t="s">
        <v>126</v>
      </c>
      <c r="C44" s="15" t="s">
        <v>126</v>
      </c>
      <c r="D44" s="15" t="s">
        <v>126</v>
      </c>
      <c r="E44" s="15" t="s">
        <v>126</v>
      </c>
      <c r="F44" s="15" t="s">
        <v>126</v>
      </c>
      <c r="G44" s="15" t="s">
        <v>126</v>
      </c>
      <c r="H44" s="55" t="s">
        <v>50</v>
      </c>
      <c r="I44" s="15"/>
      <c r="J44" s="56" t="s">
        <v>50</v>
      </c>
      <c r="L44" s="15" t="s">
        <v>23</v>
      </c>
      <c r="M44" s="15" t="s">
        <v>24</v>
      </c>
      <c r="Y44" s="55" t="s">
        <v>1</v>
      </c>
      <c r="Z44" s="15"/>
      <c r="AA44" s="56" t="s">
        <v>1</v>
      </c>
    </row>
    <row r="45" spans="1:27" s="2" customFormat="1" ht="17" x14ac:dyDescent="0.25">
      <c r="A45" s="24">
        <v>12</v>
      </c>
      <c r="B45" s="51">
        <f>_V1*_V2*(_G12*COS(_T1-_T2)+_B12*SIN(_T1-_T2))-_G12*_V1*_V1</f>
        <v>-0.16680617889028648</v>
      </c>
      <c r="C45" s="51">
        <f>_V1*_V2*(_G12*COS(_T2-_T1)+_B12*SIN(_T2-_T1))-_G12*_V2*_V2</f>
        <v>0.16680617889028648</v>
      </c>
      <c r="D45" s="51">
        <f>_V1*_V2*(_G12*SIN(_T1-_T2)-_B12*COS(_T1-_T2))+(_B12)*_V1*_V1</f>
        <v>1.3913118532329349E-3</v>
      </c>
      <c r="E45" s="51">
        <f>_V2*_V1*(_G21*SIN(_T2-_T1)-_B21*COS(_T2-_T1))+(_B21)*_V2*_V2</f>
        <v>1.3913118532329349E-3</v>
      </c>
      <c r="F45" s="51">
        <f>ABS(B45-C45)/2</f>
        <v>0.16680617889028648</v>
      </c>
      <c r="G45" s="51">
        <f>ABS(D45-E45)/2</f>
        <v>0</v>
      </c>
      <c r="H45" s="86">
        <f>(F45*F45)^0.5*Sbase</f>
        <v>33.361235778057299</v>
      </c>
      <c r="I45" s="87" t="s">
        <v>29</v>
      </c>
      <c r="J45" s="88">
        <f>Database!G18</f>
        <v>100</v>
      </c>
      <c r="L45" s="53">
        <f>B45+C45</f>
        <v>0</v>
      </c>
      <c r="M45" s="53">
        <f>D45+E45</f>
        <v>2.7826237064658699E-3</v>
      </c>
      <c r="Y45" s="86" t="s">
        <v>174</v>
      </c>
      <c r="Z45" s="87" t="s">
        <v>29</v>
      </c>
      <c r="AA45" s="88">
        <f>J45</f>
        <v>100</v>
      </c>
    </row>
    <row r="46" spans="1:27" s="2" customFormat="1" ht="17" x14ac:dyDescent="0.25">
      <c r="A46" s="24">
        <v>13</v>
      </c>
      <c r="B46" s="51">
        <f>_V1*_V3*(_G13*COS(_T1-_T3)+_B13*SIN(_T1-_T3))-_G13*_V1*_V1</f>
        <v>0.41680597202902941</v>
      </c>
      <c r="C46" s="51">
        <f>_V3*_V1*(_G13*COS(_T3-_T1)+_B13*SIN(_T3-_T1))-_G13*_V3*_V3</f>
        <v>-0.41680597202902941</v>
      </c>
      <c r="D46" s="51">
        <f>_V1*_V3*(_G13*SIN(_T1-_T3)-_B13*COS(_T1-_T3))+(_B13)*_V1*_V1</f>
        <v>2.158978703296377E-2</v>
      </c>
      <c r="E46" s="51">
        <f>_V3*_V1*(_G31*SIN(_T3-_T1)-_B31*COS(_T3-_T1))+(_B31)*_V3*_V3</f>
        <v>-4.1704533106425856E-3</v>
      </c>
      <c r="F46" s="51">
        <f t="shared" ref="F46:F47" si="1">ABS(B46-C46)/2</f>
        <v>0.41680597202902941</v>
      </c>
      <c r="G46" s="51">
        <f t="shared" ref="G46:G47" si="2">ABS(D46-E46)/2</f>
        <v>1.2880120171803178E-2</v>
      </c>
      <c r="H46" s="52">
        <f>(F46*F46)^0.5*Sbase</f>
        <v>83.36119440580589</v>
      </c>
      <c r="I46" s="77" t="s">
        <v>29</v>
      </c>
      <c r="J46" s="42">
        <f>Database!G20</f>
        <v>200</v>
      </c>
      <c r="L46" s="53">
        <f>B46+C46</f>
        <v>0</v>
      </c>
      <c r="M46" s="53">
        <f>D46+E46</f>
        <v>1.7419333722321184E-2</v>
      </c>
      <c r="Y46" s="52" t="s">
        <v>175</v>
      </c>
      <c r="Z46" s="77" t="s">
        <v>29</v>
      </c>
      <c r="AA46" s="42">
        <f>J46</f>
        <v>200</v>
      </c>
    </row>
    <row r="47" spans="1:27" s="2" customFormat="1" ht="17" x14ac:dyDescent="0.25">
      <c r="A47" s="15">
        <v>23</v>
      </c>
      <c r="B47" s="58">
        <f>_V2*_V3*(_G23*COS(_T2-_T3)+_B23*SIN(_T2-_T3))-_G23*_V2*_V2</f>
        <v>0.58319402922257535</v>
      </c>
      <c r="C47" s="58">
        <f>_V3*_V2*(_G23*COS(_T3-_T2)+_B23*SIN(_T3-_T2))-_G23*_V3*_V3</f>
        <v>-0.58319402922257535</v>
      </c>
      <c r="D47" s="58">
        <f>_V2*_V3*(_G23*SIN(_T2-_T3)-_B23*COS(_T2-_T3))+(_B23)*_V2*_V2</f>
        <v>2.9930676226815223E-2</v>
      </c>
      <c r="E47" s="58">
        <f>_V3*_V2*(_G32*SIN(_T3-_T2)-_B32*COS(_T3-_T2))+(_B32)*_V3*_V3</f>
        <v>4.1704358832088673E-3</v>
      </c>
      <c r="F47" s="58">
        <f t="shared" si="1"/>
        <v>0.58319402922257535</v>
      </c>
      <c r="G47" s="58">
        <f t="shared" si="2"/>
        <v>1.2880120171803178E-2</v>
      </c>
      <c r="H47" s="89">
        <f>(F47*F47)^0.5*Sbase</f>
        <v>116.63880584451508</v>
      </c>
      <c r="I47" s="15" t="s">
        <v>29</v>
      </c>
      <c r="J47" s="56">
        <f>Database!G19</f>
        <v>200</v>
      </c>
      <c r="L47" s="57">
        <f>B47+C47</f>
        <v>0</v>
      </c>
      <c r="M47" s="57">
        <f>D47+E47</f>
        <v>3.410111211002409E-2</v>
      </c>
      <c r="Y47" s="89" t="s">
        <v>176</v>
      </c>
      <c r="Z47" s="15" t="s">
        <v>29</v>
      </c>
      <c r="AA47" s="56">
        <f>J47</f>
        <v>200</v>
      </c>
    </row>
    <row r="48" spans="1:27" s="2" customFormat="1" x14ac:dyDescent="0.2">
      <c r="A48" s="7"/>
      <c r="B48" s="54"/>
      <c r="C48" s="54"/>
      <c r="D48" s="54"/>
      <c r="E48" s="54"/>
      <c r="F48" s="7"/>
      <c r="G48" s="7"/>
      <c r="H48" s="7"/>
      <c r="I48" s="7"/>
      <c r="K48" s="7"/>
      <c r="L48" s="53">
        <f>SUM(L45:L47)</f>
        <v>0</v>
      </c>
      <c r="M48" s="53">
        <f>SUM(M45:M47)</f>
        <v>5.4303069538811144E-2</v>
      </c>
    </row>
    <row r="49" spans="1:30" s="2" customFormat="1" x14ac:dyDescent="0.2">
      <c r="A49" s="7"/>
      <c r="B49" s="54"/>
      <c r="C49" s="7"/>
      <c r="D49" s="54"/>
      <c r="E49" s="7"/>
      <c r="F49" s="7"/>
      <c r="G49" s="7"/>
      <c r="H49" s="7"/>
      <c r="I49" s="7"/>
      <c r="K49" s="7"/>
      <c r="L49" s="19">
        <f>(_PG1+_PG2+_PG3-_PD1-_PD2-_PD3)*Sbase</f>
        <v>5.4800608495497727E-11</v>
      </c>
      <c r="M49" s="19">
        <f>(_QG1+_QG2+_QG3-_QD1-_QD2-_QD3)*Sbase</f>
        <v>10.860632340291881</v>
      </c>
    </row>
    <row r="50" spans="1:30" s="2" customFormat="1" x14ac:dyDescent="0.2">
      <c r="C50" s="37"/>
      <c r="L50" s="12" t="s">
        <v>50</v>
      </c>
      <c r="M50" s="12" t="s">
        <v>116</v>
      </c>
    </row>
    <row r="51" spans="1:30" s="2" customFormat="1" x14ac:dyDescent="0.2">
      <c r="A51" s="38" t="s">
        <v>140</v>
      </c>
    </row>
    <row r="52" spans="1:30" s="2" customFormat="1" x14ac:dyDescent="0.2">
      <c r="A52" s="2" t="s">
        <v>141</v>
      </c>
      <c r="D52" s="37">
        <v>0</v>
      </c>
      <c r="E52" s="37" t="s">
        <v>47</v>
      </c>
    </row>
    <row r="53" spans="1:30" x14ac:dyDescent="0.2">
      <c r="A53" s="2" t="s">
        <v>141</v>
      </c>
      <c r="B53" s="2"/>
      <c r="C53" s="2"/>
      <c r="D53" s="37">
        <f>E14*K25</f>
        <v>0</v>
      </c>
      <c r="E53" s="37" t="s">
        <v>47</v>
      </c>
      <c r="F53" s="2" t="s">
        <v>144</v>
      </c>
      <c r="G53" s="2"/>
      <c r="H53" s="37">
        <f>-D53</f>
        <v>0</v>
      </c>
      <c r="I53" s="2" t="s">
        <v>47</v>
      </c>
      <c r="J53" s="2" t="s">
        <v>145</v>
      </c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</row>
    <row r="54" spans="1:30" x14ac:dyDescent="0.2">
      <c r="A54" s="2" t="s">
        <v>142</v>
      </c>
      <c r="B54" s="2"/>
      <c r="C54" s="2"/>
      <c r="D54" s="61">
        <f>-_PD3*Sbase*K26</f>
        <v>0</v>
      </c>
      <c r="E54" s="61" t="s">
        <v>47</v>
      </c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</row>
    <row r="55" spans="1:30" x14ac:dyDescent="0.2">
      <c r="A55" s="2"/>
      <c r="B55" s="2"/>
      <c r="C55" s="2"/>
      <c r="D55" s="37">
        <f>SUM(D52:D54)</f>
        <v>0</v>
      </c>
      <c r="E55" s="37" t="s">
        <v>47</v>
      </c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</row>
    <row r="56" spans="1:30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</row>
    <row r="57" spans="1:30" x14ac:dyDescent="0.2">
      <c r="A57" s="2"/>
      <c r="B57" s="2"/>
      <c r="C57" s="2"/>
      <c r="D57" s="37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</row>
    <row r="58" spans="1:30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</row>
    <row r="59" spans="1:30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</row>
    <row r="60" spans="1:30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</row>
    <row r="61" spans="1:30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</row>
    <row r="62" spans="1:30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</row>
    <row r="63" spans="1:30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</row>
    <row r="64" spans="1:30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</row>
    <row r="65" spans="1:30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</row>
    <row r="66" spans="1:30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</row>
    <row r="67" spans="1:30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</row>
    <row r="68" spans="1:30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</row>
    <row r="69" spans="1:30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</row>
    <row r="70" spans="1:30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</row>
    <row r="71" spans="1:30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</row>
    <row r="72" spans="1:30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</row>
    <row r="73" spans="1:30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</row>
    <row r="74" spans="1:30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</row>
    <row r="75" spans="1:30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</row>
    <row r="76" spans="1:30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</row>
    <row r="77" spans="1:30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</row>
    <row r="78" spans="1:30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</row>
    <row r="79" spans="1:30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</row>
    <row r="80" spans="1:30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</row>
    <row r="81" spans="1:30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</row>
    <row r="82" spans="1:30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</row>
    <row r="83" spans="1:30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</row>
    <row r="84" spans="1:30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</row>
    <row r="85" spans="1:30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</row>
    <row r="86" spans="1:30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</row>
    <row r="87" spans="1:30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</row>
    <row r="88" spans="1:30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</row>
    <row r="89" spans="1:30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</row>
    <row r="90" spans="1:30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</row>
    <row r="91" spans="1:30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</row>
    <row r="92" spans="1:30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</row>
    <row r="93" spans="1:30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</row>
    <row r="94" spans="1:30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</row>
    <row r="95" spans="1:30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</row>
    <row r="96" spans="1:30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</row>
    <row r="97" spans="1:30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</row>
    <row r="98" spans="1:30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</row>
    <row r="99" spans="1:30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</row>
    <row r="100" spans="1:30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</row>
    <row r="101" spans="1:30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</row>
    <row r="102" spans="1:30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</row>
    <row r="103" spans="1:30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</row>
    <row r="104" spans="1:30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</row>
    <row r="105" spans="1:30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</row>
    <row r="106" spans="1:30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</row>
    <row r="107" spans="1:30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</row>
    <row r="108" spans="1:30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</row>
    <row r="109" spans="1:30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</row>
    <row r="110" spans="1:30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</row>
    <row r="111" spans="1:30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</row>
    <row r="112" spans="1:30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</row>
    <row r="113" spans="1:30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</row>
    <row r="114" spans="1:30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</row>
    <row r="115" spans="1:30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</row>
    <row r="116" spans="1:30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</row>
    <row r="117" spans="1:30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</row>
    <row r="118" spans="1:30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</row>
    <row r="119" spans="1:30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</row>
    <row r="120" spans="1:30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</row>
    <row r="121" spans="1:30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</row>
    <row r="122" spans="1:30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</row>
    <row r="123" spans="1:30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</row>
    <row r="124" spans="1:30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</row>
    <row r="125" spans="1:30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</row>
    <row r="126" spans="1:30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</row>
    <row r="127" spans="1:30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</row>
    <row r="128" spans="1:30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</row>
    <row r="129" spans="1:30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</row>
    <row r="130" spans="1:30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</row>
    <row r="131" spans="1:30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</row>
    <row r="132" spans="1:30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</row>
    <row r="133" spans="1:30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</row>
    <row r="134" spans="1:30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</row>
    <row r="135" spans="1:30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</row>
    <row r="136" spans="1:30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</row>
    <row r="137" spans="1:30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</row>
    <row r="138" spans="1:30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</row>
    <row r="139" spans="1:30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</row>
    <row r="140" spans="1:30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</row>
  </sheetData>
  <mergeCells count="7">
    <mergeCell ref="L43:M43"/>
    <mergeCell ref="E12:F12"/>
    <mergeCell ref="G7:N7"/>
    <mergeCell ref="A9:B9"/>
    <mergeCell ref="C9:D9"/>
    <mergeCell ref="A22:E22"/>
    <mergeCell ref="K41:L41"/>
  </mergeCells>
  <phoneticPr fontId="21" type="noConversion"/>
  <pageMargins left="0.7" right="0.7" top="0.75" bottom="0.75" header="0.3" footer="0.3"/>
  <pageSetup paperSize="9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03E2E0-D553-204A-8AB9-D2E90085CA0F}">
  <dimension ref="A1:AD140"/>
  <sheetViews>
    <sheetView tabSelected="1" zoomScale="210" zoomScaleNormal="210" zoomScalePageLayoutView="130" workbookViewId="0">
      <pane ySplit="5" topLeftCell="A6" activePane="bottomLeft" state="frozen"/>
      <selection pane="bottomLeft" activeCell="L16" sqref="L16"/>
    </sheetView>
  </sheetViews>
  <sheetFormatPr baseColWidth="10" defaultColWidth="11.5" defaultRowHeight="15" x14ac:dyDescent="0.2"/>
  <cols>
    <col min="1" max="2" width="8.83203125" customWidth="1"/>
    <col min="3" max="3" width="9.83203125" customWidth="1"/>
    <col min="4" max="4" width="12.5" customWidth="1"/>
    <col min="5" max="6" width="8.83203125" customWidth="1"/>
    <col min="7" max="7" width="8.1640625" customWidth="1"/>
    <col min="8" max="8" width="8.83203125" customWidth="1"/>
    <col min="9" max="9" width="8.33203125" customWidth="1"/>
    <col min="10" max="10" width="5.33203125" customWidth="1"/>
    <col min="11" max="12" width="8.83203125" customWidth="1"/>
    <col min="13" max="13" width="9.6640625" customWidth="1"/>
    <col min="14" max="14" width="3.1640625" customWidth="1"/>
    <col min="15" max="15" width="8.83203125" customWidth="1"/>
    <col min="16" max="16" width="5.1640625" customWidth="1"/>
    <col min="17" max="17" width="1.83203125" customWidth="1"/>
    <col min="18" max="18" width="4.5" customWidth="1"/>
    <col min="19" max="20" width="1.6640625" hidden="1" customWidth="1"/>
    <col min="21" max="22" width="1.1640625" hidden="1" customWidth="1"/>
    <col min="24" max="24" width="4.6640625" customWidth="1"/>
    <col min="26" max="26" width="6.33203125" customWidth="1"/>
    <col min="27" max="27" width="7.5" customWidth="1"/>
    <col min="28" max="28" width="8.1640625" customWidth="1"/>
  </cols>
  <sheetData>
    <row r="1" spans="1:30" s="2" customFormat="1" x14ac:dyDescent="0.2"/>
    <row r="2" spans="1:30" s="2" customFormat="1" ht="19" x14ac:dyDescent="0.25">
      <c r="E2" s="9" t="s">
        <v>38</v>
      </c>
    </row>
    <row r="3" spans="1:30" s="2" customFormat="1" ht="19" x14ac:dyDescent="0.25">
      <c r="E3" s="71" t="s">
        <v>156</v>
      </c>
    </row>
    <row r="4" spans="1:30" s="2" customFormat="1" x14ac:dyDescent="0.2"/>
    <row r="5" spans="1:30" s="11" customFormat="1" ht="5" customHeight="1" x14ac:dyDescent="0.2"/>
    <row r="6" spans="1:30" s="2" customFormat="1" x14ac:dyDescent="0.2"/>
    <row r="7" spans="1:30" s="2" customFormat="1" x14ac:dyDescent="0.2">
      <c r="A7" s="1" t="s">
        <v>0</v>
      </c>
      <c r="B7" s="1">
        <f>Database!C19</f>
        <v>200</v>
      </c>
      <c r="C7" s="1" t="s">
        <v>1</v>
      </c>
      <c r="G7" s="94" t="s">
        <v>53</v>
      </c>
      <c r="H7" s="94"/>
      <c r="I7" s="94"/>
      <c r="J7" s="94"/>
      <c r="K7" s="94"/>
      <c r="L7" s="94"/>
      <c r="M7" s="94"/>
      <c r="N7" s="94"/>
    </row>
    <row r="8" spans="1:30" s="2" customFormat="1" x14ac:dyDescent="0.2">
      <c r="A8" s="7"/>
      <c r="B8" s="7"/>
      <c r="C8" s="7"/>
      <c r="D8" s="7"/>
      <c r="E8" s="7"/>
      <c r="F8" s="7"/>
      <c r="G8" s="4">
        <f>P8/(P8*P8+R8*R8)+P9/(P9*P9+R9*R9)</f>
        <v>0</v>
      </c>
      <c r="H8" s="3">
        <f>-P8/(P8*P8+R8*R8)</f>
        <v>0</v>
      </c>
      <c r="I8" s="3">
        <f>-P9/(P9*P9+R9*R9)</f>
        <v>0</v>
      </c>
      <c r="K8" s="5">
        <f>-R8/(P8*P8+R8*R8)-R9/(R9*R9+P9*P9)</f>
        <v>-19.999999999999996</v>
      </c>
      <c r="L8" s="5">
        <f>R8/(R8*R8+P8*P8)</f>
        <v>9.9999999999999982</v>
      </c>
      <c r="M8" s="5">
        <f>R9/(R9*R9+P9*P9)</f>
        <v>9.9999999999999982</v>
      </c>
      <c r="N8" s="7"/>
      <c r="O8" s="40" t="s">
        <v>25</v>
      </c>
      <c r="P8" s="2">
        <v>0</v>
      </c>
      <c r="Q8" s="16" t="s">
        <v>2</v>
      </c>
      <c r="R8" s="39">
        <v>0.1</v>
      </c>
    </row>
    <row r="9" spans="1:30" s="2" customFormat="1" x14ac:dyDescent="0.2">
      <c r="A9" s="91" t="s">
        <v>147</v>
      </c>
      <c r="B9" s="91"/>
      <c r="C9" s="95" t="s">
        <v>148</v>
      </c>
      <c r="D9" s="95"/>
      <c r="F9" s="17" t="s">
        <v>30</v>
      </c>
      <c r="G9" s="3">
        <f>_G12</f>
        <v>0</v>
      </c>
      <c r="H9" s="3">
        <f>P8/(P8*P8+R8*R8)+P10/(P10*P10+R10*R10)</f>
        <v>0</v>
      </c>
      <c r="I9" s="3">
        <f>-P10/(P10*P10+R10*R10)</f>
        <v>0</v>
      </c>
      <c r="J9" s="60" t="s">
        <v>2</v>
      </c>
      <c r="K9" s="5">
        <f>_B12</f>
        <v>9.9999999999999982</v>
      </c>
      <c r="L9" s="5">
        <f>-R8/(R8*R8+P8*P8)-R10/(R10*R10+P10*P10)</f>
        <v>-10.000000000099998</v>
      </c>
      <c r="M9" s="5">
        <f>R10/(R10*R10+P10*P10)</f>
        <v>1E-10</v>
      </c>
      <c r="N9" s="7"/>
      <c r="O9" s="40" t="s">
        <v>26</v>
      </c>
      <c r="P9" s="2">
        <v>0</v>
      </c>
      <c r="Q9" s="16" t="s">
        <v>2</v>
      </c>
      <c r="R9" s="39">
        <v>0.1</v>
      </c>
    </row>
    <row r="10" spans="1:30" s="2" customFormat="1" x14ac:dyDescent="0.2">
      <c r="A10" s="21" t="s">
        <v>33</v>
      </c>
      <c r="B10" s="22">
        <f>Database!M12</f>
        <v>0</v>
      </c>
      <c r="C10" s="27" t="s">
        <v>32</v>
      </c>
      <c r="D10" s="28">
        <v>1</v>
      </c>
      <c r="F10" s="17" t="s">
        <v>10</v>
      </c>
      <c r="G10" s="3">
        <f>I8</f>
        <v>0</v>
      </c>
      <c r="H10" s="3">
        <f>I9</f>
        <v>0</v>
      </c>
      <c r="I10" s="3">
        <f>P10/(P10*P10+R10*R10)+P9/(P9*P9+R9*R9)</f>
        <v>0</v>
      </c>
      <c r="K10" s="5">
        <f>_B13</f>
        <v>9.9999999999999982</v>
      </c>
      <c r="L10" s="5">
        <f>_B23</f>
        <v>1E-10</v>
      </c>
      <c r="M10" s="5">
        <f>-R9/(R9*R9+P9*P9)-R10/(R10*R10+P10*P10)</f>
        <v>-10.000000000099998</v>
      </c>
      <c r="O10" s="40" t="s">
        <v>27</v>
      </c>
      <c r="P10" s="2">
        <v>0</v>
      </c>
      <c r="Q10" s="16" t="s">
        <v>2</v>
      </c>
      <c r="R10" s="39">
        <v>10000000000</v>
      </c>
    </row>
    <row r="11" spans="1:30" x14ac:dyDescent="0.2">
      <c r="A11" s="21" t="s">
        <v>31</v>
      </c>
      <c r="B11" s="22">
        <f>Database!M13</f>
        <v>1</v>
      </c>
      <c r="C11" s="27" t="s">
        <v>35</v>
      </c>
      <c r="D11" s="28">
        <v>0</v>
      </c>
      <c r="E11" s="7"/>
      <c r="F11" s="7"/>
      <c r="G11" s="42" t="s">
        <v>134</v>
      </c>
      <c r="H11" s="2"/>
      <c r="I11" s="42" t="s">
        <v>133</v>
      </c>
      <c r="J11" s="7"/>
      <c r="K11" s="7"/>
      <c r="L11" s="7"/>
      <c r="M11" s="7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</row>
    <row r="12" spans="1:30" x14ac:dyDescent="0.2">
      <c r="A12" s="21" t="s">
        <v>34</v>
      </c>
      <c r="B12" s="22">
        <f>Database!M14</f>
        <v>1</v>
      </c>
      <c r="C12" s="27" t="s">
        <v>36</v>
      </c>
      <c r="D12" s="28">
        <v>0</v>
      </c>
      <c r="E12" s="98" t="s">
        <v>55</v>
      </c>
      <c r="F12" s="98"/>
      <c r="G12" s="76" t="s">
        <v>170</v>
      </c>
      <c r="H12" s="12"/>
      <c r="I12" s="76" t="s">
        <v>170</v>
      </c>
      <c r="J12" s="7"/>
      <c r="K12" s="7"/>
      <c r="L12" s="7"/>
      <c r="M12" s="7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spans="1:30" ht="17" x14ac:dyDescent="0.25">
      <c r="A13" s="21" t="s">
        <v>17</v>
      </c>
      <c r="B13" s="22">
        <f>Database!M15</f>
        <v>0</v>
      </c>
      <c r="C13" s="99" t="s">
        <v>11</v>
      </c>
      <c r="D13" s="100">
        <v>0.25</v>
      </c>
      <c r="E13" s="101">
        <f>_PG1*Sbase</f>
        <v>50</v>
      </c>
      <c r="F13" s="102" t="s">
        <v>50</v>
      </c>
      <c r="G13" s="42">
        <f>Database!F13</f>
        <v>50</v>
      </c>
      <c r="H13" s="12" t="s">
        <v>169</v>
      </c>
      <c r="I13" s="42">
        <f>Database!G13</f>
        <v>200</v>
      </c>
      <c r="J13" s="7"/>
      <c r="K13" s="7"/>
      <c r="L13" s="7"/>
      <c r="M13" s="7"/>
      <c r="N13" s="7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</row>
    <row r="14" spans="1:30" ht="17" x14ac:dyDescent="0.25">
      <c r="A14" s="21" t="s">
        <v>18</v>
      </c>
      <c r="B14" s="22">
        <f>Database!M16</f>
        <v>0</v>
      </c>
      <c r="C14" s="99" t="s">
        <v>12</v>
      </c>
      <c r="D14" s="100">
        <v>0.750000000000274</v>
      </c>
      <c r="E14" s="101">
        <f>_PG2*Sbase</f>
        <v>150.0000000000548</v>
      </c>
      <c r="F14" s="102" t="s">
        <v>50</v>
      </c>
      <c r="G14" s="42">
        <f>Database!F14</f>
        <v>50</v>
      </c>
      <c r="H14" s="12" t="s">
        <v>171</v>
      </c>
      <c r="I14" s="42">
        <f>Database!G14</f>
        <v>200</v>
      </c>
      <c r="J14" s="7"/>
      <c r="K14" s="7"/>
      <c r="L14" s="7"/>
      <c r="M14" s="7"/>
      <c r="N14" s="7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</row>
    <row r="15" spans="1:30" ht="17" x14ac:dyDescent="0.25">
      <c r="A15" s="21" t="s">
        <v>19</v>
      </c>
      <c r="B15" s="22">
        <f>Database!M17/Sbase</f>
        <v>1</v>
      </c>
      <c r="C15" s="103" t="s">
        <v>14</v>
      </c>
      <c r="D15" s="104">
        <v>0</v>
      </c>
      <c r="E15" s="105">
        <f>_QG1*Sbase</f>
        <v>0</v>
      </c>
      <c r="F15" s="102" t="s">
        <v>56</v>
      </c>
      <c r="G15" s="77">
        <f>Database!H13</f>
        <v>-150</v>
      </c>
      <c r="H15" s="12" t="s">
        <v>172</v>
      </c>
      <c r="I15" s="76">
        <f>Database!I13</f>
        <v>150</v>
      </c>
      <c r="J15" s="7"/>
      <c r="K15" s="7"/>
      <c r="L15" s="7"/>
      <c r="M15" s="7"/>
      <c r="N15" s="7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</row>
    <row r="16" spans="1:30" ht="17" x14ac:dyDescent="0.25">
      <c r="A16" s="21" t="s">
        <v>20</v>
      </c>
      <c r="B16" s="22">
        <f>Database!M18</f>
        <v>0</v>
      </c>
      <c r="C16" s="103" t="s">
        <v>15</v>
      </c>
      <c r="D16" s="104">
        <v>0</v>
      </c>
      <c r="E16" s="105">
        <f>_QG2*Sbase</f>
        <v>0</v>
      </c>
      <c r="F16" s="102" t="s">
        <v>56</v>
      </c>
      <c r="G16" s="77">
        <f>Database!H14</f>
        <v>-150</v>
      </c>
      <c r="H16" s="12" t="s">
        <v>173</v>
      </c>
      <c r="I16" s="76">
        <f>Database!I14</f>
        <v>150</v>
      </c>
      <c r="J16" s="7"/>
      <c r="K16" s="7"/>
      <c r="L16" s="7"/>
      <c r="M16" s="7"/>
      <c r="N16" s="7"/>
      <c r="O16" s="2"/>
      <c r="P16" s="2"/>
      <c r="Q16" s="2"/>
      <c r="R16" s="2"/>
      <c r="S16" s="2"/>
      <c r="T16" s="2"/>
      <c r="U16" s="2"/>
      <c r="V16" s="2"/>
      <c r="W16" s="2"/>
      <c r="X16" s="2"/>
      <c r="Y16" s="85">
        <f>H45</f>
        <v>0</v>
      </c>
      <c r="Z16" s="2" t="s">
        <v>50</v>
      </c>
      <c r="AA16" s="2"/>
      <c r="AB16" s="2"/>
      <c r="AC16" s="2"/>
      <c r="AD16" s="2"/>
    </row>
    <row r="17" spans="1:30" ht="15" customHeight="1" x14ac:dyDescent="0.25">
      <c r="A17" s="21" t="s">
        <v>21</v>
      </c>
      <c r="B17" s="22">
        <f>Database!M19</f>
        <v>0</v>
      </c>
      <c r="C17" s="7"/>
      <c r="D17" s="32"/>
      <c r="E17" s="32"/>
      <c r="F17" s="7"/>
      <c r="G17" s="77">
        <f>Database!G23</f>
        <v>0.95</v>
      </c>
      <c r="H17" s="12" t="s">
        <v>177</v>
      </c>
      <c r="I17" s="77">
        <f>Database!G22</f>
        <v>1.05</v>
      </c>
      <c r="J17" s="7"/>
      <c r="K17" s="7"/>
      <c r="L17" s="7"/>
      <c r="M17" s="7"/>
      <c r="N17" s="7"/>
      <c r="O17" s="2"/>
      <c r="P17" s="2"/>
      <c r="Q17" s="2"/>
      <c r="R17" s="2"/>
      <c r="S17" s="2"/>
      <c r="T17" s="2"/>
      <c r="U17" s="2"/>
      <c r="V17" s="2"/>
      <c r="W17" s="2"/>
      <c r="X17" s="2"/>
      <c r="Z17" s="2"/>
      <c r="AA17" s="2"/>
      <c r="AB17" s="2"/>
      <c r="AC17" s="2"/>
      <c r="AD17" s="2"/>
    </row>
    <row r="18" spans="1:30" x14ac:dyDescent="0.2">
      <c r="A18" s="21" t="s">
        <v>22</v>
      </c>
      <c r="B18" s="22">
        <f>Database!M20</f>
        <v>0</v>
      </c>
      <c r="C18" s="7"/>
      <c r="D18" s="7"/>
      <c r="E18" s="7"/>
      <c r="F18" s="7"/>
      <c r="G18" s="7"/>
      <c r="H18" s="7"/>
      <c r="I18" s="7"/>
      <c r="J18" s="7"/>
      <c r="K18" s="7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83"/>
      <c r="Z18" s="2"/>
      <c r="AA18" s="2"/>
      <c r="AB18" s="85">
        <f>_PG2*Sbase</f>
        <v>150.0000000000548</v>
      </c>
      <c r="AC18" s="2" t="s">
        <v>50</v>
      </c>
      <c r="AD18" s="2"/>
    </row>
    <row r="19" spans="1:30" x14ac:dyDescent="0.2">
      <c r="A19" s="21" t="s">
        <v>13</v>
      </c>
      <c r="B19" s="22">
        <f>Database!M21</f>
        <v>0</v>
      </c>
      <c r="C19" s="7"/>
      <c r="E19" s="7"/>
      <c r="G19" s="7"/>
      <c r="H19" s="7"/>
      <c r="I19" s="7"/>
      <c r="J19" s="7"/>
      <c r="K19" s="7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69">
        <f>_QG2*Sbase</f>
        <v>0</v>
      </c>
      <c r="AC19" s="2" t="s">
        <v>116</v>
      </c>
      <c r="AD19" s="2"/>
    </row>
    <row r="20" spans="1:30" x14ac:dyDescent="0.2">
      <c r="A20" s="21" t="s">
        <v>16</v>
      </c>
      <c r="B20" s="22">
        <f>Database!M22</f>
        <v>0</v>
      </c>
      <c r="C20" s="7"/>
      <c r="D20" s="7"/>
      <c r="E20" s="7"/>
      <c r="F20" s="7"/>
      <c r="G20" s="7"/>
      <c r="H20" s="7"/>
      <c r="I20" s="7"/>
      <c r="J20" s="7"/>
      <c r="K20" s="7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82">
        <f>_PG1*Sbase</f>
        <v>50</v>
      </c>
      <c r="X20" s="2" t="s">
        <v>50</v>
      </c>
      <c r="Y20" s="2"/>
      <c r="Z20" s="2"/>
      <c r="AA20" s="2"/>
      <c r="AB20" s="2"/>
      <c r="AC20" s="2"/>
      <c r="AD20" s="2"/>
    </row>
    <row r="21" spans="1:30" s="2" customFormat="1" ht="13" customHeight="1" x14ac:dyDescent="0.2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W21" s="82">
        <f>_QG1*Sbase</f>
        <v>0</v>
      </c>
      <c r="X21" s="7" t="s">
        <v>116</v>
      </c>
      <c r="Y21" s="7"/>
      <c r="Z21" s="7"/>
      <c r="AA21" s="7"/>
    </row>
    <row r="22" spans="1:30" s="7" customFormat="1" ht="13" customHeight="1" x14ac:dyDescent="0.2">
      <c r="A22" s="96" t="s">
        <v>60</v>
      </c>
      <c r="B22" s="96"/>
      <c r="C22" s="96"/>
      <c r="D22" s="96"/>
      <c r="E22" s="96"/>
      <c r="F22" s="19"/>
      <c r="G22" s="19"/>
      <c r="H22" s="19"/>
      <c r="P22" s="2"/>
      <c r="Q22" s="2"/>
      <c r="W22" s="2"/>
      <c r="Y22" s="2"/>
      <c r="AA22" s="85">
        <f>H47</f>
        <v>0</v>
      </c>
      <c r="AB22" s="81" t="s">
        <v>50</v>
      </c>
    </row>
    <row r="23" spans="1:30" s="2" customFormat="1" ht="13" customHeight="1" x14ac:dyDescent="0.2">
      <c r="A23" s="2" t="s">
        <v>149</v>
      </c>
      <c r="B23" s="78" t="s">
        <v>59</v>
      </c>
      <c r="C23" s="78" t="s">
        <v>107</v>
      </c>
      <c r="D23" s="78" t="s">
        <v>106</v>
      </c>
      <c r="F23" s="78" t="s">
        <v>105</v>
      </c>
      <c r="H23" s="78" t="s">
        <v>37</v>
      </c>
      <c r="I23" s="38"/>
      <c r="K23" s="7"/>
      <c r="M23" s="7"/>
      <c r="N23" s="7"/>
      <c r="W23" s="82">
        <f>H46</f>
        <v>0</v>
      </c>
      <c r="X23" s="81" t="s">
        <v>50</v>
      </c>
    </row>
    <row r="24" spans="1:30" s="2" customFormat="1" ht="13" customHeight="1" x14ac:dyDescent="0.25">
      <c r="A24" s="17">
        <v>0</v>
      </c>
      <c r="B24" s="7">
        <f>Database!D13</f>
        <v>20</v>
      </c>
      <c r="C24" s="7">
        <f>Database!E13</f>
        <v>0</v>
      </c>
      <c r="D24" s="8">
        <f>Database!C13+$B$24*E13+(1/2)*$C$24*(E13)^2+A24</f>
        <v>1100</v>
      </c>
      <c r="E24" s="2" t="s">
        <v>47</v>
      </c>
      <c r="F24" s="6">
        <f>B24*_PG1+C24</f>
        <v>5</v>
      </c>
      <c r="G24" s="59" t="s">
        <v>130</v>
      </c>
      <c r="H24" s="6">
        <f>'Sensitivity Report 3'!E20/Sbase</f>
        <v>10.000000000166523</v>
      </c>
      <c r="I24" s="2" t="s">
        <v>48</v>
      </c>
      <c r="K24" s="7"/>
      <c r="M24" s="7"/>
      <c r="N24" s="7"/>
    </row>
    <row r="25" spans="1:30" s="2" customFormat="1" ht="13" customHeight="1" x14ac:dyDescent="0.25">
      <c r="A25" s="17">
        <v>0</v>
      </c>
      <c r="B25" s="7">
        <v>10</v>
      </c>
      <c r="C25" s="7">
        <f>Database!E14</f>
        <v>0</v>
      </c>
      <c r="D25" s="8">
        <f>Database!C14+$B$25*E14+(1/2)*$C$25*(E14)^2+A25</f>
        <v>1700.000000000548</v>
      </c>
      <c r="E25" s="2" t="s">
        <v>47</v>
      </c>
      <c r="F25" s="6">
        <f>B25*_PG1+C25</f>
        <v>2.5</v>
      </c>
      <c r="G25" s="59" t="s">
        <v>131</v>
      </c>
      <c r="H25" s="6">
        <f>'Sensitivity Report 3'!E21/Sbase</f>
        <v>10</v>
      </c>
      <c r="I25" s="2" t="s">
        <v>48</v>
      </c>
      <c r="K25" s="32"/>
      <c r="M25" s="7"/>
      <c r="N25" s="7"/>
      <c r="Q25" s="29"/>
      <c r="X25" s="90">
        <f>_V3</f>
        <v>1</v>
      </c>
    </row>
    <row r="26" spans="1:30" s="2" customFormat="1" ht="13" customHeight="1" x14ac:dyDescent="0.25">
      <c r="A26" s="17"/>
      <c r="F26" s="6"/>
      <c r="G26" s="59" t="s">
        <v>132</v>
      </c>
      <c r="H26" s="6">
        <f>'Sensitivity Report 3'!E22/Sbase</f>
        <v>10.00000000158297</v>
      </c>
      <c r="I26" s="2" t="s">
        <v>48</v>
      </c>
      <c r="K26" s="32"/>
      <c r="M26" s="7"/>
      <c r="N26" s="7"/>
      <c r="Z26" s="84">
        <f>_PD3*Sbase</f>
        <v>200</v>
      </c>
      <c r="AA26" s="81" t="s">
        <v>50</v>
      </c>
    </row>
    <row r="27" spans="1:30" s="2" customFormat="1" ht="13" customHeight="1" x14ac:dyDescent="0.2">
      <c r="A27" s="43" t="s">
        <v>61</v>
      </c>
      <c r="B27" s="44"/>
      <c r="C27" s="7"/>
      <c r="D27" s="45">
        <f>D24+D25</f>
        <v>2800.000000000548</v>
      </c>
      <c r="E27" s="2" t="s">
        <v>47</v>
      </c>
      <c r="F27" s="41" t="s">
        <v>108</v>
      </c>
      <c r="M27" s="7"/>
      <c r="N27" s="7"/>
      <c r="Z27" s="81">
        <f>_QD3*Sbase</f>
        <v>0</v>
      </c>
      <c r="AA27" s="81" t="s">
        <v>116</v>
      </c>
    </row>
    <row r="28" spans="1:30" s="2" customFormat="1" ht="13" customHeight="1" x14ac:dyDescent="0.25">
      <c r="A28" s="42" t="s">
        <v>115</v>
      </c>
      <c r="B28" s="20"/>
      <c r="C28" s="20"/>
      <c r="G28" s="70" t="s">
        <v>138</v>
      </c>
      <c r="H28" s="6">
        <f>H24-H25</f>
        <v>1.6652279555273708E-10</v>
      </c>
      <c r="I28" s="2" t="s">
        <v>48</v>
      </c>
      <c r="M28" s="7"/>
      <c r="N28" s="7"/>
      <c r="Z28" s="81"/>
      <c r="AA28" s="81"/>
    </row>
    <row r="29" spans="1:30" s="2" customFormat="1" ht="13" customHeight="1" x14ac:dyDescent="0.25">
      <c r="B29" s="30" t="s">
        <v>62</v>
      </c>
      <c r="C29" s="31"/>
      <c r="D29" s="33">
        <f>(_V1*_V1*_G11+_V1*_V2*(_G12*COS(_T1-_T2)+_B12*SIN(_T1-_T2))+_V1*_V3*(_G13*COS(_T1-_T3)+_B13*SIN(_T1-_T3)))</f>
        <v>0</v>
      </c>
      <c r="F29" s="41" t="s">
        <v>109</v>
      </c>
      <c r="G29" s="70" t="s">
        <v>139</v>
      </c>
      <c r="H29" s="6">
        <f>H24-H26</f>
        <v>-1.4164474038125263E-9</v>
      </c>
      <c r="I29" s="2" t="s">
        <v>48</v>
      </c>
      <c r="M29" s="7"/>
      <c r="N29" s="32"/>
    </row>
    <row r="30" spans="1:30" s="2" customFormat="1" ht="13" customHeight="1" x14ac:dyDescent="0.2">
      <c r="B30" s="30" t="s">
        <v>63</v>
      </c>
      <c r="C30" s="31">
        <f>_PG2-_PD2</f>
        <v>0.750000000000274</v>
      </c>
      <c r="D30" s="33">
        <f>(_V2*_V2*_G22+_V2*_V1*(_G21*COS(_T2-_T1)+_B21*SIN(_T2-_T1))+_V2*_V3*(_G23*COS(_T2-_T3)+_B23*SIN(_T2-_T3)))</f>
        <v>0</v>
      </c>
      <c r="E30" s="97">
        <f>C30-D30</f>
        <v>0.750000000000274</v>
      </c>
      <c r="F30" s="41" t="s">
        <v>110</v>
      </c>
      <c r="M30" s="7"/>
      <c r="N30" s="32"/>
    </row>
    <row r="31" spans="1:30" s="2" customFormat="1" ht="13" customHeight="1" x14ac:dyDescent="0.2">
      <c r="B31" s="30" t="s">
        <v>64</v>
      </c>
      <c r="C31" s="31">
        <f>_PG3-_PD3</f>
        <v>-1</v>
      </c>
      <c r="D31" s="33">
        <f>(_V3*_V3*_G33+_V3*_V1*(_G31*COS(_T3-_T1)+_B31*SIN(_T3-_T1))+_V3*_V2*(_G32*COS(_T3-_T2)+_B32*SIN(_T3-_T2)))</f>
        <v>0</v>
      </c>
      <c r="E31" s="97">
        <f>D31-C31</f>
        <v>1</v>
      </c>
      <c r="F31" s="41" t="s">
        <v>111</v>
      </c>
      <c r="M31" s="32"/>
      <c r="N31" s="7"/>
    </row>
    <row r="32" spans="1:30" s="2" customFormat="1" ht="13" customHeight="1" x14ac:dyDescent="0.2">
      <c r="B32" s="30" t="s">
        <v>65</v>
      </c>
      <c r="C32" s="31">
        <f>_QG1-_QD1</f>
        <v>0</v>
      </c>
      <c r="D32" s="33">
        <f>(-_V1*_V1*_B11+_V1*_V2*(_G12*SIN(_T1-_T2)-_B12*COS(_T1-_T2))+_V1*_V3*(_G13*SIN(_T1-_T3)-_B13*COS(_T1-_T3)))</f>
        <v>0</v>
      </c>
      <c r="F32" s="41" t="s">
        <v>112</v>
      </c>
      <c r="M32" s="7"/>
      <c r="N32" s="7"/>
      <c r="P32" s="8"/>
    </row>
    <row r="33" spans="1:27" s="2" customFormat="1" ht="13" customHeight="1" x14ac:dyDescent="0.2">
      <c r="B33" s="30" t="s">
        <v>66</v>
      </c>
      <c r="C33" s="31"/>
      <c r="D33" s="33">
        <f>(-_V2*_V2*_B22+_V2*_V1*(_G21*SIN(_T2-_T1)-_B21*COS(_T2-_T1))+_V2*_V3*(_G23*SIN(_T2-_T3)-_B23*COS(_T2-_T3)))</f>
        <v>8.2740370962658176E-18</v>
      </c>
      <c r="E33" s="97"/>
      <c r="F33" s="41" t="s">
        <v>113</v>
      </c>
      <c r="H33" s="77"/>
      <c r="I33" s="7"/>
      <c r="K33" s="7"/>
      <c r="L33" s="7"/>
      <c r="M33" s="7"/>
      <c r="N33" s="7"/>
    </row>
    <row r="34" spans="1:27" s="2" customFormat="1" ht="13" customHeight="1" x14ac:dyDescent="0.2">
      <c r="A34"/>
      <c r="B34" s="30" t="s">
        <v>67</v>
      </c>
      <c r="C34" s="31">
        <f>_QG3-_QD3</f>
        <v>0</v>
      </c>
      <c r="D34" s="33">
        <f>(-_V3*_V3*_B33+_V3*_V1*(_G31*SIN(_T3-_T1)-_B31*COS(_T3-_T1))+_V3*_V2*(_G32*SIN(_T3-_T2)-_B32*COS(_T3-_T2)))</f>
        <v>8.2740370962658176E-18</v>
      </c>
      <c r="E34" s="97">
        <f>D34-C34</f>
        <v>8.2740370962658176E-18</v>
      </c>
      <c r="F34" s="41" t="s">
        <v>114</v>
      </c>
      <c r="H34" s="7"/>
      <c r="I34" s="7"/>
      <c r="K34" s="7"/>
      <c r="L34" s="7"/>
      <c r="M34" s="7"/>
      <c r="N34" s="7"/>
    </row>
    <row r="35" spans="1:27" s="2" customFormat="1" x14ac:dyDescent="0.2">
      <c r="E35" s="49">
        <f>E34+E31+E30</f>
        <v>1.750000000000274</v>
      </c>
      <c r="F35" s="7"/>
      <c r="G35" s="7"/>
      <c r="H35" s="7"/>
      <c r="I35" s="7"/>
      <c r="K35" s="7"/>
      <c r="L35" s="7"/>
      <c r="M35" s="7"/>
      <c r="N35" s="7"/>
    </row>
    <row r="36" spans="1:27" s="2" customFormat="1" x14ac:dyDescent="0.2">
      <c r="A36" s="47"/>
      <c r="B36" s="47" t="s">
        <v>119</v>
      </c>
      <c r="C36" s="15" t="s">
        <v>121</v>
      </c>
      <c r="D36" s="47" t="s">
        <v>122</v>
      </c>
      <c r="E36" s="7"/>
      <c r="F36" s="47"/>
      <c r="G36" s="62" t="s">
        <v>124</v>
      </c>
      <c r="J36" s="47"/>
      <c r="K36" s="47" t="s">
        <v>129</v>
      </c>
      <c r="L36" s="7"/>
      <c r="M36" s="7"/>
      <c r="N36" s="7"/>
    </row>
    <row r="37" spans="1:27" s="2" customFormat="1" x14ac:dyDescent="0.2">
      <c r="A37" s="2" t="s">
        <v>117</v>
      </c>
      <c r="B37" s="46">
        <f>E13*H24</f>
        <v>500.00000000832614</v>
      </c>
      <c r="C37" s="46">
        <f>D24</f>
        <v>1100</v>
      </c>
      <c r="D37" s="46">
        <f>B37-C37</f>
        <v>-599.9999999916738</v>
      </c>
      <c r="E37" s="19"/>
      <c r="F37" s="19" t="s">
        <v>125</v>
      </c>
      <c r="G37" s="19">
        <f>_PD3*Sbase*H26</f>
        <v>2000.000000316594</v>
      </c>
      <c r="J37" s="19" t="s">
        <v>128</v>
      </c>
      <c r="K37" s="19">
        <f>G39-B39</f>
        <v>3.077198016399052E-7</v>
      </c>
      <c r="L37" s="7"/>
      <c r="M37" s="7"/>
      <c r="N37" s="7"/>
    </row>
    <row r="38" spans="1:27" s="2" customFormat="1" x14ac:dyDescent="0.2">
      <c r="A38" s="47" t="s">
        <v>118</v>
      </c>
      <c r="B38" s="48">
        <f>E14*H25</f>
        <v>1500.000000000548</v>
      </c>
      <c r="C38" s="48">
        <f>D25</f>
        <v>1700.000000000548</v>
      </c>
      <c r="D38" s="48">
        <f t="shared" ref="D38:D39" si="0">B38-C38</f>
        <v>-200</v>
      </c>
      <c r="E38" s="19"/>
      <c r="F38" s="47"/>
      <c r="G38" s="47"/>
      <c r="J38" s="48"/>
      <c r="K38" s="47"/>
      <c r="L38" s="7"/>
      <c r="M38" s="7"/>
      <c r="N38" s="7"/>
    </row>
    <row r="39" spans="1:27" s="2" customFormat="1" x14ac:dyDescent="0.2">
      <c r="A39" s="2" t="s">
        <v>120</v>
      </c>
      <c r="B39" s="46">
        <f>SUM(B37:B38)</f>
        <v>2000.0000000088742</v>
      </c>
      <c r="C39" s="46">
        <f>SUM(C37:C38)</f>
        <v>2800.000000000548</v>
      </c>
      <c r="D39" s="46">
        <f t="shared" si="0"/>
        <v>-799.9999999916738</v>
      </c>
      <c r="E39" s="19"/>
      <c r="F39" s="19" t="s">
        <v>120</v>
      </c>
      <c r="G39" s="19">
        <f>G37</f>
        <v>2000.000000316594</v>
      </c>
      <c r="J39" s="19" t="s">
        <v>120</v>
      </c>
      <c r="K39" s="19">
        <f>G39-B39</f>
        <v>3.077198016399052E-7</v>
      </c>
      <c r="L39" s="32"/>
      <c r="M39" s="63" t="s">
        <v>143</v>
      </c>
      <c r="N39" s="63"/>
      <c r="O39" s="64"/>
      <c r="P39" s="64"/>
    </row>
    <row r="40" spans="1:27" s="2" customFormat="1" x14ac:dyDescent="0.2">
      <c r="C40" s="7"/>
      <c r="D40" s="7"/>
      <c r="E40" s="7"/>
      <c r="F40" s="49"/>
      <c r="G40" s="7"/>
      <c r="H40" s="7"/>
      <c r="I40" s="7"/>
      <c r="J40" s="7"/>
      <c r="K40" s="7"/>
      <c r="L40" s="32"/>
      <c r="M40" s="32"/>
      <c r="N40" s="32"/>
      <c r="O40" s="32"/>
      <c r="P40" s="32"/>
      <c r="Q40" s="32"/>
      <c r="R40" s="32"/>
    </row>
    <row r="41" spans="1:27" s="2" customFormat="1" x14ac:dyDescent="0.2">
      <c r="A41" s="7" t="s">
        <v>57</v>
      </c>
      <c r="B41" s="49"/>
      <c r="C41" s="7"/>
      <c r="D41" s="7"/>
      <c r="E41" s="7"/>
      <c r="F41" s="7"/>
      <c r="I41" s="7"/>
      <c r="J41" s="7"/>
      <c r="K41" s="92"/>
      <c r="L41" s="92"/>
    </row>
    <row r="42" spans="1:27" s="2" customFormat="1" x14ac:dyDescent="0.2">
      <c r="A42" s="7" t="s">
        <v>58</v>
      </c>
      <c r="B42" s="77"/>
      <c r="C42" s="77"/>
      <c r="D42" s="77"/>
      <c r="E42" s="77"/>
      <c r="F42" s="77"/>
      <c r="G42" s="77"/>
      <c r="H42" s="77"/>
      <c r="I42" s="7"/>
      <c r="J42" s="7"/>
      <c r="K42" s="7"/>
      <c r="L42" s="7"/>
    </row>
    <row r="43" spans="1:27" s="2" customFormat="1" x14ac:dyDescent="0.2">
      <c r="A43" s="7"/>
      <c r="B43" s="77" t="s">
        <v>3</v>
      </c>
      <c r="C43" s="77" t="s">
        <v>4</v>
      </c>
      <c r="D43" s="77" t="s">
        <v>5</v>
      </c>
      <c r="E43" s="77" t="s">
        <v>6</v>
      </c>
      <c r="F43" s="77" t="s">
        <v>7</v>
      </c>
      <c r="G43" s="77" t="s">
        <v>8</v>
      </c>
      <c r="H43" s="50" t="s">
        <v>9</v>
      </c>
      <c r="I43" s="7"/>
      <c r="J43" s="42" t="s">
        <v>28</v>
      </c>
      <c r="L43" s="92" t="s">
        <v>123</v>
      </c>
      <c r="M43" s="92"/>
      <c r="Y43" s="50" t="s">
        <v>9</v>
      </c>
      <c r="Z43" s="7"/>
      <c r="AA43" s="42" t="s">
        <v>28</v>
      </c>
    </row>
    <row r="44" spans="1:27" s="2" customFormat="1" x14ac:dyDescent="0.2">
      <c r="A44" s="47"/>
      <c r="B44" s="15" t="s">
        <v>126</v>
      </c>
      <c r="C44" s="15" t="s">
        <v>126</v>
      </c>
      <c r="D44" s="15" t="s">
        <v>126</v>
      </c>
      <c r="E44" s="15" t="s">
        <v>126</v>
      </c>
      <c r="F44" s="15" t="s">
        <v>126</v>
      </c>
      <c r="G44" s="15" t="s">
        <v>126</v>
      </c>
      <c r="H44" s="55" t="s">
        <v>50</v>
      </c>
      <c r="I44" s="15"/>
      <c r="J44" s="56" t="s">
        <v>50</v>
      </c>
      <c r="L44" s="15" t="s">
        <v>23</v>
      </c>
      <c r="M44" s="15" t="s">
        <v>24</v>
      </c>
      <c r="Y44" s="55" t="s">
        <v>1</v>
      </c>
      <c r="Z44" s="15"/>
      <c r="AA44" s="56" t="s">
        <v>1</v>
      </c>
    </row>
    <row r="45" spans="1:27" s="2" customFormat="1" ht="17" x14ac:dyDescent="0.25">
      <c r="A45" s="77">
        <v>12</v>
      </c>
      <c r="B45" s="51">
        <f>_V1*_V2*(_G12*COS(_T1-_T2)+_B12*SIN(_T1-_T2))-_G12*_V1*_V1</f>
        <v>0</v>
      </c>
      <c r="C45" s="51">
        <f>_V1*_V2*(_G12*COS(_T2-_T1)+_B12*SIN(_T2-_T1))-_G12*_V2*_V2</f>
        <v>0</v>
      </c>
      <c r="D45" s="51">
        <f>_V1*_V2*(_G12*SIN(_T1-_T2)-_B12*COS(_T1-_T2))+(_B12)*_V1*_V1</f>
        <v>0</v>
      </c>
      <c r="E45" s="51">
        <f>_V2*_V1*(_G21*SIN(_T2-_T1)-_B21*COS(_T2-_T1))+(_B21)*_V2*_V2</f>
        <v>0</v>
      </c>
      <c r="F45" s="51">
        <f>ABS(B45-C45)/2</f>
        <v>0</v>
      </c>
      <c r="G45" s="51">
        <f>ABS(D45-E45)/2</f>
        <v>0</v>
      </c>
      <c r="H45" s="86">
        <f>(F45*F45)^0.5*Sbase</f>
        <v>0</v>
      </c>
      <c r="I45" s="87" t="s">
        <v>29</v>
      </c>
      <c r="J45" s="88">
        <f>Database!G18</f>
        <v>100</v>
      </c>
      <c r="L45" s="53">
        <f>B45+C45</f>
        <v>0</v>
      </c>
      <c r="M45" s="53">
        <f>D45+E45</f>
        <v>0</v>
      </c>
      <c r="Y45" s="86" t="s">
        <v>174</v>
      </c>
      <c r="Z45" s="87" t="s">
        <v>29</v>
      </c>
      <c r="AA45" s="88">
        <f>J45</f>
        <v>100</v>
      </c>
    </row>
    <row r="46" spans="1:27" s="2" customFormat="1" ht="17" x14ac:dyDescent="0.25">
      <c r="A46" s="77">
        <v>13</v>
      </c>
      <c r="B46" s="51">
        <f>_V1*_V3*(_G13*COS(_T1-_T3)+_B13*SIN(_T1-_T3))-_G13*_V1*_V1</f>
        <v>0</v>
      </c>
      <c r="C46" s="51">
        <f>_V3*_V1*(_G13*COS(_T3-_T1)+_B13*SIN(_T3-_T1))-_G13*_V3*_V3</f>
        <v>0</v>
      </c>
      <c r="D46" s="51">
        <f>_V1*_V3*(_G13*SIN(_T1-_T3)-_B13*COS(_T1-_T3))+(_B13)*_V1*_V1</f>
        <v>0</v>
      </c>
      <c r="E46" s="51">
        <f>_V3*_V1*(_G31*SIN(_T3-_T1)-_B31*COS(_T3-_T1))+(_B31)*_V3*_V3</f>
        <v>0</v>
      </c>
      <c r="F46" s="51">
        <f t="shared" ref="F46:F47" si="1">ABS(B46-C46)/2</f>
        <v>0</v>
      </c>
      <c r="G46" s="51">
        <f t="shared" ref="G46:G47" si="2">ABS(D46-E46)/2</f>
        <v>0</v>
      </c>
      <c r="H46" s="52">
        <f>(F46*F46)^0.5*Sbase</f>
        <v>0</v>
      </c>
      <c r="I46" s="77" t="s">
        <v>29</v>
      </c>
      <c r="J46" s="42">
        <f>Database!G20</f>
        <v>200</v>
      </c>
      <c r="L46" s="53">
        <f>B46+C46</f>
        <v>0</v>
      </c>
      <c r="M46" s="53">
        <f>D46+E46</f>
        <v>0</v>
      </c>
      <c r="Y46" s="52" t="s">
        <v>175</v>
      </c>
      <c r="Z46" s="77" t="s">
        <v>29</v>
      </c>
      <c r="AA46" s="42">
        <f>J46</f>
        <v>200</v>
      </c>
    </row>
    <row r="47" spans="1:27" s="2" customFormat="1" ht="17" x14ac:dyDescent="0.25">
      <c r="A47" s="15">
        <v>23</v>
      </c>
      <c r="B47" s="58">
        <f>_V2*_V3*(_G23*COS(_T2-_T3)+_B23*SIN(_T2-_T3))-_G23*_V2*_V2</f>
        <v>0</v>
      </c>
      <c r="C47" s="58">
        <f>_V3*_V2*(_G23*COS(_T3-_T2)+_B23*SIN(_T3-_T2))-_G23*_V3*_V3</f>
        <v>0</v>
      </c>
      <c r="D47" s="58">
        <f>_V2*_V3*(_G23*SIN(_T2-_T3)-_B23*COS(_T2-_T3))+(_B23)*_V2*_V2</f>
        <v>0</v>
      </c>
      <c r="E47" s="58">
        <f>_V3*_V2*(_G32*SIN(_T3-_T2)-_B32*COS(_T3-_T2))+(_B32)*_V3*_V3</f>
        <v>0</v>
      </c>
      <c r="F47" s="58">
        <f t="shared" si="1"/>
        <v>0</v>
      </c>
      <c r="G47" s="58">
        <f t="shared" si="2"/>
        <v>0</v>
      </c>
      <c r="H47" s="89">
        <f>(F47*F47)^0.5*Sbase</f>
        <v>0</v>
      </c>
      <c r="I47" s="15" t="s">
        <v>29</v>
      </c>
      <c r="J47" s="56">
        <f>Database!G19</f>
        <v>200</v>
      </c>
      <c r="L47" s="57">
        <f>B47+C47</f>
        <v>0</v>
      </c>
      <c r="M47" s="57">
        <f>D47+E47</f>
        <v>0</v>
      </c>
      <c r="Y47" s="89" t="s">
        <v>176</v>
      </c>
      <c r="Z47" s="15" t="s">
        <v>29</v>
      </c>
      <c r="AA47" s="56">
        <f>J47</f>
        <v>200</v>
      </c>
    </row>
    <row r="48" spans="1:27" s="2" customFormat="1" x14ac:dyDescent="0.2">
      <c r="A48" s="7"/>
      <c r="B48" s="54"/>
      <c r="C48" s="54"/>
      <c r="D48" s="54"/>
      <c r="E48" s="54"/>
      <c r="F48" s="7"/>
      <c r="G48" s="7"/>
      <c r="H48" s="7"/>
      <c r="I48" s="7"/>
      <c r="K48" s="7"/>
      <c r="L48" s="53">
        <f>SUM(L45:L47)</f>
        <v>0</v>
      </c>
      <c r="M48" s="53">
        <f>SUM(M45:M47)</f>
        <v>0</v>
      </c>
    </row>
    <row r="49" spans="1:30" s="2" customFormat="1" x14ac:dyDescent="0.2">
      <c r="A49" s="7"/>
      <c r="B49" s="54"/>
      <c r="C49" s="7"/>
      <c r="D49" s="54"/>
      <c r="E49" s="7"/>
      <c r="F49" s="7"/>
      <c r="G49" s="7"/>
      <c r="H49" s="7"/>
      <c r="I49" s="7"/>
      <c r="K49" s="7"/>
      <c r="L49" s="19">
        <f>(_PG1+_PG2+_PG3-_PD1-_PD2-_PD3)*Sbase</f>
        <v>5.4800608495497727E-11</v>
      </c>
      <c r="M49" s="19">
        <f>(_QG1+_QG2+_QG3-_QD1-_QD2-_QD3)*Sbase</f>
        <v>0</v>
      </c>
    </row>
    <row r="50" spans="1:30" s="2" customFormat="1" x14ac:dyDescent="0.2">
      <c r="C50" s="37"/>
      <c r="L50" s="12" t="s">
        <v>50</v>
      </c>
      <c r="M50" s="12" t="s">
        <v>116</v>
      </c>
    </row>
    <row r="51" spans="1:30" s="2" customFormat="1" x14ac:dyDescent="0.2">
      <c r="A51" s="38" t="s">
        <v>140</v>
      </c>
    </row>
    <row r="52" spans="1:30" s="2" customFormat="1" x14ac:dyDescent="0.2">
      <c r="A52" s="2" t="s">
        <v>141</v>
      </c>
      <c r="D52" s="37">
        <v>0</v>
      </c>
      <c r="E52" s="37" t="s">
        <v>47</v>
      </c>
    </row>
    <row r="53" spans="1:30" x14ac:dyDescent="0.2">
      <c r="A53" s="2" t="s">
        <v>141</v>
      </c>
      <c r="B53" s="2"/>
      <c r="C53" s="2"/>
      <c r="D53" s="37">
        <f>E14*K25</f>
        <v>0</v>
      </c>
      <c r="E53" s="37" t="s">
        <v>47</v>
      </c>
      <c r="F53" s="2" t="s">
        <v>144</v>
      </c>
      <c r="G53" s="2"/>
      <c r="H53" s="37">
        <f>-D53</f>
        <v>0</v>
      </c>
      <c r="I53" s="2" t="s">
        <v>47</v>
      </c>
      <c r="J53" s="2" t="s">
        <v>145</v>
      </c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</row>
    <row r="54" spans="1:30" x14ac:dyDescent="0.2">
      <c r="A54" s="2" t="s">
        <v>142</v>
      </c>
      <c r="B54" s="2"/>
      <c r="C54" s="2"/>
      <c r="D54" s="61">
        <f>-_PD3*Sbase*K26</f>
        <v>0</v>
      </c>
      <c r="E54" s="61" t="s">
        <v>47</v>
      </c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</row>
    <row r="55" spans="1:30" x14ac:dyDescent="0.2">
      <c r="A55" s="2"/>
      <c r="B55" s="2"/>
      <c r="C55" s="2"/>
      <c r="D55" s="37">
        <f>SUM(D52:D54)</f>
        <v>0</v>
      </c>
      <c r="E55" s="37" t="s">
        <v>47</v>
      </c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</row>
    <row r="56" spans="1:30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</row>
    <row r="57" spans="1:30" x14ac:dyDescent="0.2">
      <c r="A57" s="2"/>
      <c r="B57" s="2"/>
      <c r="C57" s="2"/>
      <c r="D57" s="37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</row>
    <row r="58" spans="1:30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</row>
    <row r="59" spans="1:30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</row>
    <row r="60" spans="1:30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</row>
    <row r="61" spans="1:30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</row>
    <row r="62" spans="1:30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</row>
    <row r="63" spans="1:30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</row>
    <row r="64" spans="1:30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</row>
    <row r="65" spans="1:30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</row>
    <row r="66" spans="1:30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</row>
    <row r="67" spans="1:30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</row>
    <row r="68" spans="1:30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</row>
    <row r="69" spans="1:30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</row>
    <row r="70" spans="1:30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</row>
    <row r="71" spans="1:30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</row>
    <row r="72" spans="1:30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</row>
    <row r="73" spans="1:30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</row>
    <row r="74" spans="1:30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</row>
    <row r="75" spans="1:30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</row>
    <row r="76" spans="1:30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</row>
    <row r="77" spans="1:30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</row>
    <row r="78" spans="1:30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</row>
    <row r="79" spans="1:30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</row>
    <row r="80" spans="1:30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</row>
    <row r="81" spans="1:30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</row>
    <row r="82" spans="1:30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</row>
    <row r="83" spans="1:30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</row>
    <row r="84" spans="1:30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</row>
    <row r="85" spans="1:30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</row>
    <row r="86" spans="1:30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</row>
    <row r="87" spans="1:30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</row>
    <row r="88" spans="1:30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</row>
    <row r="89" spans="1:30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</row>
    <row r="90" spans="1:30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</row>
    <row r="91" spans="1:30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</row>
    <row r="92" spans="1:30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</row>
    <row r="93" spans="1:30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</row>
    <row r="94" spans="1:30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</row>
    <row r="95" spans="1:30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</row>
    <row r="96" spans="1:30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</row>
    <row r="97" spans="1:30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</row>
    <row r="98" spans="1:30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</row>
    <row r="99" spans="1:30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</row>
    <row r="100" spans="1:30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</row>
    <row r="101" spans="1:30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</row>
    <row r="102" spans="1:30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</row>
    <row r="103" spans="1:30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</row>
    <row r="104" spans="1:30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</row>
    <row r="105" spans="1:30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</row>
    <row r="106" spans="1:30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</row>
    <row r="107" spans="1:30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</row>
    <row r="108" spans="1:30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</row>
    <row r="109" spans="1:30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</row>
    <row r="110" spans="1:30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</row>
    <row r="111" spans="1:30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</row>
    <row r="112" spans="1:30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</row>
    <row r="113" spans="1:30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</row>
    <row r="114" spans="1:30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</row>
    <row r="115" spans="1:30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</row>
    <row r="116" spans="1:30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</row>
    <row r="117" spans="1:30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</row>
    <row r="118" spans="1:30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</row>
    <row r="119" spans="1:30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</row>
    <row r="120" spans="1:30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</row>
    <row r="121" spans="1:30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</row>
    <row r="122" spans="1:30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</row>
    <row r="123" spans="1:30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</row>
    <row r="124" spans="1:30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</row>
    <row r="125" spans="1:30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</row>
    <row r="126" spans="1:30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</row>
    <row r="127" spans="1:30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</row>
    <row r="128" spans="1:30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</row>
    <row r="129" spans="1:30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</row>
    <row r="130" spans="1:30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</row>
    <row r="131" spans="1:30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</row>
    <row r="132" spans="1:30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</row>
    <row r="133" spans="1:30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</row>
    <row r="134" spans="1:30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</row>
    <row r="135" spans="1:30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</row>
    <row r="136" spans="1:30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</row>
    <row r="137" spans="1:30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</row>
    <row r="138" spans="1:30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</row>
    <row r="139" spans="1:30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</row>
    <row r="140" spans="1:30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</row>
  </sheetData>
  <mergeCells count="7">
    <mergeCell ref="L43:M43"/>
    <mergeCell ref="G7:N7"/>
    <mergeCell ref="A9:B9"/>
    <mergeCell ref="C9:D9"/>
    <mergeCell ref="E12:F12"/>
    <mergeCell ref="A22:E22"/>
    <mergeCell ref="K41:L41"/>
  </mergeCells>
  <pageMargins left="0.7" right="0.7" top="0.75" bottom="0.75" header="0.3" footer="0.3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74</vt:i4>
      </vt:variant>
    </vt:vector>
  </HeadingPairs>
  <TitlesOfParts>
    <vt:vector size="79" baseType="lpstr">
      <vt:lpstr>Database</vt:lpstr>
      <vt:lpstr>Sensitivity Report 2</vt:lpstr>
      <vt:lpstr>Sensitivity Report 3</vt:lpstr>
      <vt:lpstr>OPF (a)</vt:lpstr>
      <vt:lpstr>OPF (b) </vt:lpstr>
      <vt:lpstr>'OPF (a)'!_B11</vt:lpstr>
      <vt:lpstr>'OPF (b) '!_B11</vt:lpstr>
      <vt:lpstr>'OPF (a)'!_B12</vt:lpstr>
      <vt:lpstr>'OPF (b) '!_B12</vt:lpstr>
      <vt:lpstr>'OPF (a)'!_B13</vt:lpstr>
      <vt:lpstr>'OPF (b) '!_B13</vt:lpstr>
      <vt:lpstr>'OPF (a)'!_B21</vt:lpstr>
      <vt:lpstr>'OPF (b) '!_B21</vt:lpstr>
      <vt:lpstr>'OPF (a)'!_B22</vt:lpstr>
      <vt:lpstr>'OPF (b) '!_B22</vt:lpstr>
      <vt:lpstr>'OPF (a)'!_B23</vt:lpstr>
      <vt:lpstr>'OPF (b) '!_B23</vt:lpstr>
      <vt:lpstr>'OPF (a)'!_B31</vt:lpstr>
      <vt:lpstr>'OPF (b) '!_B31</vt:lpstr>
      <vt:lpstr>'OPF (a)'!_B32</vt:lpstr>
      <vt:lpstr>'OPF (b) '!_B32</vt:lpstr>
      <vt:lpstr>'OPF (a)'!_B33</vt:lpstr>
      <vt:lpstr>'OPF (b) '!_B33</vt:lpstr>
      <vt:lpstr>'OPF (a)'!_G11</vt:lpstr>
      <vt:lpstr>'OPF (b) '!_G11</vt:lpstr>
      <vt:lpstr>'OPF (a)'!_G12</vt:lpstr>
      <vt:lpstr>'OPF (b) '!_G12</vt:lpstr>
      <vt:lpstr>'OPF (a)'!_G13</vt:lpstr>
      <vt:lpstr>'OPF (b) '!_G13</vt:lpstr>
      <vt:lpstr>'OPF (a)'!_G21</vt:lpstr>
      <vt:lpstr>'OPF (b) '!_G21</vt:lpstr>
      <vt:lpstr>'OPF (a)'!_G22</vt:lpstr>
      <vt:lpstr>'OPF (b) '!_G22</vt:lpstr>
      <vt:lpstr>'OPF (a)'!_G23</vt:lpstr>
      <vt:lpstr>'OPF (b) '!_G23</vt:lpstr>
      <vt:lpstr>'OPF (a)'!_G31</vt:lpstr>
      <vt:lpstr>'OPF (b) '!_G31</vt:lpstr>
      <vt:lpstr>'OPF (a)'!_G32</vt:lpstr>
      <vt:lpstr>'OPF (b) '!_G32</vt:lpstr>
      <vt:lpstr>'OPF (a)'!_G33</vt:lpstr>
      <vt:lpstr>'OPF (b) '!_G33</vt:lpstr>
      <vt:lpstr>'OPF (a)'!_PD1</vt:lpstr>
      <vt:lpstr>'OPF (b) '!_PD1</vt:lpstr>
      <vt:lpstr>'OPF (a)'!_PD2</vt:lpstr>
      <vt:lpstr>'OPF (b) '!_PD2</vt:lpstr>
      <vt:lpstr>'OPF (a)'!_PD3</vt:lpstr>
      <vt:lpstr>'OPF (b) '!_PD3</vt:lpstr>
      <vt:lpstr>'OPF (a)'!_PG1</vt:lpstr>
      <vt:lpstr>'OPF (b) '!_PG1</vt:lpstr>
      <vt:lpstr>'OPF (a)'!_PG2</vt:lpstr>
      <vt:lpstr>'OPF (b) '!_PG2</vt:lpstr>
      <vt:lpstr>'OPF (a)'!_PG3</vt:lpstr>
      <vt:lpstr>'OPF (b) '!_PG3</vt:lpstr>
      <vt:lpstr>'OPF (a)'!_QD1</vt:lpstr>
      <vt:lpstr>'OPF (b) '!_QD1</vt:lpstr>
      <vt:lpstr>'OPF (a)'!_QD2</vt:lpstr>
      <vt:lpstr>'OPF (b) '!_QD2</vt:lpstr>
      <vt:lpstr>'OPF (a)'!_QD3</vt:lpstr>
      <vt:lpstr>'OPF (b) '!_QD3</vt:lpstr>
      <vt:lpstr>'OPF (a)'!_QG1</vt:lpstr>
      <vt:lpstr>'OPF (b) '!_QG1</vt:lpstr>
      <vt:lpstr>'OPF (a)'!_QG2</vt:lpstr>
      <vt:lpstr>'OPF (b) '!_QG2</vt:lpstr>
      <vt:lpstr>'OPF (a)'!_QG3</vt:lpstr>
      <vt:lpstr>'OPF (b) '!_QG3</vt:lpstr>
      <vt:lpstr>'OPF (a)'!_T1</vt:lpstr>
      <vt:lpstr>'OPF (b) '!_T1</vt:lpstr>
      <vt:lpstr>'OPF (a)'!_T2</vt:lpstr>
      <vt:lpstr>'OPF (b) '!_T2</vt:lpstr>
      <vt:lpstr>'OPF (a)'!_T3</vt:lpstr>
      <vt:lpstr>'OPF (b) '!_T3</vt:lpstr>
      <vt:lpstr>'OPF (a)'!_V1</vt:lpstr>
      <vt:lpstr>'OPF (b) '!_V1</vt:lpstr>
      <vt:lpstr>'OPF (a)'!_V2</vt:lpstr>
      <vt:lpstr>'OPF (b) '!_V2</vt:lpstr>
      <vt:lpstr>'OPF (a)'!_V3</vt:lpstr>
      <vt:lpstr>'OPF (b) '!_V3</vt:lpstr>
      <vt:lpstr>'OPF (b) '!Sbase</vt:lpstr>
      <vt:lpstr>Sbase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VEW0313</dc:creator>
  <cp:lastModifiedBy>Paulo Manuel De oliveira de jesus</cp:lastModifiedBy>
  <dcterms:created xsi:type="dcterms:W3CDTF">2017-09-02T16:46:35Z</dcterms:created>
  <dcterms:modified xsi:type="dcterms:W3CDTF">2021-04-15T01:01:59Z</dcterms:modified>
</cp:coreProperties>
</file>