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aioPC\Dropbox (Uniandes)\UNIANDES\Docencia Uniandes\MASEP\Curso 2 - OPE\Semana 05-DHT\proyecto\"/>
    </mc:Choice>
  </mc:AlternateContent>
  <xr:revisionPtr revIDLastSave="0" documentId="13_ncr:1_{D3127960-2291-40B2-BB94-64A25823AD58}" xr6:coauthVersionLast="45" xr6:coauthVersionMax="46" xr10:uidLastSave="{00000000-0000-0000-0000-000000000000}"/>
  <bookViews>
    <workbookView xWindow="-120" yWindow="-120" windowWidth="20730" windowHeight="11160" activeTab="5" xr2:uid="{00000000-000D-0000-FFFF-FFFF00000000}"/>
  </bookViews>
  <sheets>
    <sheet name="Dataset" sheetId="40" r:id="rId1"/>
    <sheet name="HTC CP3" sheetId="33" r:id="rId2"/>
    <sheet name="HTC CP4" sheetId="34" r:id="rId3"/>
    <sheet name="ResumenGlobal" sheetId="10" r:id="rId4"/>
    <sheet name="R4" sheetId="39" r:id="rId5"/>
    <sheet name="R3" sheetId="38" r:id="rId6"/>
  </sheets>
  <definedNames>
    <definedName name="solver_adj" localSheetId="1" hidden="1">'HTC CP3'!$C$21:$C$30</definedName>
    <definedName name="solver_adj" localSheetId="2" hidden="1">'HTC CP4'!$C$21:$C$30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100</definedName>
    <definedName name="solver_itr" localSheetId="2" hidden="1">100</definedName>
    <definedName name="solver_lhs1" localSheetId="1" hidden="1">'HTC CP3'!$C$21:$C$28</definedName>
    <definedName name="solver_lhs1" localSheetId="2" hidden="1">'HTC CP4'!$C$21:$C$28</definedName>
    <definedName name="solver_lhs2" localSheetId="1" hidden="1">'HTC CP3'!$C$21:$C$30</definedName>
    <definedName name="solver_lhs2" localSheetId="2" hidden="1">'HTC CP4'!$C$21:$C$30</definedName>
    <definedName name="solver_lhs3" localSheetId="1" hidden="1">'HTC CP3'!$D$13:$D$14</definedName>
    <definedName name="solver_lhs3" localSheetId="2" hidden="1">'HTC CP4'!$D$13:$D$14</definedName>
    <definedName name="solver_lhs4" localSheetId="1" hidden="1">'HTC CP3'!$G$7:$G$10</definedName>
    <definedName name="solver_lhs4" localSheetId="2" hidden="1">'HTC CP4'!$G$7:$G$10</definedName>
    <definedName name="solver_lhs5" localSheetId="1" hidden="1">'HTC CP3'!#REF!</definedName>
    <definedName name="solver_lhs5" localSheetId="2" hidden="1">'HTC CP4'!#REF!</definedName>
    <definedName name="solver_lhs6" localSheetId="1" hidden="1">'HTC CP3'!$D$11:$D$12</definedName>
    <definedName name="solver_lhs6" localSheetId="2" hidden="1">'HTC CP4'!$D$11:$D$12</definedName>
    <definedName name="solver_lin" localSheetId="1" hidden="1">2</definedName>
    <definedName name="solver_lin" localSheetId="2" hidden="1">2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2</definedName>
    <definedName name="solver_neg" localSheetId="2" hidden="1">2</definedName>
    <definedName name="solver_nod" localSheetId="1" hidden="1">2147483647</definedName>
    <definedName name="solver_nod" localSheetId="2" hidden="1">2147483647</definedName>
    <definedName name="solver_num" localSheetId="1" hidden="1">4</definedName>
    <definedName name="solver_num" localSheetId="2" hidden="1">4</definedName>
    <definedName name="solver_nwt" localSheetId="1" hidden="1">1</definedName>
    <definedName name="solver_nwt" localSheetId="2" hidden="1">1</definedName>
    <definedName name="solver_opt" localSheetId="1" hidden="1">'HTC CP3'!$D$10</definedName>
    <definedName name="solver_opt" localSheetId="2" hidden="1">'HTC CP4'!$D$10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1</definedName>
    <definedName name="solver_rel1" localSheetId="2" hidden="1">1</definedName>
    <definedName name="solver_rel2" localSheetId="1" hidden="1">3</definedName>
    <definedName name="solver_rel2" localSheetId="2" hidden="1">3</definedName>
    <definedName name="solver_rel3" localSheetId="1" hidden="1">1</definedName>
    <definedName name="solver_rel3" localSheetId="2" hidden="1">1</definedName>
    <definedName name="solver_rel4" localSheetId="1" hidden="1">2</definedName>
    <definedName name="solver_rel4" localSheetId="2" hidden="1">2</definedName>
    <definedName name="solver_rel5" localSheetId="1" hidden="1">2</definedName>
    <definedName name="solver_rel5" localSheetId="2" hidden="1">2</definedName>
    <definedName name="solver_rel6" localSheetId="1" hidden="1">2</definedName>
    <definedName name="solver_rel6" localSheetId="2" hidden="1">2</definedName>
    <definedName name="solver_rhs1" localSheetId="1" hidden="1">'HTC CP3'!$D$21:$D$28</definedName>
    <definedName name="solver_rhs1" localSheetId="2" hidden="1">'HTC CP4'!$D$21:$D$28</definedName>
    <definedName name="solver_rhs2" localSheetId="1" hidden="1">'HTC CP3'!$A$21:$A$30</definedName>
    <definedName name="solver_rhs2" localSheetId="2" hidden="1">'HTC CP4'!$A$21:$A$30</definedName>
    <definedName name="solver_rhs3" localSheetId="1" hidden="1">22</definedName>
    <definedName name="solver_rhs3" localSheetId="2" hidden="1">22</definedName>
    <definedName name="solver_rhs4" localSheetId="1" hidden="1">0</definedName>
    <definedName name="solver_rhs4" localSheetId="2" hidden="1">0</definedName>
    <definedName name="solver_rhs5" localSheetId="1" hidden="1">0</definedName>
    <definedName name="solver_rhs5" localSheetId="2" hidden="1">0</definedName>
    <definedName name="solver_rhs6" localSheetId="1" hidden="1">0</definedName>
    <definedName name="solver_rhs6" localSheetId="2" hidden="1">0</definedName>
    <definedName name="solver_rlx" localSheetId="1" hidden="1">1</definedName>
    <definedName name="solver_rlx" localSheetId="2" hidden="1">1</definedName>
    <definedName name="solver_rsd" localSheetId="1" hidden="1">0</definedName>
    <definedName name="solver_rsd" localSheetId="2" hidden="1">0</definedName>
    <definedName name="solver_scl" localSheetId="1" hidden="1">2</definedName>
    <definedName name="solver_scl" localSheetId="2" hidden="1">2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100</definedName>
    <definedName name="solver_tim" localSheetId="2" hidden="1">100</definedName>
    <definedName name="solver_tol" localSheetId="1" hidden="1">0.05</definedName>
    <definedName name="solver_tol" localSheetId="2" hidden="1">0.05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5" i="10" l="1"/>
  <c r="G10" i="34" l="1"/>
  <c r="G9" i="34"/>
  <c r="G8" i="34"/>
  <c r="G7" i="34"/>
  <c r="G10" i="33"/>
  <c r="G9" i="33"/>
  <c r="G8" i="33"/>
  <c r="G7" i="33"/>
  <c r="K38" i="33" l="1"/>
  <c r="D29" i="33" s="1"/>
  <c r="D30" i="33" s="1"/>
  <c r="K37" i="33"/>
  <c r="A29" i="33" s="1"/>
  <c r="A30" i="33" s="1"/>
  <c r="K36" i="33"/>
  <c r="A27" i="33" s="1"/>
  <c r="A28" i="33" s="1"/>
  <c r="K35" i="33"/>
  <c r="D27" i="33" s="1"/>
  <c r="D28" i="33" s="1"/>
  <c r="K34" i="33"/>
  <c r="A23" i="33" s="1"/>
  <c r="A24" i="33" s="1"/>
  <c r="K33" i="33"/>
  <c r="D23" i="33" s="1"/>
  <c r="D24" i="33" s="1"/>
  <c r="K32" i="33"/>
  <c r="A25" i="33" s="1"/>
  <c r="A26" i="33" s="1"/>
  <c r="K31" i="33"/>
  <c r="D25" i="33" s="1"/>
  <c r="D26" i="33" s="1"/>
  <c r="K30" i="33"/>
  <c r="A21" i="33" s="1"/>
  <c r="A22" i="33" s="1"/>
  <c r="K29" i="33"/>
  <c r="D21" i="33" s="1"/>
  <c r="D22" i="33" s="1"/>
  <c r="K30" i="34"/>
  <c r="A21" i="34" s="1"/>
  <c r="A22" i="34" s="1"/>
  <c r="K31" i="34"/>
  <c r="D25" i="34" s="1"/>
  <c r="D26" i="34" s="1"/>
  <c r="K32" i="34"/>
  <c r="A25" i="34" s="1"/>
  <c r="A26" i="34" s="1"/>
  <c r="K33" i="34"/>
  <c r="D23" i="34" s="1"/>
  <c r="D24" i="34" s="1"/>
  <c r="K34" i="34"/>
  <c r="A23" i="34" s="1"/>
  <c r="A24" i="34" s="1"/>
  <c r="K35" i="34"/>
  <c r="D27" i="34" s="1"/>
  <c r="D28" i="34" s="1"/>
  <c r="K36" i="34"/>
  <c r="A27" i="34" s="1"/>
  <c r="A28" i="34" s="1"/>
  <c r="K37" i="34"/>
  <c r="A29" i="34" s="1"/>
  <c r="A30" i="34" s="1"/>
  <c r="K38" i="34"/>
  <c r="D29" i="34" s="1"/>
  <c r="D30" i="34" s="1"/>
  <c r="K29" i="34"/>
  <c r="D21" i="34" s="1"/>
  <c r="D22" i="34" s="1"/>
  <c r="K27" i="33"/>
  <c r="K28" i="33"/>
  <c r="K26" i="33"/>
  <c r="K25" i="33"/>
  <c r="B31" i="38" s="1"/>
  <c r="B37" i="10" s="1"/>
  <c r="K24" i="33"/>
  <c r="B24" i="38" s="1"/>
  <c r="B30" i="10" s="1"/>
  <c r="K23" i="33"/>
  <c r="B27" i="38" s="1"/>
  <c r="B33" i="10" s="1"/>
  <c r="K18" i="33"/>
  <c r="K15" i="33"/>
  <c r="K14" i="33"/>
  <c r="K13" i="33"/>
  <c r="K12" i="33"/>
  <c r="K11" i="33"/>
  <c r="K10" i="33"/>
  <c r="K9" i="33"/>
  <c r="K8" i="33"/>
  <c r="K12" i="34"/>
  <c r="K13" i="34"/>
  <c r="K14" i="34"/>
  <c r="K15" i="34"/>
  <c r="K17" i="34"/>
  <c r="K18" i="34"/>
  <c r="K23" i="34"/>
  <c r="K24" i="34"/>
  <c r="B24" i="39" s="1"/>
  <c r="C30" i="10" s="1"/>
  <c r="K25" i="34"/>
  <c r="B31" i="39" s="1"/>
  <c r="C37" i="10" s="1"/>
  <c r="K26" i="34"/>
  <c r="K27" i="34"/>
  <c r="K28" i="34"/>
  <c r="K11" i="34"/>
  <c r="B24" i="40"/>
  <c r="B23" i="40"/>
  <c r="B22" i="40"/>
  <c r="B21" i="40"/>
  <c r="B18" i="40"/>
  <c r="B19" i="40" s="1"/>
  <c r="K17" i="33" s="1"/>
  <c r="K9" i="34"/>
  <c r="K10" i="34"/>
  <c r="K8" i="34"/>
  <c r="B49" i="39"/>
  <c r="C55" i="10" s="1"/>
  <c r="B39" i="39"/>
  <c r="C45" i="10" s="1"/>
  <c r="B54" i="39"/>
  <c r="C60" i="10" s="1"/>
  <c r="B53" i="39"/>
  <c r="C59" i="10" s="1"/>
  <c r="B52" i="39"/>
  <c r="C58" i="10" s="1"/>
  <c r="B51" i="39"/>
  <c r="C57" i="10" s="1"/>
  <c r="B50" i="39"/>
  <c r="C56" i="10" s="1"/>
  <c r="B44" i="39"/>
  <c r="C50" i="10" s="1"/>
  <c r="B43" i="39"/>
  <c r="C49" i="10" s="1"/>
  <c r="B42" i="39"/>
  <c r="C48" i="10" s="1"/>
  <c r="B41" i="39"/>
  <c r="C47" i="10" s="1"/>
  <c r="B40" i="39"/>
  <c r="C46" i="10" s="1"/>
  <c r="B34" i="39"/>
  <c r="C40" i="10" s="1"/>
  <c r="B32" i="39"/>
  <c r="C38" i="10" s="1"/>
  <c r="B28" i="39"/>
  <c r="C34" i="10" s="1"/>
  <c r="B25" i="39"/>
  <c r="C31" i="10" s="1"/>
  <c r="D16" i="34"/>
  <c r="D18" i="34" s="1"/>
  <c r="B21" i="39" s="1"/>
  <c r="C27" i="10" s="1"/>
  <c r="B19" i="39"/>
  <c r="C25" i="10" s="1"/>
  <c r="B18" i="39"/>
  <c r="C24" i="10" s="1"/>
  <c r="B17" i="39"/>
  <c r="C23" i="10" s="1"/>
  <c r="D15" i="34"/>
  <c r="B13" i="39" s="1"/>
  <c r="C19" i="10" s="1"/>
  <c r="B12" i="39"/>
  <c r="C18" i="10" s="1"/>
  <c r="B11" i="39"/>
  <c r="C17" i="10" s="1"/>
  <c r="B10" i="39"/>
  <c r="C16" i="10" s="1"/>
  <c r="B49" i="38"/>
  <c r="B55" i="10" s="1"/>
  <c r="B39" i="38"/>
  <c r="B54" i="38"/>
  <c r="B60" i="10" s="1"/>
  <c r="B53" i="38"/>
  <c r="B59" i="10" s="1"/>
  <c r="B52" i="38"/>
  <c r="B58" i="10" s="1"/>
  <c r="B51" i="38"/>
  <c r="B57" i="10" s="1"/>
  <c r="B50" i="38"/>
  <c r="B56" i="10" s="1"/>
  <c r="B44" i="38"/>
  <c r="B50" i="10" s="1"/>
  <c r="B43" i="38"/>
  <c r="B49" i="10" s="1"/>
  <c r="B42" i="38"/>
  <c r="B48" i="10" s="1"/>
  <c r="B41" i="38"/>
  <c r="B47" i="10" s="1"/>
  <c r="B40" i="38"/>
  <c r="B46" i="10" s="1"/>
  <c r="B34" i="38"/>
  <c r="B40" i="10" s="1"/>
  <c r="B32" i="38"/>
  <c r="B38" i="10" s="1"/>
  <c r="B28" i="38"/>
  <c r="B34" i="10" s="1"/>
  <c r="B25" i="38"/>
  <c r="B31" i="10" s="1"/>
  <c r="D16" i="33"/>
  <c r="B20" i="38" s="1"/>
  <c r="B26" i="10" s="1"/>
  <c r="B19" i="38"/>
  <c r="B25" i="10" s="1"/>
  <c r="B18" i="38"/>
  <c r="B24" i="10" s="1"/>
  <c r="B17" i="38"/>
  <c r="B23" i="10" s="1"/>
  <c r="D15" i="33"/>
  <c r="D17" i="33" s="1"/>
  <c r="B14" i="38" s="1"/>
  <c r="B20" i="10" s="1"/>
  <c r="B12" i="38"/>
  <c r="B18" i="10" s="1"/>
  <c r="B11" i="38"/>
  <c r="B17" i="10" s="1"/>
  <c r="B10" i="38"/>
  <c r="B16" i="10" s="1"/>
  <c r="B13" i="38" l="1"/>
  <c r="B19" i="10" s="1"/>
  <c r="D18" i="33"/>
  <c r="B21" i="38" s="1"/>
  <c r="B27" i="10" s="1"/>
  <c r="K16" i="34"/>
  <c r="D9" i="34" s="1"/>
  <c r="B6" i="39" s="1"/>
  <c r="C12" i="10" s="1"/>
  <c r="K19" i="33"/>
  <c r="D34" i="33" s="1"/>
  <c r="D17" i="34"/>
  <c r="B14" i="39" s="1"/>
  <c r="C20" i="10" s="1"/>
  <c r="K19" i="34"/>
  <c r="D34" i="34" s="1"/>
  <c r="E34" i="34" s="1"/>
  <c r="B48" i="39" s="1"/>
  <c r="C54" i="10" s="1"/>
  <c r="K16" i="33"/>
  <c r="D12" i="33"/>
  <c r="D11" i="33"/>
  <c r="D11" i="34"/>
  <c r="D12" i="34"/>
  <c r="D7" i="34"/>
  <c r="B4" i="39" s="1"/>
  <c r="C10" i="10" s="1"/>
  <c r="B20" i="39"/>
  <c r="C26" i="10" s="1"/>
  <c r="B27" i="39"/>
  <c r="C33" i="10" s="1"/>
  <c r="D13" i="33"/>
  <c r="B26" i="38" s="1"/>
  <c r="B32" i="10" s="1"/>
  <c r="B3" i="38"/>
  <c r="B9" i="10" s="1"/>
  <c r="D7" i="33"/>
  <c r="B4" i="38" s="1"/>
  <c r="B10" i="10" s="1"/>
  <c r="D8" i="33"/>
  <c r="B5" i="38" s="1"/>
  <c r="B11" i="10" s="1"/>
  <c r="D33" i="33"/>
  <c r="D9" i="33"/>
  <c r="B6" i="38" s="1"/>
  <c r="B12" i="10" s="1"/>
  <c r="B3" i="39"/>
  <c r="C9" i="10" s="1"/>
  <c r="D14" i="34"/>
  <c r="B33" i="39" s="1"/>
  <c r="C39" i="10" s="1"/>
  <c r="D14" i="33"/>
  <c r="B33" i="38" s="1"/>
  <c r="B39" i="10" s="1"/>
  <c r="D13" i="34"/>
  <c r="B26" i="39" s="1"/>
  <c r="C32" i="10" s="1"/>
  <c r="D33" i="34"/>
  <c r="E33" i="34" s="1"/>
  <c r="B38" i="39" s="1"/>
  <c r="C44" i="10" s="1"/>
  <c r="E34" i="33" l="1"/>
  <c r="B48" i="38" s="1"/>
  <c r="B54" i="10" s="1"/>
  <c r="B47" i="38"/>
  <c r="B53" i="10" s="1"/>
  <c r="D8" i="34"/>
  <c r="B5" i="39" s="1"/>
  <c r="C11" i="10" s="1"/>
  <c r="E33" i="33"/>
  <c r="B38" i="38" s="1"/>
  <c r="B44" i="10" s="1"/>
  <c r="B37" i="38"/>
  <c r="B43" i="10" s="1"/>
  <c r="D10" i="33"/>
  <c r="B7" i="38" s="1"/>
  <c r="B13" i="10" s="1"/>
  <c r="B47" i="39"/>
  <c r="C53" i="10" s="1"/>
  <c r="B37" i="39"/>
  <c r="C43" i="10" s="1"/>
  <c r="D10" i="34" l="1"/>
  <c r="B7" i="39" s="1"/>
  <c r="C13" i="10" s="1"/>
</calcChain>
</file>

<file path=xl/sharedStrings.xml><?xml version="1.0" encoding="utf-8"?>
<sst xmlns="http://schemas.openxmlformats.org/spreadsheetml/2006/main" count="442" uniqueCount="136">
  <si>
    <t>Pd1</t>
  </si>
  <si>
    <t>Kf0</t>
  </si>
  <si>
    <t>$/MWh</t>
  </si>
  <si>
    <t>h</t>
  </si>
  <si>
    <t>MW</t>
  </si>
  <si>
    <t>V0</t>
  </si>
  <si>
    <t>Hm3</t>
  </si>
  <si>
    <t>Hm3/h</t>
  </si>
  <si>
    <t>V1</t>
  </si>
  <si>
    <t>V2</t>
  </si>
  <si>
    <t>Hm3/MW</t>
  </si>
  <si>
    <t>Ph1</t>
  </si>
  <si>
    <t>Ph2</t>
  </si>
  <si>
    <t>lamda1</t>
  </si>
  <si>
    <t>lamda2</t>
  </si>
  <si>
    <t>Y1</t>
  </si>
  <si>
    <t>Y2</t>
  </si>
  <si>
    <t>s1</t>
  </si>
  <si>
    <t>s2</t>
  </si>
  <si>
    <t>Kh0</t>
  </si>
  <si>
    <t>Kh1</t>
  </si>
  <si>
    <t>Kh2</t>
  </si>
  <si>
    <t>Hm3/MW^2</t>
  </si>
  <si>
    <t>Kf1</t>
  </si>
  <si>
    <t>Kf2</t>
  </si>
  <si>
    <t>$/MW2h</t>
  </si>
  <si>
    <t>Pg1</t>
  </si>
  <si>
    <t>Pg2</t>
  </si>
  <si>
    <t>Blosss</t>
  </si>
  <si>
    <t>Pd2</t>
  </si>
  <si>
    <t>lambda1</t>
  </si>
  <si>
    <t>lambda2</t>
  </si>
  <si>
    <t>q1</t>
  </si>
  <si>
    <t>q2</t>
  </si>
  <si>
    <t>Pdo</t>
  </si>
  <si>
    <t>lambda0</t>
  </si>
  <si>
    <t>No Water Cost</t>
  </si>
  <si>
    <t>Scenario</t>
  </si>
  <si>
    <t>Thermal Generation Fixed Cost ($/yr)</t>
  </si>
  <si>
    <t>Consumer Benefit ($/yr)</t>
  </si>
  <si>
    <t>Future Water Cost (Present Value) ($/yr)</t>
  </si>
  <si>
    <t>Global Social Cost ($/yr)</t>
  </si>
  <si>
    <t xml:space="preserve">Thermal Generation Variable Cost ($/yr)    </t>
  </si>
  <si>
    <t>$/h</t>
  </si>
  <si>
    <t>$/Hm3/day</t>
  </si>
  <si>
    <t>$/Hm3^2/day</t>
  </si>
  <si>
    <t>$/day</t>
  </si>
  <si>
    <t>Prices Wet Period</t>
  </si>
  <si>
    <r>
      <rPr>
        <sz val="11"/>
        <color theme="1"/>
        <rFont val="Symbol"/>
        <family val="1"/>
        <charset val="2"/>
      </rPr>
      <t>l1</t>
    </r>
    <r>
      <rPr>
        <sz val="11"/>
        <color theme="1"/>
        <rFont val="CMU Serif"/>
      </rPr>
      <t xml:space="preserve">,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MU Serif"/>
      </rPr>
      <t xml:space="preserve">d1,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MU Serif"/>
      </rPr>
      <t>G1 ($/MWh)</t>
    </r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</si>
  <si>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MU Serif"/>
      </rPr>
      <t>H1 ($/MWh)</t>
    </r>
  </si>
  <si>
    <t>Y1 ($/MW)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</si>
  <si>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MU Serif"/>
      </rPr>
      <t>G1 ($/MWh)</t>
    </r>
  </si>
  <si>
    <r>
      <rPr>
        <sz val="11"/>
        <color theme="1"/>
        <rFont val="Symbol"/>
        <family val="1"/>
        <charset val="2"/>
      </rPr>
      <t>mH1</t>
    </r>
    <r>
      <rPr>
        <sz val="11"/>
        <color theme="1"/>
        <rFont val="CMU Serif"/>
      </rPr>
      <t xml:space="preserve"> ($/MWh)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</si>
  <si>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mbria"/>
        <family val="1"/>
        <scheme val="major"/>
      </rPr>
      <t>q1</t>
    </r>
    <r>
      <rPr>
        <sz val="11"/>
        <color theme="1"/>
        <rFont val="CMU Serif"/>
      </rPr>
      <t xml:space="preserve"> ($/MWh)</t>
    </r>
  </si>
  <si>
    <r>
      <rPr>
        <sz val="11"/>
        <color theme="1"/>
        <rFont val="Symbol"/>
        <family val="1"/>
        <charset val="2"/>
      </rPr>
      <t>h</t>
    </r>
    <r>
      <rPr>
        <sz val="11"/>
        <color theme="1"/>
        <rFont val="CMU Serif"/>
      </rPr>
      <t>s1 ($/MWh)</t>
    </r>
  </si>
  <si>
    <t>Prices Dry Period</t>
  </si>
  <si>
    <r>
      <rPr>
        <sz val="11"/>
        <color theme="1"/>
        <rFont val="Symbol"/>
        <family val="1"/>
        <charset val="2"/>
      </rPr>
      <t>l2</t>
    </r>
    <r>
      <rPr>
        <sz val="11"/>
        <color theme="1"/>
        <rFont val="CMU Serif"/>
      </rPr>
      <t xml:space="preserve">,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MU Serif"/>
      </rPr>
      <t xml:space="preserve">d2,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MU Serif"/>
      </rPr>
      <t>G2 ($/MWh)</t>
    </r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</si>
  <si>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MU Serif"/>
      </rPr>
      <t>H2 ($/MWh)</t>
    </r>
  </si>
  <si>
    <t>Y2 ($/MW)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</si>
  <si>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MU Serif"/>
      </rPr>
      <t>G2 ($/MWh)</t>
    </r>
  </si>
  <si>
    <r>
      <rPr>
        <sz val="11"/>
        <color theme="1"/>
        <rFont val="Symbol"/>
        <family val="1"/>
        <charset val="2"/>
      </rPr>
      <t>mH2</t>
    </r>
    <r>
      <rPr>
        <sz val="11"/>
        <color theme="1"/>
        <rFont val="CMU Serif"/>
      </rPr>
      <t xml:space="preserve"> ($/MWh)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</si>
  <si>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mbria"/>
        <family val="1"/>
        <scheme val="major"/>
      </rPr>
      <t>q2</t>
    </r>
    <r>
      <rPr>
        <sz val="11"/>
        <color theme="1"/>
        <rFont val="CMU Serif"/>
      </rPr>
      <t xml:space="preserve"> ($/MWh)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</si>
  <si>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MU Serif"/>
      </rPr>
      <t>V2 ($/MWh)</t>
    </r>
  </si>
  <si>
    <r>
      <rPr>
        <sz val="11"/>
        <color theme="1"/>
        <rFont val="Symbol"/>
        <family val="1"/>
        <charset val="2"/>
      </rPr>
      <t>h</t>
    </r>
    <r>
      <rPr>
        <sz val="11"/>
        <color theme="1"/>
        <rFont val="CMU Serif"/>
      </rPr>
      <t>s2 ($/MWh)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</si>
  <si>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MU Serif"/>
      </rPr>
      <t>V1 ($/MWh)</t>
    </r>
  </si>
  <si>
    <t>Reservoir Wet Period</t>
  </si>
  <si>
    <t>V1 (Hm3)</t>
  </si>
  <si>
    <t>q1 (Hm3/h)</t>
  </si>
  <si>
    <t>s1 (Hm3/h)</t>
  </si>
  <si>
    <t>r1 (Hm3/h)</t>
  </si>
  <si>
    <t>Reservoir Dry Period</t>
  </si>
  <si>
    <t>r2 (Hm3/h)</t>
  </si>
  <si>
    <t>s2 (Hm3/h)</t>
  </si>
  <si>
    <t>q2 (Hm3/h)</t>
  </si>
  <si>
    <t>V2 (Hm3)</t>
  </si>
  <si>
    <t>V0 (Hm3)</t>
  </si>
  <si>
    <t>Dispatch Wet Period</t>
  </si>
  <si>
    <t>%Ploss</t>
  </si>
  <si>
    <t>Ploss1 (MW)</t>
  </si>
  <si>
    <t>PG1 (MW)</t>
  </si>
  <si>
    <t>PH1 (MW)</t>
  </si>
  <si>
    <t>PD1 (MW)</t>
  </si>
  <si>
    <t>Dispatch Dry Period</t>
  </si>
  <si>
    <t>PG2 (MW)</t>
  </si>
  <si>
    <t>PH2 (MW)</t>
  </si>
  <si>
    <t>PD2 (MW)</t>
  </si>
  <si>
    <t>Ploss2 (MW)</t>
  </si>
  <si>
    <t>Plosses1</t>
  </si>
  <si>
    <t>Plosses2</t>
  </si>
  <si>
    <t>Y1 ($/Hm3.h)</t>
  </si>
  <si>
    <t>Y2  ($/Hm3.h)</t>
  </si>
  <si>
    <t>Operación Económica de Sistemas de Potencia</t>
  </si>
  <si>
    <t>Ejemplo 2: Despacho Económico Hidrotérmico</t>
  </si>
  <si>
    <t>Datos</t>
  </si>
  <si>
    <t>C0</t>
  </si>
  <si>
    <t>a1</t>
  </si>
  <si>
    <t>a2</t>
  </si>
  <si>
    <t>b1/2</t>
  </si>
  <si>
    <t>b2/2</t>
  </si>
  <si>
    <t>T1</t>
  </si>
  <si>
    <t>T2</t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</si>
  <si>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max</t>
    </r>
  </si>
  <si>
    <t>m</t>
  </si>
  <si>
    <t>r1</t>
  </si>
  <si>
    <t>r2</t>
  </si>
  <si>
    <t>Pgmax</t>
  </si>
  <si>
    <t>Pgmin</t>
  </si>
  <si>
    <t>Phmax</t>
  </si>
  <si>
    <t>Phmin</t>
  </si>
  <si>
    <t>Pdmax</t>
  </si>
  <si>
    <t>Pdmin</t>
  </si>
  <si>
    <t>Vmax</t>
  </si>
  <si>
    <t>Vmin</t>
  </si>
  <si>
    <t>Hm4</t>
  </si>
  <si>
    <t>smin</t>
  </si>
  <si>
    <t>smax</t>
  </si>
  <si>
    <t>Restricciones técnicas</t>
  </si>
  <si>
    <t>Node G</t>
  </si>
  <si>
    <t>Node H</t>
  </si>
  <si>
    <t>IC1</t>
  </si>
  <si>
    <t>IC2</t>
  </si>
  <si>
    <t>%</t>
  </si>
  <si>
    <t>Plosses1 %</t>
  </si>
  <si>
    <t>Plosses2 %</t>
  </si>
  <si>
    <t>normal</t>
  </si>
  <si>
    <t>niña</t>
  </si>
  <si>
    <t>niño</t>
  </si>
  <si>
    <t>Escenario de lluvias</t>
  </si>
  <si>
    <t>Sin costo del agua</t>
  </si>
  <si>
    <t>Escenario NIÑA</t>
  </si>
  <si>
    <t>Escenario NIÑO</t>
  </si>
  <si>
    <r>
      <rPr>
        <sz val="11"/>
        <color theme="1"/>
        <rFont val="Calibri"/>
        <family val="2"/>
        <scheme val="minor"/>
      </rPr>
      <t>mG2 ($/MWh)</t>
    </r>
  </si>
  <si>
    <r>
      <rPr>
        <sz val="11"/>
        <color theme="1"/>
        <rFont val="Calibri"/>
        <family val="2"/>
        <scheme val="minor"/>
      </rPr>
      <t>mH2 ($/MWh)</t>
    </r>
  </si>
  <si>
    <r>
      <rPr>
        <sz val="11"/>
        <color theme="1"/>
        <rFont val="Calibri"/>
        <family val="2"/>
        <scheme val="minor"/>
      </rPr>
      <t>mq2 ($/MWh)</t>
    </r>
  </si>
  <si>
    <r>
      <rPr>
        <sz val="11"/>
        <color theme="1"/>
        <rFont val="Calibri"/>
        <family val="2"/>
        <scheme val="minor"/>
      </rPr>
      <t>mV2 ($/MWh)</t>
    </r>
  </si>
  <si>
    <r>
      <rPr>
        <sz val="11"/>
        <color theme="1"/>
        <rFont val="Calibri"/>
        <family val="2"/>
        <scheme val="minor"/>
      </rPr>
      <t>hs2 ($/MWh)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</si>
</sst>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_€"/>
    <numFmt numFmtId="165" formatCode="0.0"/>
    <numFmt numFmtId="166" formatCode="0.00000000"/>
    <numFmt numFmtId="167" formatCode="&quot;$&quot;#,##0.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MU Serif"/>
    </font>
    <font>
      <sz val="11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3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2" fontId="0" fillId="0" borderId="0" xfId="0" applyNumberFormat="1"/>
    <xf numFmtId="0" fontId="2" fillId="0" borderId="0" xfId="0" applyFont="1"/>
    <xf numFmtId="0" fontId="1" fillId="0" borderId="0" xfId="0" applyFont="1"/>
    <xf numFmtId="2" fontId="0" fillId="2" borderId="0" xfId="0" applyNumberFormat="1" applyFill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0" fillId="3" borderId="0" xfId="0" applyFill="1"/>
    <xf numFmtId="0" fontId="7" fillId="3" borderId="0" xfId="0" applyFont="1" applyFill="1"/>
    <xf numFmtId="0" fontId="8" fillId="3" borderId="0" xfId="0" applyFont="1" applyFill="1"/>
    <xf numFmtId="0" fontId="0" fillId="4" borderId="0" xfId="0" applyFill="1"/>
    <xf numFmtId="0" fontId="0" fillId="5" borderId="0" xfId="0" applyFill="1"/>
    <xf numFmtId="2" fontId="0" fillId="5" borderId="0" xfId="0" applyNumberFormat="1" applyFill="1"/>
    <xf numFmtId="0" fontId="9" fillId="5" borderId="0" xfId="0" applyFont="1" applyFill="1"/>
    <xf numFmtId="1" fontId="0" fillId="0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0" fontId="0" fillId="6" borderId="0" xfId="0" applyFill="1"/>
    <xf numFmtId="0" fontId="1" fillId="0" borderId="0" xfId="0" applyFont="1" applyFill="1"/>
    <xf numFmtId="166" fontId="0" fillId="0" borderId="0" xfId="0" applyNumberFormat="1" applyFill="1"/>
    <xf numFmtId="0" fontId="9" fillId="0" borderId="0" xfId="0" applyFont="1" applyFill="1"/>
    <xf numFmtId="0" fontId="0" fillId="0" borderId="0" xfId="0" applyFill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167" fontId="0" fillId="0" borderId="0" xfId="0" applyNumberFormat="1" applyFont="1" applyAlignment="1">
      <alignment horizontal="center"/>
    </xf>
    <xf numFmtId="167" fontId="0" fillId="0" borderId="2" xfId="0" applyNumberFormat="1" applyFont="1" applyBorder="1" applyAlignment="1">
      <alignment horizontal="center"/>
    </xf>
    <xf numFmtId="167" fontId="0" fillId="0" borderId="0" xfId="0" applyNumberFormat="1" applyFont="1" applyBorder="1" applyAlignment="1">
      <alignment horizontal="center"/>
    </xf>
    <xf numFmtId="167" fontId="0" fillId="0" borderId="1" xfId="0" applyNumberFormat="1" applyFont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0" fillId="0" borderId="0" xfId="0" applyFill="1" applyAlignment="1">
      <alignment horizontal="center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0</xdr:row>
      <xdr:rowOff>0</xdr:rowOff>
    </xdr:from>
    <xdr:to>
      <xdr:col>2</xdr:col>
      <xdr:colOff>719992</xdr:colOff>
      <xdr:row>4</xdr:row>
      <xdr:rowOff>61498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D8D355-D9D9-F546-A4C2-737EBD34F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0"/>
          <a:ext cx="2116992" cy="8615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0</xdr:row>
      <xdr:rowOff>0</xdr:rowOff>
    </xdr:from>
    <xdr:to>
      <xdr:col>2</xdr:col>
      <xdr:colOff>719992</xdr:colOff>
      <xdr:row>5</xdr:row>
      <xdr:rowOff>5935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EE4A5A-8C9F-4A43-9901-FEDF36C73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0"/>
          <a:ext cx="2116992" cy="9504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0</xdr:row>
      <xdr:rowOff>0</xdr:rowOff>
    </xdr:from>
    <xdr:to>
      <xdr:col>2</xdr:col>
      <xdr:colOff>719992</xdr:colOff>
      <xdr:row>4</xdr:row>
      <xdr:rowOff>55148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2045EE-CFC5-6C4E-8C82-7E0401B5B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0"/>
          <a:ext cx="2116992" cy="9504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0</xdr:row>
      <xdr:rowOff>0</xdr:rowOff>
    </xdr:from>
    <xdr:to>
      <xdr:col>1</xdr:col>
      <xdr:colOff>999</xdr:colOff>
      <xdr:row>5</xdr:row>
      <xdr:rowOff>104793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7D759B-1D9A-0A4C-8062-FE2E5CA29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0"/>
          <a:ext cx="2116992" cy="9250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E3E45-D37B-1840-B5E9-101CEE65D454}">
  <dimension ref="A1:I40"/>
  <sheetViews>
    <sheetView zoomScale="140" zoomScaleNormal="140" workbookViewId="0">
      <selection activeCell="M23" sqref="M23"/>
    </sheetView>
  </sheetViews>
  <sheetFormatPr defaultColWidth="11.42578125" defaultRowHeight="15"/>
  <cols>
    <col min="5" max="8" width="6.85546875" customWidth="1"/>
  </cols>
  <sheetData>
    <row r="1" spans="1:9" s="11" customFormat="1"/>
    <row r="2" spans="1:9" s="11" customFormat="1" ht="18.75">
      <c r="G2" s="12" t="s">
        <v>91</v>
      </c>
    </row>
    <row r="3" spans="1:9" s="11" customFormat="1" ht="18.75">
      <c r="G3" s="13" t="s">
        <v>92</v>
      </c>
    </row>
    <row r="4" spans="1:9" s="11" customFormat="1"/>
    <row r="5" spans="1:9" s="14" customFormat="1" ht="5.0999999999999996" customHeight="1"/>
    <row r="6" spans="1:9" s="21" customFormat="1"/>
    <row r="7" spans="1:9" s="21" customFormat="1">
      <c r="F7" s="40" t="s">
        <v>127</v>
      </c>
      <c r="G7" s="40"/>
      <c r="H7" s="40"/>
    </row>
    <row r="8" spans="1:9" s="21" customFormat="1">
      <c r="A8" s="23" t="s">
        <v>93</v>
      </c>
      <c r="E8" s="26"/>
      <c r="F8" s="26" t="s">
        <v>124</v>
      </c>
      <c r="G8" s="26" t="s">
        <v>125</v>
      </c>
      <c r="H8" s="26" t="s">
        <v>126</v>
      </c>
      <c r="I8" s="26"/>
    </row>
    <row r="9" spans="1:9" s="21" customFormat="1">
      <c r="A9" s="21" t="s">
        <v>19</v>
      </c>
      <c r="B9" s="24">
        <v>0</v>
      </c>
      <c r="C9" s="21" t="s">
        <v>6</v>
      </c>
      <c r="E9" s="27" t="s">
        <v>103</v>
      </c>
      <c r="F9" s="27">
        <v>30</v>
      </c>
      <c r="G9" s="27">
        <v>40</v>
      </c>
      <c r="H9" s="27">
        <v>10</v>
      </c>
      <c r="I9" s="27" t="s">
        <v>7</v>
      </c>
    </row>
    <row r="10" spans="1:9" s="21" customFormat="1">
      <c r="A10" s="21" t="s">
        <v>20</v>
      </c>
      <c r="B10" s="24">
        <v>1.5E-3</v>
      </c>
      <c r="C10" s="21" t="s">
        <v>10</v>
      </c>
      <c r="E10" s="28" t="s">
        <v>104</v>
      </c>
      <c r="F10" s="28">
        <v>10</v>
      </c>
      <c r="G10" s="28">
        <v>30</v>
      </c>
      <c r="H10" s="28">
        <v>5</v>
      </c>
      <c r="I10" s="28" t="s">
        <v>7</v>
      </c>
    </row>
    <row r="11" spans="1:9" s="21" customFormat="1">
      <c r="A11" s="21" t="s">
        <v>21</v>
      </c>
      <c r="B11" s="24">
        <v>1E-8</v>
      </c>
      <c r="C11" s="21" t="s">
        <v>22</v>
      </c>
    </row>
    <row r="12" spans="1:9" s="21" customFormat="1" hidden="1"/>
    <row r="13" spans="1:9" s="21" customFormat="1">
      <c r="A13" s="21" t="s">
        <v>94</v>
      </c>
      <c r="B13" s="21">
        <v>1000</v>
      </c>
      <c r="C13" s="21" t="s">
        <v>43</v>
      </c>
    </row>
    <row r="14" spans="1:9" s="21" customFormat="1">
      <c r="A14" s="21" t="s">
        <v>95</v>
      </c>
      <c r="B14" s="21">
        <v>60</v>
      </c>
      <c r="C14" s="21" t="s">
        <v>2</v>
      </c>
    </row>
    <row r="15" spans="1:9" s="21" customFormat="1">
      <c r="A15" s="21" t="s">
        <v>96</v>
      </c>
      <c r="B15" s="21">
        <v>80</v>
      </c>
      <c r="C15" s="21" t="s">
        <v>2</v>
      </c>
    </row>
    <row r="16" spans="1:9" s="21" customFormat="1">
      <c r="A16" s="21" t="s">
        <v>97</v>
      </c>
      <c r="B16" s="21">
        <v>0.02</v>
      </c>
      <c r="C16" s="21" t="s">
        <v>25</v>
      </c>
    </row>
    <row r="17" spans="1:3" s="21" customFormat="1">
      <c r="A17" s="21" t="s">
        <v>98</v>
      </c>
      <c r="B17" s="21">
        <v>0.03</v>
      </c>
      <c r="C17" s="21" t="s">
        <v>25</v>
      </c>
    </row>
    <row r="18" spans="1:3" s="21" customFormat="1">
      <c r="A18" s="21" t="s">
        <v>99</v>
      </c>
      <c r="B18" s="21">
        <f>8760/2</f>
        <v>4380</v>
      </c>
      <c r="C18" s="21" t="s">
        <v>3</v>
      </c>
    </row>
    <row r="19" spans="1:3" s="21" customFormat="1">
      <c r="A19" s="21" t="s">
        <v>100</v>
      </c>
      <c r="B19" s="21">
        <f>B18</f>
        <v>4380</v>
      </c>
      <c r="C19" s="21" t="s">
        <v>3</v>
      </c>
    </row>
    <row r="20" spans="1:3" s="21" customFormat="1">
      <c r="A20" s="25" t="s">
        <v>101</v>
      </c>
      <c r="B20" s="21">
        <v>1000</v>
      </c>
      <c r="C20" s="21" t="s">
        <v>2</v>
      </c>
    </row>
    <row r="21" spans="1:3" s="21" customFormat="1">
      <c r="A21" s="21" t="s">
        <v>102</v>
      </c>
      <c r="B21" s="21">
        <f>(B20-B30)/B29</f>
        <v>7.7083333333333337E-2</v>
      </c>
      <c r="C21" s="21" t="s">
        <v>25</v>
      </c>
    </row>
    <row r="22" spans="1:3" s="21" customFormat="1">
      <c r="A22" s="21" t="s">
        <v>1</v>
      </c>
      <c r="B22" s="21">
        <f>10000*24</f>
        <v>240000</v>
      </c>
      <c r="C22" s="21" t="s">
        <v>46</v>
      </c>
    </row>
    <row r="23" spans="1:3" s="21" customFormat="1">
      <c r="A23" s="21" t="s">
        <v>23</v>
      </c>
      <c r="B23" s="21">
        <f>10*24</f>
        <v>240</v>
      </c>
      <c r="C23" s="21" t="s">
        <v>44</v>
      </c>
    </row>
    <row r="24" spans="1:3" s="21" customFormat="1">
      <c r="A24" s="21" t="s">
        <v>24</v>
      </c>
      <c r="B24" s="21">
        <f>0.000005*24</f>
        <v>1.2000000000000002E-4</v>
      </c>
      <c r="C24" s="21" t="s">
        <v>45</v>
      </c>
    </row>
    <row r="25" spans="1:3" s="21" customFormat="1">
      <c r="A25" s="21" t="s">
        <v>5</v>
      </c>
      <c r="B25" s="21">
        <v>50000</v>
      </c>
      <c r="C25" s="21" t="s">
        <v>6</v>
      </c>
    </row>
    <row r="26" spans="1:3" s="21" customFormat="1" hidden="1"/>
    <row r="27" spans="1:3" s="21" customFormat="1" hidden="1"/>
    <row r="28" spans="1:3" s="21" customFormat="1">
      <c r="A28" s="21" t="s">
        <v>28</v>
      </c>
      <c r="B28" s="21">
        <v>6.0000000000000002E-6</v>
      </c>
    </row>
    <row r="29" spans="1:3" s="21" customFormat="1">
      <c r="A29" s="21" t="s">
        <v>34</v>
      </c>
      <c r="B29" s="21">
        <v>12000</v>
      </c>
      <c r="C29" s="21" t="s">
        <v>4</v>
      </c>
    </row>
    <row r="30" spans="1:3" s="21" customFormat="1">
      <c r="A30" s="21" t="s">
        <v>35</v>
      </c>
      <c r="B30" s="21">
        <v>75</v>
      </c>
      <c r="C30" s="21" t="s">
        <v>2</v>
      </c>
    </row>
    <row r="31" spans="1:3" s="21" customFormat="1">
      <c r="A31" s="21" t="s">
        <v>105</v>
      </c>
      <c r="B31" s="21">
        <v>8000</v>
      </c>
      <c r="C31" s="21" t="s">
        <v>4</v>
      </c>
    </row>
    <row r="32" spans="1:3" s="21" customFormat="1">
      <c r="A32" s="21" t="s">
        <v>106</v>
      </c>
      <c r="B32" s="21">
        <v>0</v>
      </c>
      <c r="C32" s="21" t="s">
        <v>4</v>
      </c>
    </row>
    <row r="33" spans="1:3" s="21" customFormat="1">
      <c r="A33" s="21" t="s">
        <v>107</v>
      </c>
      <c r="B33" s="21">
        <v>15000</v>
      </c>
      <c r="C33" s="21" t="s">
        <v>4</v>
      </c>
    </row>
    <row r="34" spans="1:3" s="21" customFormat="1">
      <c r="A34" s="21" t="s">
        <v>108</v>
      </c>
      <c r="B34" s="21">
        <v>0</v>
      </c>
      <c r="C34" s="21" t="s">
        <v>4</v>
      </c>
    </row>
    <row r="35" spans="1:3" s="21" customFormat="1">
      <c r="A35" s="21" t="s">
        <v>109</v>
      </c>
      <c r="B35" s="21">
        <v>12972.972972972972</v>
      </c>
      <c r="C35" s="21" t="s">
        <v>4</v>
      </c>
    </row>
    <row r="36" spans="1:3" s="21" customFormat="1">
      <c r="A36" s="21" t="s">
        <v>110</v>
      </c>
      <c r="B36" s="21">
        <v>0</v>
      </c>
      <c r="C36" s="21" t="s">
        <v>4</v>
      </c>
    </row>
    <row r="37" spans="1:3" s="21" customFormat="1">
      <c r="A37" s="21" t="s">
        <v>111</v>
      </c>
      <c r="B37" s="21">
        <v>135000</v>
      </c>
      <c r="C37" s="21" t="s">
        <v>6</v>
      </c>
    </row>
    <row r="38" spans="1:3" s="21" customFormat="1">
      <c r="A38" s="21" t="s">
        <v>112</v>
      </c>
      <c r="B38" s="21">
        <v>50000</v>
      </c>
      <c r="C38" s="21" t="s">
        <v>113</v>
      </c>
    </row>
    <row r="39" spans="1:3" s="21" customFormat="1">
      <c r="A39" s="21" t="s">
        <v>114</v>
      </c>
      <c r="B39" s="21">
        <v>0</v>
      </c>
      <c r="C39" s="21" t="s">
        <v>7</v>
      </c>
    </row>
    <row r="40" spans="1:3" s="21" customFormat="1">
      <c r="A40" s="21" t="s">
        <v>115</v>
      </c>
      <c r="B40" s="21">
        <v>30</v>
      </c>
      <c r="C40" s="21" t="s">
        <v>7</v>
      </c>
    </row>
  </sheetData>
  <mergeCells count="1">
    <mergeCell ref="F7:H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48574"/>
  <sheetViews>
    <sheetView topLeftCell="A22" zoomScale="120" zoomScaleNormal="120" zoomScalePageLayoutView="90" workbookViewId="0">
      <selection activeCell="F14" sqref="F14"/>
    </sheetView>
  </sheetViews>
  <sheetFormatPr defaultColWidth="11.42578125" defaultRowHeight="15"/>
  <cols>
    <col min="3" max="3" width="15.140625" customWidth="1"/>
    <col min="6" max="6" width="14.85546875" customWidth="1"/>
    <col min="7" max="7" width="8.7109375" customWidth="1"/>
    <col min="8" max="8" width="11.28515625" customWidth="1"/>
    <col min="9" max="9" width="12.140625" bestFit="1" customWidth="1"/>
    <col min="14" max="16" width="10.85546875" style="21"/>
  </cols>
  <sheetData>
    <row r="1" spans="1:12" s="11" customFormat="1"/>
    <row r="2" spans="1:12" s="11" customFormat="1" ht="18.75">
      <c r="G2" s="12" t="s">
        <v>91</v>
      </c>
    </row>
    <row r="3" spans="1:12" s="11" customFormat="1" ht="18.75">
      <c r="G3" s="13" t="s">
        <v>92</v>
      </c>
    </row>
    <row r="4" spans="1:12" s="11" customFormat="1"/>
    <row r="5" spans="1:12" s="14" customFormat="1" ht="5.0999999999999996" customHeight="1"/>
    <row r="7" spans="1:12" ht="16.5">
      <c r="A7" s="5" t="s">
        <v>38</v>
      </c>
      <c r="D7">
        <f>K16*(K12*C21+K14*C21^2)+K17*(K13*C22+K15*C22^2)</f>
        <v>0</v>
      </c>
      <c r="F7" t="s">
        <v>13</v>
      </c>
      <c r="G7">
        <f>C23+K26*C25^2-(C21+C25)</f>
        <v>8.1583493738435209E-8</v>
      </c>
      <c r="J7" s="15" t="s">
        <v>93</v>
      </c>
      <c r="K7" s="15"/>
      <c r="L7" s="15"/>
    </row>
    <row r="8" spans="1:12" ht="16.5">
      <c r="A8" s="5" t="s">
        <v>39</v>
      </c>
      <c r="D8">
        <f>K16*(K18*C23-0.5*K19*C23^2)+K17*(K18*C24-0.5*K19*C24^2)</f>
        <v>56699745855.333786</v>
      </c>
      <c r="F8" t="s">
        <v>14</v>
      </c>
      <c r="G8">
        <f>C24+K26*C26^2-(C22+C26)</f>
        <v>0</v>
      </c>
      <c r="J8" s="15" t="s">
        <v>19</v>
      </c>
      <c r="K8" s="16">
        <f>Dataset!B9</f>
        <v>0</v>
      </c>
      <c r="L8" s="15" t="s">
        <v>6</v>
      </c>
    </row>
    <row r="9" spans="1:12" ht="16.5">
      <c r="A9" s="5" t="s">
        <v>40</v>
      </c>
      <c r="D9">
        <f>(K20-K21*C28-K22*C28^2)*(K16+K17)/24</f>
        <v>0</v>
      </c>
      <c r="F9" s="2" t="s">
        <v>15</v>
      </c>
      <c r="G9">
        <f>C27-$K$23-($K$24-C29-$K$8-$K$9*C25-$K$10*C25^2)*K16</f>
        <v>5.9556623455137014E-7</v>
      </c>
      <c r="J9" s="15" t="s">
        <v>20</v>
      </c>
      <c r="K9" s="16">
        <f>Dataset!B10</f>
        <v>1.5E-3</v>
      </c>
      <c r="L9" s="15" t="s">
        <v>10</v>
      </c>
    </row>
    <row r="10" spans="1:12" ht="16.5">
      <c r="A10" s="5" t="s">
        <v>41</v>
      </c>
      <c r="D10" s="22">
        <f>D7-D8+D9</f>
        <v>-56699745855.333786</v>
      </c>
      <c r="F10" s="2" t="s">
        <v>16</v>
      </c>
      <c r="G10">
        <f>C28-C27-($K$25-C30--$K$8-$K$9*C26-$K$10*C26^2)*$K$17</f>
        <v>0</v>
      </c>
      <c r="J10" s="15" t="s">
        <v>21</v>
      </c>
      <c r="K10" s="16">
        <f>Dataset!B11</f>
        <v>1E-8</v>
      </c>
      <c r="L10" s="15" t="s">
        <v>22</v>
      </c>
    </row>
    <row r="11" spans="1:12">
      <c r="C11" t="s">
        <v>119</v>
      </c>
      <c r="D11">
        <f>K12+2*K14*C21</f>
        <v>60</v>
      </c>
      <c r="E11" s="11" t="s">
        <v>2</v>
      </c>
      <c r="J11" s="15" t="s">
        <v>94</v>
      </c>
      <c r="K11" s="15">
        <f>Dataset!B13</f>
        <v>1000</v>
      </c>
      <c r="L11" s="15" t="s">
        <v>43</v>
      </c>
    </row>
    <row r="12" spans="1:12">
      <c r="C12" s="20" t="s">
        <v>120</v>
      </c>
      <c r="D12">
        <f>K13+2*K15*C22</f>
        <v>80</v>
      </c>
      <c r="E12" s="11" t="s">
        <v>2</v>
      </c>
      <c r="J12" s="15" t="s">
        <v>95</v>
      </c>
      <c r="K12" s="15">
        <f>Dataset!B14</f>
        <v>60</v>
      </c>
      <c r="L12" s="15" t="s">
        <v>2</v>
      </c>
    </row>
    <row r="13" spans="1:12">
      <c r="C13" s="20" t="s">
        <v>32</v>
      </c>
      <c r="D13" s="1">
        <f>$K$8+$K$9*C25+$K$10*C25^2</f>
        <v>22.000000000135969</v>
      </c>
      <c r="E13" s="11" t="s">
        <v>7</v>
      </c>
      <c r="J13" s="15" t="s">
        <v>96</v>
      </c>
      <c r="K13" s="15">
        <f>Dataset!B15</f>
        <v>80</v>
      </c>
      <c r="L13" s="15" t="s">
        <v>2</v>
      </c>
    </row>
    <row r="14" spans="1:12">
      <c r="C14" s="20" t="s">
        <v>33</v>
      </c>
      <c r="D14" s="1">
        <f>$K$8+$K$9*C26+$K$10*C26^2</f>
        <v>22</v>
      </c>
      <c r="E14" s="11" t="s">
        <v>7</v>
      </c>
      <c r="J14" s="15" t="s">
        <v>97</v>
      </c>
      <c r="K14" s="15">
        <f>Dataset!B16</f>
        <v>0.02</v>
      </c>
      <c r="L14" s="15" t="s">
        <v>25</v>
      </c>
    </row>
    <row r="15" spans="1:12">
      <c r="C15" s="20" t="s">
        <v>87</v>
      </c>
      <c r="D15" s="1">
        <f>C21+C25-C23</f>
        <v>1086.8729416372335</v>
      </c>
      <c r="E15" s="11" t="s">
        <v>4</v>
      </c>
      <c r="J15" s="15" t="s">
        <v>98</v>
      </c>
      <c r="K15" s="15">
        <f>Dataset!B17</f>
        <v>0.03</v>
      </c>
      <c r="L15" s="15" t="s">
        <v>25</v>
      </c>
    </row>
    <row r="16" spans="1:12">
      <c r="C16" s="20" t="s">
        <v>88</v>
      </c>
      <c r="D16">
        <f>C22+C26-C24</f>
        <v>1086.8729417064023</v>
      </c>
      <c r="E16" s="11" t="s">
        <v>4</v>
      </c>
      <c r="J16" s="15" t="s">
        <v>99</v>
      </c>
      <c r="K16" s="15">
        <f>Dataset!B18</f>
        <v>4380</v>
      </c>
      <c r="L16" s="15" t="s">
        <v>3</v>
      </c>
    </row>
    <row r="17" spans="1:12">
      <c r="C17" s="20" t="s">
        <v>122</v>
      </c>
      <c r="D17">
        <f>100*D15/(C21+C23)</f>
        <v>8.7848297658477801</v>
      </c>
      <c r="E17" s="11" t="s">
        <v>121</v>
      </c>
      <c r="J17" s="15" t="s">
        <v>100</v>
      </c>
      <c r="K17" s="15">
        <f>Dataset!B19</f>
        <v>4380</v>
      </c>
      <c r="L17" s="15" t="s">
        <v>3</v>
      </c>
    </row>
    <row r="18" spans="1:12">
      <c r="C18" s="20" t="s">
        <v>123</v>
      </c>
      <c r="D18">
        <f>100*D16/(C22+C24)</f>
        <v>8.7848297665105335</v>
      </c>
      <c r="E18" s="11" t="s">
        <v>121</v>
      </c>
      <c r="J18" s="17" t="s">
        <v>101</v>
      </c>
      <c r="K18" s="15">
        <f>Dataset!B20</f>
        <v>1000</v>
      </c>
      <c r="L18" s="15" t="s">
        <v>2</v>
      </c>
    </row>
    <row r="19" spans="1:12">
      <c r="J19" s="15" t="s">
        <v>102</v>
      </c>
      <c r="K19" s="15">
        <f>Dataset!B21</f>
        <v>7.7083333333333337E-2</v>
      </c>
      <c r="L19" s="15" t="s">
        <v>25</v>
      </c>
    </row>
    <row r="20" spans="1:12">
      <c r="A20" s="3" t="s">
        <v>116</v>
      </c>
      <c r="J20" s="15" t="s">
        <v>1</v>
      </c>
      <c r="K20" s="15">
        <v>0</v>
      </c>
      <c r="L20" s="15" t="s">
        <v>46</v>
      </c>
    </row>
    <row r="21" spans="1:12">
      <c r="A21">
        <f>K30</f>
        <v>0</v>
      </c>
      <c r="B21" t="s">
        <v>26</v>
      </c>
      <c r="C21" s="4">
        <v>0</v>
      </c>
      <c r="D21" s="18">
        <f>K29</f>
        <v>8000</v>
      </c>
      <c r="E21" t="s">
        <v>4</v>
      </c>
      <c r="J21" s="15" t="s">
        <v>23</v>
      </c>
      <c r="K21" s="15">
        <v>0</v>
      </c>
      <c r="L21" s="15" t="s">
        <v>44</v>
      </c>
    </row>
    <row r="22" spans="1:12">
      <c r="A22">
        <f>A21</f>
        <v>0</v>
      </c>
      <c r="B22" t="s">
        <v>27</v>
      </c>
      <c r="C22" s="4">
        <v>0</v>
      </c>
      <c r="D22" s="18">
        <f>D21</f>
        <v>8000</v>
      </c>
      <c r="E22" t="s">
        <v>4</v>
      </c>
      <c r="J22" s="15" t="s">
        <v>24</v>
      </c>
      <c r="K22" s="15">
        <v>0</v>
      </c>
      <c r="L22" s="15" t="s">
        <v>45</v>
      </c>
    </row>
    <row r="23" spans="1:12">
      <c r="A23">
        <f>K34</f>
        <v>0</v>
      </c>
      <c r="B23" t="s">
        <v>0</v>
      </c>
      <c r="C23" s="4">
        <v>12372.157123210285</v>
      </c>
      <c r="D23" s="18">
        <f>K33</f>
        <v>12972.972972972972</v>
      </c>
      <c r="E23" t="s">
        <v>4</v>
      </c>
      <c r="J23" s="15" t="s">
        <v>5</v>
      </c>
      <c r="K23" s="15">
        <f>Dataset!B25</f>
        <v>50000</v>
      </c>
      <c r="L23" s="15" t="s">
        <v>6</v>
      </c>
    </row>
    <row r="24" spans="1:12">
      <c r="A24">
        <f>A23</f>
        <v>0</v>
      </c>
      <c r="B24" t="s">
        <v>29</v>
      </c>
      <c r="C24" s="4">
        <v>12372.15712306426</v>
      </c>
      <c r="D24" s="18">
        <f>D23</f>
        <v>12972.972972972972</v>
      </c>
      <c r="E24" t="s">
        <v>4</v>
      </c>
      <c r="J24" s="15" t="s">
        <v>103</v>
      </c>
      <c r="K24" s="15">
        <f>Dataset!G9</f>
        <v>40</v>
      </c>
      <c r="L24" s="15" t="s">
        <v>7</v>
      </c>
    </row>
    <row r="25" spans="1:12">
      <c r="A25">
        <f>K32</f>
        <v>0</v>
      </c>
      <c r="B25" t="s">
        <v>11</v>
      </c>
      <c r="C25" s="4">
        <v>13459.030064847519</v>
      </c>
      <c r="D25" s="18">
        <f>K31</f>
        <v>15000</v>
      </c>
      <c r="E25" t="s">
        <v>4</v>
      </c>
      <c r="J25" s="15" t="s">
        <v>104</v>
      </c>
      <c r="K25" s="15">
        <f>Dataset!G10</f>
        <v>30</v>
      </c>
      <c r="L25" s="15" t="s">
        <v>7</v>
      </c>
    </row>
    <row r="26" spans="1:12">
      <c r="A26">
        <f>A25</f>
        <v>0</v>
      </c>
      <c r="B26" t="s">
        <v>12</v>
      </c>
      <c r="C26" s="4">
        <v>13459.030064770663</v>
      </c>
      <c r="D26" s="18">
        <f>D25</f>
        <v>15000</v>
      </c>
      <c r="E26" t="s">
        <v>4</v>
      </c>
      <c r="J26" s="15" t="s">
        <v>28</v>
      </c>
      <c r="K26" s="15">
        <f>Dataset!B28</f>
        <v>6.0000000000000002E-6</v>
      </c>
      <c r="L26" s="15"/>
    </row>
    <row r="27" spans="1:12">
      <c r="A27">
        <f>K36</f>
        <v>50000</v>
      </c>
      <c r="B27" t="s">
        <v>8</v>
      </c>
      <c r="C27" s="4">
        <v>99960</v>
      </c>
      <c r="D27" s="18">
        <f>K35</f>
        <v>135000</v>
      </c>
      <c r="E27" t="s">
        <v>6</v>
      </c>
      <c r="J27" s="15" t="s">
        <v>34</v>
      </c>
      <c r="K27" s="15">
        <f>Dataset!B29</f>
        <v>12000</v>
      </c>
      <c r="L27" s="15" t="s">
        <v>4</v>
      </c>
    </row>
    <row r="28" spans="1:12">
      <c r="A28">
        <f>A27</f>
        <v>50000</v>
      </c>
      <c r="B28" t="s">
        <v>9</v>
      </c>
      <c r="C28" s="4">
        <v>135000</v>
      </c>
      <c r="D28" s="18">
        <f>D27</f>
        <v>135000</v>
      </c>
      <c r="E28" t="s">
        <v>6</v>
      </c>
      <c r="J28" s="15" t="s">
        <v>35</v>
      </c>
      <c r="K28" s="15">
        <f>Dataset!B30</f>
        <v>75</v>
      </c>
      <c r="L28" s="15" t="s">
        <v>2</v>
      </c>
    </row>
    <row r="29" spans="1:12">
      <c r="A29">
        <f>K37</f>
        <v>0</v>
      </c>
      <c r="B29" t="s">
        <v>17</v>
      </c>
      <c r="C29" s="4">
        <v>6.5936073059360716</v>
      </c>
      <c r="D29" s="18">
        <f>K38</f>
        <v>30</v>
      </c>
      <c r="E29" t="s">
        <v>7</v>
      </c>
      <c r="J29" s="15" t="s">
        <v>105</v>
      </c>
      <c r="K29" s="15">
        <f>Dataset!B31</f>
        <v>8000</v>
      </c>
      <c r="L29" s="15" t="s">
        <v>4</v>
      </c>
    </row>
    <row r="30" spans="1:12">
      <c r="A30">
        <f>A29</f>
        <v>0</v>
      </c>
      <c r="B30" t="s">
        <v>18</v>
      </c>
      <c r="C30" s="4">
        <v>0</v>
      </c>
      <c r="D30" s="18">
        <f>D29</f>
        <v>30</v>
      </c>
      <c r="E30" t="s">
        <v>7</v>
      </c>
      <c r="J30" s="15" t="s">
        <v>106</v>
      </c>
      <c r="K30" s="15">
        <f>Dataset!B32</f>
        <v>0</v>
      </c>
      <c r="L30" s="15" t="s">
        <v>4</v>
      </c>
    </row>
    <row r="31" spans="1:12">
      <c r="J31" s="15" t="s">
        <v>107</v>
      </c>
      <c r="K31" s="15">
        <f>Dataset!B33</f>
        <v>15000</v>
      </c>
      <c r="L31" s="15" t="s">
        <v>4</v>
      </c>
    </row>
    <row r="32" spans="1:12">
      <c r="D32" s="19" t="s">
        <v>117</v>
      </c>
      <c r="E32" s="19" t="s">
        <v>118</v>
      </c>
      <c r="J32" s="15" t="s">
        <v>108</v>
      </c>
      <c r="K32" s="15">
        <f>Dataset!B34</f>
        <v>0</v>
      </c>
      <c r="L32" s="15" t="s">
        <v>4</v>
      </c>
    </row>
    <row r="33" spans="3:12">
      <c r="C33" t="s">
        <v>30</v>
      </c>
      <c r="D33" s="15">
        <f>K18-K19*C23</f>
        <v>46.312888419207184</v>
      </c>
      <c r="E33" s="15">
        <f>D33*(1-2*$K$26*C25)</f>
        <v>38.832969727718726</v>
      </c>
      <c r="J33" s="15" t="s">
        <v>109</v>
      </c>
      <c r="K33" s="15">
        <f>Dataset!B35</f>
        <v>12972.972972972972</v>
      </c>
      <c r="L33" s="15" t="s">
        <v>4</v>
      </c>
    </row>
    <row r="34" spans="3:12">
      <c r="C34" t="s">
        <v>31</v>
      </c>
      <c r="D34" s="15">
        <f>K18-K19*C24</f>
        <v>46.312888430463204</v>
      </c>
      <c r="E34" s="15">
        <f>D34*(1-2*$K$26*C26)</f>
        <v>38.832969737199519</v>
      </c>
      <c r="J34" s="15" t="s">
        <v>110</v>
      </c>
      <c r="K34" s="15">
        <f>Dataset!B36</f>
        <v>0</v>
      </c>
      <c r="L34" s="15" t="s">
        <v>4</v>
      </c>
    </row>
    <row r="35" spans="3:12">
      <c r="J35" s="15" t="s">
        <v>111</v>
      </c>
      <c r="K35" s="15">
        <f>Dataset!B37</f>
        <v>135000</v>
      </c>
      <c r="L35" s="15" t="s">
        <v>6</v>
      </c>
    </row>
    <row r="36" spans="3:12">
      <c r="J36" s="15" t="s">
        <v>112</v>
      </c>
      <c r="K36" s="15">
        <f>Dataset!B38</f>
        <v>50000</v>
      </c>
      <c r="L36" s="15" t="s">
        <v>113</v>
      </c>
    </row>
    <row r="37" spans="3:12">
      <c r="J37" s="15" t="s">
        <v>114</v>
      </c>
      <c r="K37" s="15">
        <f>Dataset!B39</f>
        <v>0</v>
      </c>
      <c r="L37" s="15" t="s">
        <v>7</v>
      </c>
    </row>
    <row r="38" spans="3:12">
      <c r="J38" s="15" t="s">
        <v>115</v>
      </c>
      <c r="K38" s="15">
        <f>Dataset!B40</f>
        <v>30</v>
      </c>
      <c r="L38" s="15" t="s">
        <v>7</v>
      </c>
    </row>
    <row r="1048574" spans="3:3">
      <c r="C1048574" t="s">
        <v>6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48574"/>
  <sheetViews>
    <sheetView topLeftCell="A4" zoomScale="120" zoomScaleNormal="120" zoomScalePageLayoutView="90" workbookViewId="0">
      <selection activeCell="E15" sqref="E15"/>
    </sheetView>
  </sheetViews>
  <sheetFormatPr defaultColWidth="11.42578125" defaultRowHeight="15"/>
  <cols>
    <col min="3" max="3" width="15.140625" customWidth="1"/>
    <col min="4" max="4" width="11.7109375" customWidth="1"/>
    <col min="6" max="6" width="14.85546875" customWidth="1"/>
    <col min="7" max="7" width="8.28515625" customWidth="1"/>
    <col min="8" max="8" width="9.42578125" customWidth="1"/>
    <col min="9" max="9" width="12.140625" bestFit="1" customWidth="1"/>
    <col min="14" max="16" width="10.85546875" style="21"/>
  </cols>
  <sheetData>
    <row r="1" spans="1:12" s="11" customFormat="1"/>
    <row r="2" spans="1:12" s="11" customFormat="1" ht="18.75">
      <c r="G2" s="12" t="s">
        <v>91</v>
      </c>
    </row>
    <row r="3" spans="1:12" s="11" customFormat="1" ht="18.75">
      <c r="G3" s="13" t="s">
        <v>92</v>
      </c>
    </row>
    <row r="4" spans="1:12" s="11" customFormat="1"/>
    <row r="5" spans="1:12" s="14" customFormat="1" ht="5.0999999999999996" customHeight="1"/>
    <row r="7" spans="1:12" ht="16.5">
      <c r="A7" s="5" t="s">
        <v>38</v>
      </c>
      <c r="D7">
        <f>K16*(K12*C21+K14*C21^2)+K17*(K13*C22+K15*C22^2)</f>
        <v>7054218051.7750854</v>
      </c>
      <c r="F7" t="s">
        <v>13</v>
      </c>
      <c r="G7">
        <f>C23+K26*C25^2-(C21+C25)</f>
        <v>-8.985807653516531E-9</v>
      </c>
      <c r="J7" s="15" t="s">
        <v>93</v>
      </c>
      <c r="K7" s="15"/>
      <c r="L7" s="15"/>
    </row>
    <row r="8" spans="1:12" ht="16.5">
      <c r="A8" s="5" t="s">
        <v>39</v>
      </c>
      <c r="D8">
        <f>K16*(K18*C23-0.5*K19*C23^2)+K17*(K18*C24-0.5*K19*C24^2)</f>
        <v>52116078590.671455</v>
      </c>
      <c r="F8" t="s">
        <v>14</v>
      </c>
      <c r="G8">
        <f>C24+K26*C26^2-(C22+C26)</f>
        <v>-8.5456122178584337E-9</v>
      </c>
      <c r="J8" s="15" t="s">
        <v>19</v>
      </c>
      <c r="K8" s="16">
        <f>Dataset!B9</f>
        <v>0</v>
      </c>
      <c r="L8" s="15" t="s">
        <v>6</v>
      </c>
    </row>
    <row r="9" spans="1:12" ht="16.5">
      <c r="A9" s="5" t="s">
        <v>40</v>
      </c>
      <c r="D9">
        <f>(K20-K21*C28-K22*C28^2)*(K16+K17)/24</f>
        <v>0</v>
      </c>
      <c r="F9" s="2" t="s">
        <v>15</v>
      </c>
      <c r="G9">
        <f>C27-$K$23-($K$24-C29-$K$8-$K$9*C25-$K$10*C25^2)*K16</f>
        <v>-6.5643689595162868E-8</v>
      </c>
      <c r="J9" s="15" t="s">
        <v>20</v>
      </c>
      <c r="K9" s="16">
        <f>Dataset!B10</f>
        <v>1.5E-3</v>
      </c>
      <c r="L9" s="15" t="s">
        <v>10</v>
      </c>
    </row>
    <row r="10" spans="1:12" ht="16.5">
      <c r="A10" s="5" t="s">
        <v>41</v>
      </c>
      <c r="D10" s="22">
        <f>D7-D8+D9</f>
        <v>-45061860538.89637</v>
      </c>
      <c r="F10" s="2" t="s">
        <v>16</v>
      </c>
      <c r="G10">
        <f>C28-C27-($K$25-C30--$K$8-$K$9*C26-$K$10*C26^2)*$K$17</f>
        <v>-6.258778739720583E-8</v>
      </c>
      <c r="J10" s="15" t="s">
        <v>21</v>
      </c>
      <c r="K10" s="16">
        <f>Dataset!B11</f>
        <v>1E-8</v>
      </c>
      <c r="L10" s="15" t="s">
        <v>22</v>
      </c>
    </row>
    <row r="11" spans="1:12">
      <c r="C11" t="s">
        <v>119</v>
      </c>
      <c r="D11" s="1">
        <f>K12+2*K14*C21</f>
        <v>280.86237769041264</v>
      </c>
      <c r="E11" s="11" t="s">
        <v>2</v>
      </c>
      <c r="J11" s="15" t="s">
        <v>94</v>
      </c>
      <c r="K11" s="15">
        <f>Dataset!B13</f>
        <v>1000</v>
      </c>
      <c r="L11" s="15" t="s">
        <v>43</v>
      </c>
    </row>
    <row r="12" spans="1:12">
      <c r="C12" s="20" t="s">
        <v>120</v>
      </c>
      <c r="D12" s="1">
        <f>K13+2*K15*C22</f>
        <v>294.51780114446387</v>
      </c>
      <c r="E12" s="11" t="s">
        <v>2</v>
      </c>
      <c r="J12" s="15" t="s">
        <v>95</v>
      </c>
      <c r="K12" s="15">
        <f>Dataset!B14</f>
        <v>60</v>
      </c>
      <c r="L12" s="15" t="s">
        <v>2</v>
      </c>
    </row>
    <row r="13" spans="1:12">
      <c r="C13" s="20" t="s">
        <v>32</v>
      </c>
      <c r="D13" s="1">
        <f>$K$8+$K$9*C25+$K$10*C25^2</f>
        <v>6.0004494733192413</v>
      </c>
      <c r="E13" s="11" t="s">
        <v>7</v>
      </c>
      <c r="J13" s="15" t="s">
        <v>96</v>
      </c>
      <c r="K13" s="15">
        <f>Dataset!B15</f>
        <v>80</v>
      </c>
      <c r="L13" s="15" t="s">
        <v>2</v>
      </c>
    </row>
    <row r="14" spans="1:12">
      <c r="C14" s="20" t="s">
        <v>33</v>
      </c>
      <c r="D14" s="1">
        <f>$K$8+$K$9*C26+$K$10*C26^2</f>
        <v>8.9995505266514826</v>
      </c>
      <c r="E14" s="11" t="s">
        <v>7</v>
      </c>
      <c r="J14" s="15" t="s">
        <v>97</v>
      </c>
      <c r="K14" s="15">
        <f>Dataset!B16</f>
        <v>0.02</v>
      </c>
      <c r="L14" s="15" t="s">
        <v>25</v>
      </c>
    </row>
    <row r="15" spans="1:12">
      <c r="C15" s="20" t="s">
        <v>87</v>
      </c>
      <c r="D15" s="1">
        <f>C21+C25-C23</f>
        <v>91.211055267403935</v>
      </c>
      <c r="E15" s="11" t="s">
        <v>4</v>
      </c>
      <c r="J15" s="15" t="s">
        <v>98</v>
      </c>
      <c r="K15" s="15">
        <f>Dataset!B17</f>
        <v>0.03</v>
      </c>
      <c r="L15" s="15" t="s">
        <v>25</v>
      </c>
    </row>
    <row r="16" spans="1:12">
      <c r="C16" s="20" t="s">
        <v>88</v>
      </c>
      <c r="D16" s="1">
        <f>C22+C26-C24</f>
        <v>200.25581543120643</v>
      </c>
      <c r="E16" s="11" t="s">
        <v>4</v>
      </c>
      <c r="J16" s="15" t="s">
        <v>99</v>
      </c>
      <c r="K16" s="15">
        <f>Dataset!B18</f>
        <v>4380</v>
      </c>
      <c r="L16" s="15" t="s">
        <v>3</v>
      </c>
    </row>
    <row r="17" spans="1:12">
      <c r="C17" s="20" t="s">
        <v>122</v>
      </c>
      <c r="D17" s="1">
        <f>100*D15/(C21+C23)</f>
        <v>0.6141802147243407</v>
      </c>
      <c r="E17" s="11" t="s">
        <v>121</v>
      </c>
      <c r="J17" s="15" t="s">
        <v>100</v>
      </c>
      <c r="K17" s="15">
        <f>Dataset!B19</f>
        <v>4380</v>
      </c>
      <c r="L17" s="15" t="s">
        <v>3</v>
      </c>
    </row>
    <row r="18" spans="1:12">
      <c r="C18" s="20" t="s">
        <v>123</v>
      </c>
      <c r="D18" s="1">
        <f>100*D16/(C22+C24)</f>
        <v>1.5734065658183058</v>
      </c>
      <c r="E18" s="11" t="s">
        <v>121</v>
      </c>
      <c r="J18" s="17" t="s">
        <v>101</v>
      </c>
      <c r="K18" s="15">
        <f>Dataset!B20</f>
        <v>1000</v>
      </c>
      <c r="L18" s="15" t="s">
        <v>2</v>
      </c>
    </row>
    <row r="19" spans="1:12">
      <c r="J19" s="15" t="s">
        <v>102</v>
      </c>
      <c r="K19" s="15">
        <f>Dataset!B21</f>
        <v>7.7083333333333337E-2</v>
      </c>
      <c r="L19" s="15" t="s">
        <v>25</v>
      </c>
    </row>
    <row r="20" spans="1:12">
      <c r="A20" s="3" t="s">
        <v>116</v>
      </c>
      <c r="J20" s="15" t="s">
        <v>1</v>
      </c>
      <c r="K20" s="15">
        <v>0</v>
      </c>
      <c r="L20" s="15" t="s">
        <v>46</v>
      </c>
    </row>
    <row r="21" spans="1:12">
      <c r="A21">
        <f>K30</f>
        <v>0</v>
      </c>
      <c r="B21" t="s">
        <v>26</v>
      </c>
      <c r="C21" s="4">
        <v>5521.5594422603162</v>
      </c>
      <c r="D21" s="18">
        <f>K29</f>
        <v>8000</v>
      </c>
      <c r="E21" t="s">
        <v>4</v>
      </c>
      <c r="J21" s="15" t="s">
        <v>23</v>
      </c>
      <c r="K21" s="15">
        <v>0</v>
      </c>
      <c r="L21" s="15" t="s">
        <v>44</v>
      </c>
    </row>
    <row r="22" spans="1:12">
      <c r="A22">
        <f>A21</f>
        <v>0</v>
      </c>
      <c r="B22" t="s">
        <v>27</v>
      </c>
      <c r="C22" s="4">
        <v>3575.2966857410643</v>
      </c>
      <c r="D22" s="18">
        <f>D21</f>
        <v>8000</v>
      </c>
      <c r="E22" t="s">
        <v>4</v>
      </c>
      <c r="J22" s="15" t="s">
        <v>24</v>
      </c>
      <c r="K22" s="15">
        <v>0</v>
      </c>
      <c r="L22" s="15" t="s">
        <v>45</v>
      </c>
    </row>
    <row r="23" spans="1:12">
      <c r="A23">
        <f>K34</f>
        <v>0</v>
      </c>
      <c r="B23" t="s">
        <v>0</v>
      </c>
      <c r="C23" s="4">
        <v>9329.302418918609</v>
      </c>
      <c r="D23" s="18">
        <f>K33</f>
        <v>12972.972972972972</v>
      </c>
      <c r="E23" t="s">
        <v>4</v>
      </c>
      <c r="J23" s="15" t="s">
        <v>5</v>
      </c>
      <c r="K23" s="15">
        <f>Dataset!B25</f>
        <v>50000</v>
      </c>
      <c r="L23" s="15" t="s">
        <v>6</v>
      </c>
    </row>
    <row r="24" spans="1:12">
      <c r="A24">
        <f>A23</f>
        <v>0</v>
      </c>
      <c r="B24" t="s">
        <v>29</v>
      </c>
      <c r="C24" s="4">
        <v>9152.2347598301112</v>
      </c>
      <c r="D24" s="18">
        <f>D23</f>
        <v>12972.972972972972</v>
      </c>
      <c r="E24" t="s">
        <v>4</v>
      </c>
      <c r="J24" s="15" t="s">
        <v>103</v>
      </c>
      <c r="K24" s="15">
        <f>Dataset!H9</f>
        <v>10</v>
      </c>
      <c r="L24" s="15" t="s">
        <v>7</v>
      </c>
    </row>
    <row r="25" spans="1:12">
      <c r="A25">
        <f>K32</f>
        <v>0</v>
      </c>
      <c r="B25" t="s">
        <v>11</v>
      </c>
      <c r="C25" s="4">
        <v>3898.9540319256962</v>
      </c>
      <c r="D25" s="18">
        <f>K31</f>
        <v>15000</v>
      </c>
      <c r="E25" t="s">
        <v>4</v>
      </c>
      <c r="J25" s="15" t="s">
        <v>104</v>
      </c>
      <c r="K25" s="15">
        <f>Dataset!H10</f>
        <v>5</v>
      </c>
      <c r="L25" s="15" t="s">
        <v>7</v>
      </c>
    </row>
    <row r="26" spans="1:12">
      <c r="A26">
        <f>A25</f>
        <v>0</v>
      </c>
      <c r="B26" t="s">
        <v>12</v>
      </c>
      <c r="C26" s="4">
        <v>5777.1938895202538</v>
      </c>
      <c r="D26" s="18">
        <f>D25</f>
        <v>15000</v>
      </c>
      <c r="E26" t="s">
        <v>4</v>
      </c>
      <c r="J26" s="15" t="s">
        <v>28</v>
      </c>
      <c r="K26" s="15">
        <f>Dataset!B28</f>
        <v>6.0000000000000002E-6</v>
      </c>
      <c r="L26" s="15"/>
    </row>
    <row r="27" spans="1:12">
      <c r="A27">
        <f>K36</f>
        <v>50000</v>
      </c>
      <c r="B27" t="s">
        <v>8</v>
      </c>
      <c r="C27" s="4">
        <v>67518.031306796081</v>
      </c>
      <c r="D27" s="18">
        <f>K35</f>
        <v>135000</v>
      </c>
      <c r="E27" t="s">
        <v>6</v>
      </c>
      <c r="J27" s="15" t="s">
        <v>34</v>
      </c>
      <c r="K27" s="15">
        <f>Dataset!B29</f>
        <v>12000</v>
      </c>
      <c r="L27" s="15" t="s">
        <v>4</v>
      </c>
    </row>
    <row r="28" spans="1:12">
      <c r="A28">
        <f>A27</f>
        <v>50000</v>
      </c>
      <c r="B28" t="s">
        <v>9</v>
      </c>
      <c r="C28" s="4">
        <v>50000</v>
      </c>
      <c r="D28" s="18">
        <f>D27</f>
        <v>135000</v>
      </c>
      <c r="E28" t="s">
        <v>6</v>
      </c>
      <c r="J28" s="15" t="s">
        <v>35</v>
      </c>
      <c r="K28" s="15">
        <f>Dataset!B30</f>
        <v>75</v>
      </c>
      <c r="L28" s="15" t="s">
        <v>2</v>
      </c>
    </row>
    <row r="29" spans="1:12">
      <c r="A29">
        <f>K37</f>
        <v>0</v>
      </c>
      <c r="B29" t="s">
        <v>17</v>
      </c>
      <c r="C29" s="4">
        <v>0</v>
      </c>
      <c r="D29" s="18">
        <f>K38</f>
        <v>30</v>
      </c>
      <c r="E29" t="s">
        <v>7</v>
      </c>
      <c r="J29" s="15" t="s">
        <v>105</v>
      </c>
      <c r="K29" s="15">
        <f>Dataset!B31</f>
        <v>8000</v>
      </c>
      <c r="L29" s="15" t="s">
        <v>4</v>
      </c>
    </row>
    <row r="30" spans="1:12">
      <c r="A30">
        <f>A29</f>
        <v>0</v>
      </c>
      <c r="B30" t="s">
        <v>18</v>
      </c>
      <c r="C30" s="4">
        <v>0</v>
      </c>
      <c r="D30" s="18">
        <f>D29</f>
        <v>30</v>
      </c>
      <c r="E30" t="s">
        <v>7</v>
      </c>
      <c r="J30" s="15" t="s">
        <v>106</v>
      </c>
      <c r="K30" s="15">
        <f>Dataset!B32</f>
        <v>0</v>
      </c>
      <c r="L30" s="15" t="s">
        <v>4</v>
      </c>
    </row>
    <row r="31" spans="1:12">
      <c r="J31" s="15" t="s">
        <v>107</v>
      </c>
      <c r="K31" s="15">
        <f>Dataset!B33</f>
        <v>15000</v>
      </c>
      <c r="L31" s="15" t="s">
        <v>4</v>
      </c>
    </row>
    <row r="32" spans="1:12">
      <c r="D32" s="19" t="s">
        <v>117</v>
      </c>
      <c r="E32" s="19" t="s">
        <v>118</v>
      </c>
      <c r="J32" s="15" t="s">
        <v>108</v>
      </c>
      <c r="K32" s="15">
        <f>Dataset!B34</f>
        <v>0</v>
      </c>
      <c r="L32" s="15" t="s">
        <v>4</v>
      </c>
    </row>
    <row r="33" spans="3:12">
      <c r="C33" t="s">
        <v>30</v>
      </c>
      <c r="D33" s="15">
        <f>K18-K19*C23</f>
        <v>280.86627187502381</v>
      </c>
      <c r="E33" s="15">
        <f>D33*(1-2*$K$26*C25)</f>
        <v>267.72525567711506</v>
      </c>
      <c r="J33" s="15" t="s">
        <v>109</v>
      </c>
      <c r="K33" s="15">
        <f>Dataset!B35</f>
        <v>12972.972972972972</v>
      </c>
      <c r="L33" s="15" t="s">
        <v>4</v>
      </c>
    </row>
    <row r="34" spans="3:12">
      <c r="C34" t="s">
        <v>31</v>
      </c>
      <c r="D34" s="15">
        <f>K18-K19*C24</f>
        <v>294.51523726309551</v>
      </c>
      <c r="E34" s="15">
        <f>D34*(1-2*$K$26*C26)</f>
        <v>274.09757771405197</v>
      </c>
      <c r="J34" s="15" t="s">
        <v>110</v>
      </c>
      <c r="K34" s="15">
        <f>Dataset!B36</f>
        <v>0</v>
      </c>
      <c r="L34" s="15" t="s">
        <v>4</v>
      </c>
    </row>
    <row r="35" spans="3:12">
      <c r="J35" s="15" t="s">
        <v>111</v>
      </c>
      <c r="K35" s="15">
        <f>Dataset!B37</f>
        <v>135000</v>
      </c>
      <c r="L35" s="15" t="s">
        <v>6</v>
      </c>
    </row>
    <row r="36" spans="3:12">
      <c r="J36" s="15" t="s">
        <v>112</v>
      </c>
      <c r="K36" s="15">
        <f>Dataset!B38</f>
        <v>50000</v>
      </c>
      <c r="L36" s="15" t="s">
        <v>113</v>
      </c>
    </row>
    <row r="37" spans="3:12">
      <c r="J37" s="15" t="s">
        <v>114</v>
      </c>
      <c r="K37" s="15">
        <f>Dataset!B39</f>
        <v>0</v>
      </c>
      <c r="L37" s="15" t="s">
        <v>7</v>
      </c>
    </row>
    <row r="38" spans="3:12">
      <c r="J38" s="15" t="s">
        <v>115</v>
      </c>
      <c r="K38" s="15">
        <f>Dataset!B40</f>
        <v>30</v>
      </c>
      <c r="L38" s="15" t="s">
        <v>7</v>
      </c>
    </row>
    <row r="1048574" spans="3:3">
      <c r="C1048574" t="s">
        <v>6</v>
      </c>
    </row>
  </sheetData>
  <phoneticPr fontId="10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71"/>
  <sheetViews>
    <sheetView topLeftCell="A42" zoomScale="110" zoomScaleNormal="110" workbookViewId="0">
      <selection activeCell="B51" sqref="B51"/>
    </sheetView>
  </sheetViews>
  <sheetFormatPr defaultColWidth="10.85546875" defaultRowHeight="15"/>
  <cols>
    <col min="1" max="1" width="31.7109375" style="29" customWidth="1"/>
    <col min="2" max="3" width="19" style="30" customWidth="1"/>
    <col min="4" max="16384" width="10.85546875" style="29"/>
  </cols>
  <sheetData>
    <row r="1" spans="1:3" s="11" customFormat="1"/>
    <row r="2" spans="1:3" s="11" customFormat="1"/>
    <row r="3" spans="1:3" s="11" customFormat="1"/>
    <row r="4" spans="1:3" s="11" customFormat="1"/>
    <row r="5" spans="1:3" s="14" customFormat="1" ht="5.0999999999999996" customHeight="1"/>
    <row r="6" spans="1:3">
      <c r="B6" s="31"/>
      <c r="C6" s="31"/>
    </row>
    <row r="7" spans="1:3" ht="16.5">
      <c r="A7" s="5"/>
      <c r="B7" s="31" t="s">
        <v>129</v>
      </c>
      <c r="C7" s="31" t="s">
        <v>130</v>
      </c>
    </row>
    <row r="8" spans="1:3" ht="16.5">
      <c r="A8" s="5"/>
      <c r="B8" s="31" t="s">
        <v>128</v>
      </c>
      <c r="C8" s="31" t="s">
        <v>128</v>
      </c>
    </row>
    <row r="9" spans="1:3" ht="16.5">
      <c r="A9" s="5" t="s">
        <v>38</v>
      </c>
      <c r="B9" s="33">
        <f>'R3'!B3</f>
        <v>8760000</v>
      </c>
      <c r="C9" s="33">
        <f>'R4'!B3</f>
        <v>8760000</v>
      </c>
    </row>
    <row r="10" spans="1:3" ht="16.5">
      <c r="A10" s="5" t="s">
        <v>42</v>
      </c>
      <c r="B10" s="34">
        <f>'R3'!B4</f>
        <v>0</v>
      </c>
      <c r="C10" s="34">
        <f>'R4'!B4</f>
        <v>7054218051.7750854</v>
      </c>
    </row>
    <row r="11" spans="1:3" ht="16.5">
      <c r="A11" s="5" t="s">
        <v>39</v>
      </c>
      <c r="B11" s="34">
        <f>'R3'!B5</f>
        <v>56699745855.333786</v>
      </c>
      <c r="C11" s="34">
        <f>'R4'!B5</f>
        <v>52116078590.671455</v>
      </c>
    </row>
    <row r="12" spans="1:3" ht="16.5">
      <c r="A12" s="5" t="s">
        <v>40</v>
      </c>
      <c r="B12" s="35">
        <f>'R3'!B6</f>
        <v>0</v>
      </c>
      <c r="C12" s="35">
        <f>'R4'!B6</f>
        <v>0</v>
      </c>
    </row>
    <row r="13" spans="1:3" ht="16.5">
      <c r="A13" s="5" t="s">
        <v>41</v>
      </c>
      <c r="B13" s="32">
        <f>'R3'!B7</f>
        <v>-56699745855.333786</v>
      </c>
      <c r="C13" s="32">
        <f>'R4'!B7</f>
        <v>-45061860538.89637</v>
      </c>
    </row>
    <row r="14" spans="1:3" ht="16.5">
      <c r="A14" s="5"/>
      <c r="B14" s="36"/>
      <c r="C14" s="36"/>
    </row>
    <row r="15" spans="1:3" ht="16.5">
      <c r="A15" s="5" t="s">
        <v>76</v>
      </c>
      <c r="B15" s="36"/>
      <c r="C15" s="36"/>
    </row>
    <row r="16" spans="1:3" ht="16.5">
      <c r="A16" s="5" t="s">
        <v>79</v>
      </c>
      <c r="B16" s="37">
        <f>'R3'!B10</f>
        <v>0</v>
      </c>
      <c r="C16" s="37">
        <f>'R4'!B10</f>
        <v>5521.5594422603162</v>
      </c>
    </row>
    <row r="17" spans="1:3" ht="16.5">
      <c r="A17" s="5" t="s">
        <v>80</v>
      </c>
      <c r="B17" s="38">
        <f>'R3'!B11</f>
        <v>13459.030064847519</v>
      </c>
      <c r="C17" s="38">
        <f>'R4'!B11</f>
        <v>3898.9540319256962</v>
      </c>
    </row>
    <row r="18" spans="1:3" ht="16.5">
      <c r="A18" s="5" t="s">
        <v>81</v>
      </c>
      <c r="B18" s="38">
        <f>'R3'!B12</f>
        <v>12372.157123210285</v>
      </c>
      <c r="C18" s="38">
        <f>'R4'!B12</f>
        <v>9329.302418918609</v>
      </c>
    </row>
    <row r="19" spans="1:3" ht="16.5">
      <c r="A19" s="5" t="s">
        <v>78</v>
      </c>
      <c r="B19" s="38">
        <f>'R3'!B13</f>
        <v>1086.8729416372335</v>
      </c>
      <c r="C19" s="38">
        <f>'R4'!B13</f>
        <v>91.211055267403935</v>
      </c>
    </row>
    <row r="20" spans="1:3" ht="16.5">
      <c r="A20" s="5" t="s">
        <v>77</v>
      </c>
      <c r="B20" s="39">
        <f>'R3'!B14</f>
        <v>8.7848297658477801</v>
      </c>
      <c r="C20" s="39">
        <f>'R4'!B14</f>
        <v>0.6141802147243407</v>
      </c>
    </row>
    <row r="21" spans="1:3" ht="16.5">
      <c r="A21" s="5"/>
      <c r="B21" s="36"/>
      <c r="C21" s="36"/>
    </row>
    <row r="22" spans="1:3" ht="16.5">
      <c r="A22" s="5" t="s">
        <v>82</v>
      </c>
      <c r="B22" s="36"/>
      <c r="C22" s="36"/>
    </row>
    <row r="23" spans="1:3" ht="16.5">
      <c r="A23" s="5" t="s">
        <v>83</v>
      </c>
      <c r="B23" s="37">
        <f>'R3'!B17</f>
        <v>0</v>
      </c>
      <c r="C23" s="37">
        <f>'R4'!B17</f>
        <v>3575.2966857410643</v>
      </c>
    </row>
    <row r="24" spans="1:3" ht="16.5">
      <c r="A24" s="5" t="s">
        <v>84</v>
      </c>
      <c r="B24" s="38">
        <f>'R3'!B18</f>
        <v>13459.030064770663</v>
      </c>
      <c r="C24" s="38">
        <f>'R4'!B18</f>
        <v>5777.1938895202538</v>
      </c>
    </row>
    <row r="25" spans="1:3" ht="16.5">
      <c r="A25" s="5" t="s">
        <v>85</v>
      </c>
      <c r="B25" s="38">
        <f>'R3'!B19</f>
        <v>12372.15712306426</v>
      </c>
      <c r="C25" s="38">
        <f>'R4'!B19</f>
        <v>9152.2347598301112</v>
      </c>
    </row>
    <row r="26" spans="1:3" ht="16.5">
      <c r="A26" s="5" t="s">
        <v>86</v>
      </c>
      <c r="B26" s="38">
        <f>'R3'!B20</f>
        <v>1086.8729417064023</v>
      </c>
      <c r="C26" s="38">
        <f>'R4'!B20</f>
        <v>200.25581543120643</v>
      </c>
    </row>
    <row r="27" spans="1:3" ht="16.5">
      <c r="A27" s="5" t="s">
        <v>77</v>
      </c>
      <c r="B27" s="39">
        <f>'R3'!B21</f>
        <v>8.7848297665105335</v>
      </c>
      <c r="C27" s="39">
        <f>'R4'!B21</f>
        <v>1.5734065658183058</v>
      </c>
    </row>
    <row r="28" spans="1:3" ht="16.5">
      <c r="A28" s="5"/>
      <c r="B28" s="36"/>
      <c r="C28" s="36"/>
    </row>
    <row r="29" spans="1:3" ht="16.5">
      <c r="A29" s="5" t="s">
        <v>65</v>
      </c>
      <c r="B29" s="36"/>
      <c r="C29" s="36"/>
    </row>
    <row r="30" spans="1:3" ht="16.5">
      <c r="A30" s="5" t="s">
        <v>69</v>
      </c>
      <c r="B30" s="37">
        <f>'R3'!B24</f>
        <v>40</v>
      </c>
      <c r="C30" s="37">
        <f>'R4'!B24</f>
        <v>10</v>
      </c>
    </row>
    <row r="31" spans="1:3" ht="16.5">
      <c r="A31" s="5" t="s">
        <v>68</v>
      </c>
      <c r="B31" s="38">
        <f>'R3'!B25</f>
        <v>6.5936073059360716</v>
      </c>
      <c r="C31" s="38">
        <f>'R4'!B25</f>
        <v>0</v>
      </c>
    </row>
    <row r="32" spans="1:3" ht="16.5">
      <c r="A32" s="5" t="s">
        <v>67</v>
      </c>
      <c r="B32" s="38">
        <f>'R3'!B26</f>
        <v>22.000000000135969</v>
      </c>
      <c r="C32" s="38">
        <f>'R4'!B26</f>
        <v>6.0004494733192413</v>
      </c>
    </row>
    <row r="33" spans="1:3" ht="16.5">
      <c r="A33" s="5" t="s">
        <v>75</v>
      </c>
      <c r="B33" s="38">
        <f>'R3'!B27</f>
        <v>50000</v>
      </c>
      <c r="C33" s="38">
        <f>'R4'!B27</f>
        <v>50000</v>
      </c>
    </row>
    <row r="34" spans="1:3" ht="16.5">
      <c r="A34" s="5" t="s">
        <v>66</v>
      </c>
      <c r="B34" s="39">
        <f>'R3'!B28</f>
        <v>99960</v>
      </c>
      <c r="C34" s="39">
        <f>'R4'!B28</f>
        <v>67518.031306796081</v>
      </c>
    </row>
    <row r="35" spans="1:3" ht="16.5">
      <c r="A35" s="5"/>
      <c r="B35" s="36"/>
      <c r="C35" s="36"/>
    </row>
    <row r="36" spans="1:3" ht="16.5">
      <c r="A36" s="5" t="s">
        <v>70</v>
      </c>
      <c r="B36" s="36"/>
      <c r="C36" s="36"/>
    </row>
    <row r="37" spans="1:3" ht="16.5">
      <c r="A37" s="5" t="s">
        <v>71</v>
      </c>
      <c r="B37" s="37">
        <f>'R3'!B31</f>
        <v>30</v>
      </c>
      <c r="C37" s="37">
        <f>'R4'!B31</f>
        <v>5</v>
      </c>
    </row>
    <row r="38" spans="1:3" ht="16.5">
      <c r="A38" s="5" t="s">
        <v>72</v>
      </c>
      <c r="B38" s="38">
        <f>'R3'!B32</f>
        <v>0</v>
      </c>
      <c r="C38" s="38">
        <f>'R4'!B32</f>
        <v>0</v>
      </c>
    </row>
    <row r="39" spans="1:3" ht="16.5">
      <c r="A39" s="5" t="s">
        <v>73</v>
      </c>
      <c r="B39" s="38">
        <f>'R3'!B33</f>
        <v>22</v>
      </c>
      <c r="C39" s="38">
        <f>'R4'!B33</f>
        <v>8.9995505266514826</v>
      </c>
    </row>
    <row r="40" spans="1:3" ht="16.5">
      <c r="A40" s="5" t="s">
        <v>74</v>
      </c>
      <c r="B40" s="39">
        <f>'R3'!B34</f>
        <v>135000</v>
      </c>
      <c r="C40" s="39">
        <f>'R4'!B34</f>
        <v>50000</v>
      </c>
    </row>
    <row r="41" spans="1:3" ht="16.5">
      <c r="A41" s="5"/>
      <c r="B41" s="36"/>
      <c r="C41" s="36"/>
    </row>
    <row r="42" spans="1:3" ht="16.5">
      <c r="A42" s="5" t="s">
        <v>47</v>
      </c>
      <c r="B42" s="36"/>
      <c r="C42" s="36"/>
    </row>
    <row r="43" spans="1:3" ht="16.5">
      <c r="A43" s="5" t="s">
        <v>48</v>
      </c>
      <c r="B43" s="37">
        <f>'R3'!B37</f>
        <v>46.312888419207184</v>
      </c>
      <c r="C43" s="37">
        <f>'R4'!B37</f>
        <v>280.86627187502381</v>
      </c>
    </row>
    <row r="44" spans="1:3" ht="16.5">
      <c r="A44" s="5" t="s">
        <v>49</v>
      </c>
      <c r="B44" s="38">
        <f>'R3'!B38</f>
        <v>38.832969727718726</v>
      </c>
      <c r="C44" s="38">
        <f>'R4'!B38</f>
        <v>267.72525567711506</v>
      </c>
    </row>
    <row r="45" spans="1:3" ht="16.5">
      <c r="A45" s="5" t="s">
        <v>89</v>
      </c>
      <c r="B45" s="39" t="e">
        <f>'R3'!B39/2</f>
        <v>#REF!</v>
      </c>
      <c r="C45" s="39" t="e">
        <f>'R4'!B39/2</f>
        <v>#REF!</v>
      </c>
    </row>
    <row r="46" spans="1:3" ht="16.5" hidden="1">
      <c r="A46" s="5" t="s">
        <v>51</v>
      </c>
      <c r="B46" s="36" t="e">
        <f>'R3'!B40</f>
        <v>#REF!</v>
      </c>
      <c r="C46" s="36" t="e">
        <f>'R4'!B40</f>
        <v>#REF!</v>
      </c>
    </row>
    <row r="47" spans="1:3" ht="16.5" hidden="1">
      <c r="A47" s="5" t="s">
        <v>52</v>
      </c>
      <c r="B47" s="36" t="e">
        <f>'R3'!B41</f>
        <v>#REF!</v>
      </c>
      <c r="C47" s="36" t="e">
        <f>'R4'!B41</f>
        <v>#REF!</v>
      </c>
    </row>
    <row r="48" spans="1:3" ht="16.5" hidden="1">
      <c r="A48" s="5" t="s">
        <v>53</v>
      </c>
      <c r="B48" s="36" t="e">
        <f>'R3'!B42</f>
        <v>#REF!</v>
      </c>
      <c r="C48" s="36" t="e">
        <f>'R4'!B42</f>
        <v>#REF!</v>
      </c>
    </row>
    <row r="49" spans="1:3" ht="16.5" hidden="1">
      <c r="A49" s="5" t="s">
        <v>64</v>
      </c>
      <c r="B49" s="36" t="e">
        <f>'R3'!B43</f>
        <v>#REF!</v>
      </c>
      <c r="C49" s="36" t="e">
        <f>'R4'!B43</f>
        <v>#REF!</v>
      </c>
    </row>
    <row r="50" spans="1:3" ht="16.5" hidden="1">
      <c r="A50" s="5" t="s">
        <v>54</v>
      </c>
      <c r="B50" s="36" t="e">
        <f>'R3'!B44</f>
        <v>#REF!</v>
      </c>
      <c r="C50" s="36" t="e">
        <f>'R4'!B44</f>
        <v>#REF!</v>
      </c>
    </row>
    <row r="51" spans="1:3" ht="16.5">
      <c r="A51" s="5"/>
      <c r="B51" s="36"/>
      <c r="C51" s="36"/>
    </row>
    <row r="52" spans="1:3" ht="16.5">
      <c r="A52" s="5" t="s">
        <v>55</v>
      </c>
      <c r="B52" s="36"/>
      <c r="C52" s="36"/>
    </row>
    <row r="53" spans="1:3" ht="16.5">
      <c r="A53" s="5" t="s">
        <v>56</v>
      </c>
      <c r="B53" s="37">
        <f>'R3'!B47</f>
        <v>46.312888430463204</v>
      </c>
      <c r="C53" s="37">
        <f>'R4'!B47</f>
        <v>294.51523726309551</v>
      </c>
    </row>
    <row r="54" spans="1:3" ht="16.5">
      <c r="A54" s="5" t="s">
        <v>57</v>
      </c>
      <c r="B54" s="38">
        <f>'R3'!B48</f>
        <v>38.832969737199519</v>
      </c>
      <c r="C54" s="38">
        <f>'R4'!B48</f>
        <v>274.09757771405197</v>
      </c>
    </row>
    <row r="55" spans="1:3" ht="16.5">
      <c r="A55" s="5" t="s">
        <v>90</v>
      </c>
      <c r="B55" s="39" t="e">
        <f>'R3'!B49/2</f>
        <v>#REF!</v>
      </c>
      <c r="C55" s="39" t="e">
        <f>'R4'!B49/2</f>
        <v>#REF!</v>
      </c>
    </row>
    <row r="56" spans="1:3" hidden="1">
      <c r="A56" s="29" t="s">
        <v>131</v>
      </c>
      <c r="B56" s="31" t="e">
        <f>'R3'!B50</f>
        <v>#REF!</v>
      </c>
      <c r="C56" s="31" t="e">
        <f>'R4'!B50</f>
        <v>#REF!</v>
      </c>
    </row>
    <row r="57" spans="1:3" hidden="1">
      <c r="A57" s="29" t="s">
        <v>132</v>
      </c>
      <c r="B57" s="31" t="e">
        <f>'R3'!B51</f>
        <v>#REF!</v>
      </c>
      <c r="C57" s="31" t="e">
        <f>'R4'!B51</f>
        <v>#REF!</v>
      </c>
    </row>
    <row r="58" spans="1:3" hidden="1">
      <c r="A58" s="29" t="s">
        <v>133</v>
      </c>
      <c r="B58" s="31" t="e">
        <f>'R3'!B52</f>
        <v>#REF!</v>
      </c>
      <c r="C58" s="31" t="e">
        <f>'R4'!B52</f>
        <v>#REF!</v>
      </c>
    </row>
    <row r="59" spans="1:3" hidden="1">
      <c r="A59" s="29" t="s">
        <v>134</v>
      </c>
      <c r="B59" s="31">
        <f>'R3'!B53</f>
        <v>0</v>
      </c>
      <c r="C59" s="31">
        <f>'R4'!B53</f>
        <v>0</v>
      </c>
    </row>
    <row r="60" spans="1:3" hidden="1">
      <c r="A60" s="29" t="s">
        <v>135</v>
      </c>
      <c r="B60" s="31">
        <f>'R3'!B54</f>
        <v>0</v>
      </c>
      <c r="C60" s="31">
        <f>'R4'!B54</f>
        <v>0</v>
      </c>
    </row>
    <row r="61" spans="1:3">
      <c r="B61" s="31"/>
      <c r="C61" s="31"/>
    </row>
    <row r="62" spans="1:3">
      <c r="B62" s="31"/>
      <c r="C62" s="31"/>
    </row>
    <row r="63" spans="1:3">
      <c r="B63" s="31"/>
      <c r="C63" s="31"/>
    </row>
    <row r="64" spans="1:3">
      <c r="B64" s="31"/>
      <c r="C64" s="31"/>
    </row>
    <row r="65" spans="2:3">
      <c r="B65" s="31"/>
      <c r="C65" s="31"/>
    </row>
    <row r="66" spans="2:3">
      <c r="B66" s="31"/>
      <c r="C66" s="31"/>
    </row>
    <row r="67" spans="2:3">
      <c r="B67" s="31"/>
      <c r="C67" s="31"/>
    </row>
    <row r="68" spans="2:3">
      <c r="B68" s="31"/>
      <c r="C68" s="31"/>
    </row>
    <row r="69" spans="2:3">
      <c r="B69" s="31"/>
      <c r="C69" s="31"/>
    </row>
    <row r="70" spans="2:3">
      <c r="B70" s="31"/>
      <c r="C70" s="31"/>
    </row>
    <row r="71" spans="2:3">
      <c r="B71" s="31"/>
      <c r="C71" s="31"/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topLeftCell="A20" workbookViewId="0">
      <selection activeCell="A49" sqref="A49:XFD52"/>
    </sheetView>
  </sheetViews>
  <sheetFormatPr defaultColWidth="10.85546875" defaultRowHeight="16.5"/>
  <cols>
    <col min="1" max="1" width="43.7109375" style="5" customWidth="1"/>
    <col min="2" max="2" width="23.140625" style="5" customWidth="1"/>
    <col min="3" max="16384" width="10.85546875" style="5"/>
  </cols>
  <sheetData>
    <row r="1" spans="1:2">
      <c r="B1" s="6" t="s">
        <v>37</v>
      </c>
    </row>
    <row r="2" spans="1:2">
      <c r="B2" s="9" t="s">
        <v>36</v>
      </c>
    </row>
    <row r="3" spans="1:2">
      <c r="A3" s="5" t="s">
        <v>38</v>
      </c>
      <c r="B3" s="7">
        <f>('HTC CP4'!K16+'HTC CP4'!K17)*'HTC CP4'!K18</f>
        <v>8760000</v>
      </c>
    </row>
    <row r="4" spans="1:2">
      <c r="A4" s="5" t="s">
        <v>42</v>
      </c>
      <c r="B4" s="7">
        <f>'HTC CP4'!D7</f>
        <v>7054218051.7750854</v>
      </c>
    </row>
    <row r="5" spans="1:2">
      <c r="A5" s="5" t="s">
        <v>39</v>
      </c>
      <c r="B5" s="7">
        <f>'HTC CP4'!D8</f>
        <v>52116078590.671455</v>
      </c>
    </row>
    <row r="6" spans="1:2">
      <c r="A6" s="5" t="s">
        <v>40</v>
      </c>
      <c r="B6" s="8">
        <f>'HTC CP4'!D9</f>
        <v>0</v>
      </c>
    </row>
    <row r="7" spans="1:2">
      <c r="A7" s="5" t="s">
        <v>41</v>
      </c>
      <c r="B7" s="7">
        <f>'HTC CP4'!D10</f>
        <v>-45061860538.89637</v>
      </c>
    </row>
    <row r="8" spans="1:2">
      <c r="B8" s="7"/>
    </row>
    <row r="9" spans="1:2">
      <c r="A9" s="5" t="s">
        <v>76</v>
      </c>
      <c r="B9" s="7"/>
    </row>
    <row r="10" spans="1:2">
      <c r="A10" s="5" t="s">
        <v>79</v>
      </c>
      <c r="B10" s="7">
        <f>'HTC CP4'!C21</f>
        <v>5521.5594422603162</v>
      </c>
    </row>
    <row r="11" spans="1:2">
      <c r="A11" s="5" t="s">
        <v>80</v>
      </c>
      <c r="B11" s="7">
        <f>'HTC CP4'!C25</f>
        <v>3898.9540319256962</v>
      </c>
    </row>
    <row r="12" spans="1:2">
      <c r="A12" s="5" t="s">
        <v>81</v>
      </c>
      <c r="B12" s="7">
        <f>'HTC CP4'!C23</f>
        <v>9329.302418918609</v>
      </c>
    </row>
    <row r="13" spans="1:2">
      <c r="A13" s="5" t="s">
        <v>78</v>
      </c>
      <c r="B13" s="7">
        <f>'HTC CP4'!D15</f>
        <v>91.211055267403935</v>
      </c>
    </row>
    <row r="14" spans="1:2">
      <c r="A14" s="5" t="s">
        <v>77</v>
      </c>
      <c r="B14" s="7">
        <f>'HTC CP4'!D17</f>
        <v>0.6141802147243407</v>
      </c>
    </row>
    <row r="15" spans="1:2">
      <c r="B15" s="7"/>
    </row>
    <row r="16" spans="1:2">
      <c r="A16" s="5" t="s">
        <v>82</v>
      </c>
      <c r="B16" s="7"/>
    </row>
    <row r="17" spans="1:2">
      <c r="A17" s="5" t="s">
        <v>83</v>
      </c>
      <c r="B17" s="7">
        <f>'HTC CP4'!C22</f>
        <v>3575.2966857410643</v>
      </c>
    </row>
    <row r="18" spans="1:2">
      <c r="A18" s="5" t="s">
        <v>84</v>
      </c>
      <c r="B18" s="7">
        <f>'HTC CP4'!C26</f>
        <v>5777.1938895202538</v>
      </c>
    </row>
    <row r="19" spans="1:2">
      <c r="A19" s="5" t="s">
        <v>85</v>
      </c>
      <c r="B19" s="7">
        <f>'HTC CP4'!C24</f>
        <v>9152.2347598301112</v>
      </c>
    </row>
    <row r="20" spans="1:2">
      <c r="A20" s="5" t="s">
        <v>86</v>
      </c>
      <c r="B20" s="7">
        <f>'HTC CP4'!D16</f>
        <v>200.25581543120643</v>
      </c>
    </row>
    <row r="21" spans="1:2">
      <c r="A21" s="5" t="s">
        <v>77</v>
      </c>
      <c r="B21" s="7">
        <f>'HTC CP4'!D18</f>
        <v>1.5734065658183058</v>
      </c>
    </row>
    <row r="22" spans="1:2">
      <c r="B22" s="7"/>
    </row>
    <row r="23" spans="1:2">
      <c r="A23" s="5" t="s">
        <v>65</v>
      </c>
      <c r="B23" s="7"/>
    </row>
    <row r="24" spans="1:2">
      <c r="A24" s="5" t="s">
        <v>69</v>
      </c>
      <c r="B24" s="7">
        <f>'HTC CP4'!K24</f>
        <v>10</v>
      </c>
    </row>
    <row r="25" spans="1:2">
      <c r="A25" s="5" t="s">
        <v>68</v>
      </c>
      <c r="B25" s="7">
        <f>'HTC CP4'!C29</f>
        <v>0</v>
      </c>
    </row>
    <row r="26" spans="1:2">
      <c r="A26" s="5" t="s">
        <v>67</v>
      </c>
      <c r="B26" s="7">
        <f>'HTC CP4'!D13</f>
        <v>6.0004494733192413</v>
      </c>
    </row>
    <row r="27" spans="1:2">
      <c r="A27" s="5" t="s">
        <v>75</v>
      </c>
      <c r="B27" s="7">
        <f>'HTC CP4'!K23</f>
        <v>50000</v>
      </c>
    </row>
    <row r="28" spans="1:2">
      <c r="A28" s="5" t="s">
        <v>66</v>
      </c>
      <c r="B28" s="7">
        <f>'HTC CP4'!C27</f>
        <v>67518.031306796081</v>
      </c>
    </row>
    <row r="29" spans="1:2">
      <c r="B29" s="7"/>
    </row>
    <row r="30" spans="1:2">
      <c r="A30" s="5" t="s">
        <v>70</v>
      </c>
      <c r="B30" s="7"/>
    </row>
    <row r="31" spans="1:2">
      <c r="A31" s="5" t="s">
        <v>71</v>
      </c>
      <c r="B31" s="7">
        <f>'HTC CP4'!K25</f>
        <v>5</v>
      </c>
    </row>
    <row r="32" spans="1:2">
      <c r="A32" s="5" t="s">
        <v>72</v>
      </c>
      <c r="B32" s="7">
        <f>'HTC CP4'!C30</f>
        <v>0</v>
      </c>
    </row>
    <row r="33" spans="1:2">
      <c r="A33" s="5" t="s">
        <v>73</v>
      </c>
      <c r="B33" s="7">
        <f>'HTC CP4'!D14</f>
        <v>8.9995505266514826</v>
      </c>
    </row>
    <row r="34" spans="1:2">
      <c r="A34" s="5" t="s">
        <v>74</v>
      </c>
      <c r="B34" s="7">
        <f>'HTC CP4'!C28</f>
        <v>50000</v>
      </c>
    </row>
    <row r="35" spans="1:2">
      <c r="B35" s="7"/>
    </row>
    <row r="36" spans="1:2">
      <c r="A36" s="5" t="s">
        <v>47</v>
      </c>
      <c r="B36" s="7"/>
    </row>
    <row r="37" spans="1:2">
      <c r="A37" s="5" t="s">
        <v>48</v>
      </c>
      <c r="B37" s="10">
        <f>'HTC CP4'!D33</f>
        <v>280.86627187502381</v>
      </c>
    </row>
    <row r="38" spans="1:2">
      <c r="A38" s="5" t="s">
        <v>49</v>
      </c>
      <c r="B38" s="10">
        <f>'HTC CP4'!E33</f>
        <v>267.72525567711506</v>
      </c>
    </row>
    <row r="39" spans="1:2" hidden="1">
      <c r="A39" s="5" t="s">
        <v>50</v>
      </c>
      <c r="B39" s="10" t="e">
        <f>#REF!/(8760/2)</f>
        <v>#REF!</v>
      </c>
    </row>
    <row r="40" spans="1:2" hidden="1">
      <c r="A40" s="5" t="s">
        <v>51</v>
      </c>
      <c r="B40" s="10" t="e">
        <f>'HTC CP4'!#REF!</f>
        <v>#REF!</v>
      </c>
    </row>
    <row r="41" spans="1:2" hidden="1">
      <c r="A41" s="5" t="s">
        <v>52</v>
      </c>
      <c r="B41" s="10" t="e">
        <f>'HTC CP4'!#REF!</f>
        <v>#REF!</v>
      </c>
    </row>
    <row r="42" spans="1:2" hidden="1">
      <c r="A42" s="5" t="s">
        <v>53</v>
      </c>
      <c r="B42" s="10" t="e">
        <f>'HTC CP4'!#REF!</f>
        <v>#REF!</v>
      </c>
    </row>
    <row r="43" spans="1:2" hidden="1">
      <c r="A43" s="5" t="s">
        <v>64</v>
      </c>
      <c r="B43" s="10" t="e">
        <f>'HTC CP4'!#REF!</f>
        <v>#REF!</v>
      </c>
    </row>
    <row r="44" spans="1:2" hidden="1">
      <c r="A44" s="5" t="s">
        <v>54</v>
      </c>
      <c r="B44" s="10" t="e">
        <f>'HTC CP4'!#REF!</f>
        <v>#REF!</v>
      </c>
    </row>
    <row r="45" spans="1:2">
      <c r="B45" s="10"/>
    </row>
    <row r="46" spans="1:2">
      <c r="A46" s="5" t="s">
        <v>55</v>
      </c>
    </row>
    <row r="47" spans="1:2">
      <c r="A47" s="5" t="s">
        <v>56</v>
      </c>
      <c r="B47" s="10">
        <f>'HTC CP4'!D34</f>
        <v>294.51523726309551</v>
      </c>
    </row>
    <row r="48" spans="1:2">
      <c r="A48" s="5" t="s">
        <v>57</v>
      </c>
      <c r="B48" s="10">
        <f>'HTC CP4'!E34</f>
        <v>274.09757771405197</v>
      </c>
    </row>
    <row r="49" spans="1:2" hidden="1">
      <c r="A49" s="5" t="s">
        <v>58</v>
      </c>
      <c r="B49" s="10" t="e">
        <f>#REF!/(8760/2)</f>
        <v>#REF!</v>
      </c>
    </row>
    <row r="50" spans="1:2" hidden="1">
      <c r="A50" s="5" t="s">
        <v>59</v>
      </c>
      <c r="B50" s="10" t="e">
        <f>'HTC CP4'!#REF!</f>
        <v>#REF!</v>
      </c>
    </row>
    <row r="51" spans="1:2" hidden="1">
      <c r="A51" s="5" t="s">
        <v>60</v>
      </c>
      <c r="B51" s="10" t="e">
        <f>'HTC CP4'!#REF!</f>
        <v>#REF!</v>
      </c>
    </row>
    <row r="52" spans="1:2" hidden="1">
      <c r="A52" s="5" t="s">
        <v>61</v>
      </c>
      <c r="B52" s="10" t="e">
        <f>'HTC CP4'!#REF!</f>
        <v>#REF!</v>
      </c>
    </row>
    <row r="53" spans="1:2">
      <c r="A53" s="5" t="s">
        <v>62</v>
      </c>
      <c r="B53" s="10">
        <f>'HTC CP4'!H39</f>
        <v>0</v>
      </c>
    </row>
    <row r="54" spans="1:2">
      <c r="A54" s="5" t="s">
        <v>63</v>
      </c>
      <c r="B54" s="10">
        <f>'HTC CP4'!H40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4"/>
  <sheetViews>
    <sheetView tabSelected="1" workbookViewId="0">
      <selection activeCell="A39" sqref="A39:XFD44"/>
    </sheetView>
  </sheetViews>
  <sheetFormatPr defaultColWidth="10.85546875" defaultRowHeight="16.5"/>
  <cols>
    <col min="1" max="1" width="43.7109375" style="5" customWidth="1"/>
    <col min="2" max="2" width="23.140625" style="5" customWidth="1"/>
    <col min="3" max="16384" width="10.85546875" style="5"/>
  </cols>
  <sheetData>
    <row r="1" spans="1:2">
      <c r="B1" s="6" t="s">
        <v>37</v>
      </c>
    </row>
    <row r="2" spans="1:2">
      <c r="B2" s="9" t="s">
        <v>36</v>
      </c>
    </row>
    <row r="3" spans="1:2">
      <c r="A3" s="5" t="s">
        <v>38</v>
      </c>
      <c r="B3" s="7">
        <f>('HTC CP3'!K16+'HTC CP3'!K17)*'HTC CP3'!K18</f>
        <v>8760000</v>
      </c>
    </row>
    <row r="4" spans="1:2">
      <c r="A4" s="5" t="s">
        <v>42</v>
      </c>
      <c r="B4" s="7">
        <f>'HTC CP3'!D7</f>
        <v>0</v>
      </c>
    </row>
    <row r="5" spans="1:2">
      <c r="A5" s="5" t="s">
        <v>39</v>
      </c>
      <c r="B5" s="7">
        <f>'HTC CP3'!D8</f>
        <v>56699745855.333786</v>
      </c>
    </row>
    <row r="6" spans="1:2">
      <c r="A6" s="5" t="s">
        <v>40</v>
      </c>
      <c r="B6" s="8">
        <f>'HTC CP3'!D9</f>
        <v>0</v>
      </c>
    </row>
    <row r="7" spans="1:2">
      <c r="A7" s="5" t="s">
        <v>41</v>
      </c>
      <c r="B7" s="7">
        <f>'HTC CP3'!D10</f>
        <v>-56699745855.333786</v>
      </c>
    </row>
    <row r="8" spans="1:2">
      <c r="B8" s="7"/>
    </row>
    <row r="9" spans="1:2">
      <c r="A9" s="5" t="s">
        <v>76</v>
      </c>
      <c r="B9" s="7"/>
    </row>
    <row r="10" spans="1:2">
      <c r="A10" s="5" t="s">
        <v>79</v>
      </c>
      <c r="B10" s="7">
        <f>'HTC CP3'!C21</f>
        <v>0</v>
      </c>
    </row>
    <row r="11" spans="1:2">
      <c r="A11" s="5" t="s">
        <v>80</v>
      </c>
      <c r="B11" s="7">
        <f>'HTC CP3'!C25</f>
        <v>13459.030064847519</v>
      </c>
    </row>
    <row r="12" spans="1:2">
      <c r="A12" s="5" t="s">
        <v>81</v>
      </c>
      <c r="B12" s="7">
        <f>'HTC CP3'!C23</f>
        <v>12372.157123210285</v>
      </c>
    </row>
    <row r="13" spans="1:2">
      <c r="A13" s="5" t="s">
        <v>78</v>
      </c>
      <c r="B13" s="7">
        <f>'HTC CP3'!D15</f>
        <v>1086.8729416372335</v>
      </c>
    </row>
    <row r="14" spans="1:2">
      <c r="A14" s="5" t="s">
        <v>77</v>
      </c>
      <c r="B14" s="7">
        <f>'HTC CP3'!D17</f>
        <v>8.7848297658477801</v>
      </c>
    </row>
    <row r="15" spans="1:2">
      <c r="B15" s="7"/>
    </row>
    <row r="16" spans="1:2">
      <c r="A16" s="5" t="s">
        <v>82</v>
      </c>
      <c r="B16" s="7"/>
    </row>
    <row r="17" spans="1:2">
      <c r="A17" s="5" t="s">
        <v>83</v>
      </c>
      <c r="B17" s="7">
        <f>'HTC CP3'!C22</f>
        <v>0</v>
      </c>
    </row>
    <row r="18" spans="1:2">
      <c r="A18" s="5" t="s">
        <v>84</v>
      </c>
      <c r="B18" s="7">
        <f>'HTC CP3'!C26</f>
        <v>13459.030064770663</v>
      </c>
    </row>
    <row r="19" spans="1:2">
      <c r="A19" s="5" t="s">
        <v>85</v>
      </c>
      <c r="B19" s="7">
        <f>'HTC CP3'!C24</f>
        <v>12372.15712306426</v>
      </c>
    </row>
    <row r="20" spans="1:2">
      <c r="A20" s="5" t="s">
        <v>86</v>
      </c>
      <c r="B20" s="7">
        <f>'HTC CP3'!D16</f>
        <v>1086.8729417064023</v>
      </c>
    </row>
    <row r="21" spans="1:2">
      <c r="A21" s="5" t="s">
        <v>77</v>
      </c>
      <c r="B21" s="7">
        <f>'HTC CP3'!D18</f>
        <v>8.7848297665105335</v>
      </c>
    </row>
    <row r="22" spans="1:2">
      <c r="B22" s="7"/>
    </row>
    <row r="23" spans="1:2">
      <c r="A23" s="5" t="s">
        <v>65</v>
      </c>
      <c r="B23" s="7"/>
    </row>
    <row r="24" spans="1:2">
      <c r="A24" s="5" t="s">
        <v>69</v>
      </c>
      <c r="B24" s="7">
        <f>'HTC CP3'!K24</f>
        <v>40</v>
      </c>
    </row>
    <row r="25" spans="1:2">
      <c r="A25" s="5" t="s">
        <v>68</v>
      </c>
      <c r="B25" s="7">
        <f>'HTC CP3'!C29</f>
        <v>6.5936073059360716</v>
      </c>
    </row>
    <row r="26" spans="1:2">
      <c r="A26" s="5" t="s">
        <v>67</v>
      </c>
      <c r="B26" s="7">
        <f>'HTC CP3'!D13</f>
        <v>22.000000000135969</v>
      </c>
    </row>
    <row r="27" spans="1:2">
      <c r="A27" s="5" t="s">
        <v>75</v>
      </c>
      <c r="B27" s="7">
        <f>'HTC CP3'!K23</f>
        <v>50000</v>
      </c>
    </row>
    <row r="28" spans="1:2">
      <c r="A28" s="5" t="s">
        <v>66</v>
      </c>
      <c r="B28" s="7">
        <f>'HTC CP3'!C27</f>
        <v>99960</v>
      </c>
    </row>
    <row r="29" spans="1:2">
      <c r="B29" s="7"/>
    </row>
    <row r="30" spans="1:2">
      <c r="A30" s="5" t="s">
        <v>70</v>
      </c>
      <c r="B30" s="7"/>
    </row>
    <row r="31" spans="1:2">
      <c r="A31" s="5" t="s">
        <v>71</v>
      </c>
      <c r="B31" s="7">
        <f>'HTC CP3'!K25</f>
        <v>30</v>
      </c>
    </row>
    <row r="32" spans="1:2">
      <c r="A32" s="5" t="s">
        <v>72</v>
      </c>
      <c r="B32" s="7">
        <f>'HTC CP3'!C30</f>
        <v>0</v>
      </c>
    </row>
    <row r="33" spans="1:2">
      <c r="A33" s="5" t="s">
        <v>73</v>
      </c>
      <c r="B33" s="7">
        <f>'HTC CP3'!D14</f>
        <v>22</v>
      </c>
    </row>
    <row r="34" spans="1:2">
      <c r="A34" s="5" t="s">
        <v>74</v>
      </c>
      <c r="B34" s="7">
        <f>'HTC CP3'!C28</f>
        <v>135000</v>
      </c>
    </row>
    <row r="35" spans="1:2">
      <c r="B35" s="7"/>
    </row>
    <row r="36" spans="1:2">
      <c r="A36" s="5" t="s">
        <v>47</v>
      </c>
      <c r="B36" s="7"/>
    </row>
    <row r="37" spans="1:2">
      <c r="A37" s="5" t="s">
        <v>48</v>
      </c>
      <c r="B37" s="10">
        <f>'HTC CP3'!D33</f>
        <v>46.312888419207184</v>
      </c>
    </row>
    <row r="38" spans="1:2">
      <c r="A38" s="5" t="s">
        <v>49</v>
      </c>
      <c r="B38" s="10">
        <f>'HTC CP3'!E33</f>
        <v>38.832969727718726</v>
      </c>
    </row>
    <row r="39" spans="1:2" hidden="1">
      <c r="A39" s="5" t="s">
        <v>50</v>
      </c>
      <c r="B39" s="10" t="e">
        <f>#REF!/(8760/2)</f>
        <v>#REF!</v>
      </c>
    </row>
    <row r="40" spans="1:2" hidden="1">
      <c r="A40" s="5" t="s">
        <v>51</v>
      </c>
      <c r="B40" s="10" t="e">
        <f>'HTC CP3'!#REF!</f>
        <v>#REF!</v>
      </c>
    </row>
    <row r="41" spans="1:2" hidden="1">
      <c r="A41" s="5" t="s">
        <v>52</v>
      </c>
      <c r="B41" s="10" t="e">
        <f>'HTC CP3'!#REF!</f>
        <v>#REF!</v>
      </c>
    </row>
    <row r="42" spans="1:2" hidden="1">
      <c r="A42" s="5" t="s">
        <v>53</v>
      </c>
      <c r="B42" s="10" t="e">
        <f>'HTC CP3'!#REF!</f>
        <v>#REF!</v>
      </c>
    </row>
    <row r="43" spans="1:2" hidden="1">
      <c r="A43" s="5" t="s">
        <v>64</v>
      </c>
      <c r="B43" s="10" t="e">
        <f>'HTC CP3'!#REF!</f>
        <v>#REF!</v>
      </c>
    </row>
    <row r="44" spans="1:2" hidden="1">
      <c r="A44" s="5" t="s">
        <v>54</v>
      </c>
      <c r="B44" s="10" t="e">
        <f>'HTC CP3'!#REF!</f>
        <v>#REF!</v>
      </c>
    </row>
    <row r="45" spans="1:2">
      <c r="B45" s="10"/>
    </row>
    <row r="46" spans="1:2">
      <c r="A46" s="5" t="s">
        <v>55</v>
      </c>
    </row>
    <row r="47" spans="1:2">
      <c r="A47" s="5" t="s">
        <v>56</v>
      </c>
      <c r="B47" s="10">
        <f>'HTC CP3'!D34</f>
        <v>46.312888430463204</v>
      </c>
    </row>
    <row r="48" spans="1:2">
      <c r="A48" s="5" t="s">
        <v>57</v>
      </c>
      <c r="B48" s="10">
        <f>'HTC CP3'!E34</f>
        <v>38.832969737199519</v>
      </c>
    </row>
    <row r="49" spans="1:2" hidden="1">
      <c r="A49" s="5" t="s">
        <v>58</v>
      </c>
      <c r="B49" s="10" t="e">
        <f>#REF!/(8760/2)</f>
        <v>#REF!</v>
      </c>
    </row>
    <row r="50" spans="1:2" hidden="1">
      <c r="A50" s="5" t="s">
        <v>59</v>
      </c>
      <c r="B50" s="10" t="e">
        <f>'HTC CP3'!#REF!</f>
        <v>#REF!</v>
      </c>
    </row>
    <row r="51" spans="1:2" hidden="1">
      <c r="A51" s="5" t="s">
        <v>60</v>
      </c>
      <c r="B51" s="10" t="e">
        <f>'HTC CP3'!#REF!</f>
        <v>#REF!</v>
      </c>
    </row>
    <row r="52" spans="1:2" hidden="1">
      <c r="A52" s="5" t="s">
        <v>61</v>
      </c>
      <c r="B52" s="10" t="e">
        <f>'HTC CP3'!#REF!</f>
        <v>#REF!</v>
      </c>
    </row>
    <row r="53" spans="1:2">
      <c r="A53" s="5" t="s">
        <v>62</v>
      </c>
      <c r="B53" s="10">
        <f>'HTC CP3'!H39</f>
        <v>0</v>
      </c>
    </row>
    <row r="54" spans="1:2">
      <c r="A54" s="5" t="s">
        <v>63</v>
      </c>
      <c r="B54" s="10">
        <f>'HTC CP3'!H40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7192D8D28642E40AE7B2B917DF21BBF" ma:contentTypeVersion="9" ma:contentTypeDescription="Crear nuevo documento." ma:contentTypeScope="" ma:versionID="20561b30105c9622becf5373dfa90785">
  <xsd:schema xmlns:xsd="http://www.w3.org/2001/XMLSchema" xmlns:xs="http://www.w3.org/2001/XMLSchema" xmlns:p="http://schemas.microsoft.com/office/2006/metadata/properties" xmlns:ns2="7ebc1fbb-280b-45cf-8e70-f42b5db0300a" targetNamespace="http://schemas.microsoft.com/office/2006/metadata/properties" ma:root="true" ma:fieldsID="03955ba9c5cd59bef2da191e3b7cd7a9" ns2:_="">
    <xsd:import namespace="7ebc1fbb-280b-45cf-8e70-f42b5db030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bc1fbb-280b-45cf-8e70-f42b5db030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37DC42-9017-46A2-A7E0-C0E93BC89EB5}"/>
</file>

<file path=customXml/itemProps2.xml><?xml version="1.0" encoding="utf-8"?>
<ds:datastoreItem xmlns:ds="http://schemas.openxmlformats.org/officeDocument/2006/customXml" ds:itemID="{2268BBBA-BB1B-4FF6-9FDC-DE3B6F144557}"/>
</file>

<file path=customXml/itemProps3.xml><?xml version="1.0" encoding="utf-8"?>
<ds:datastoreItem xmlns:ds="http://schemas.openxmlformats.org/officeDocument/2006/customXml" ds:itemID="{BC6C2F62-6D60-4114-AE6B-F1F1198FE31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HTC CP3</vt:lpstr>
      <vt:lpstr>HTC CP4</vt:lpstr>
      <vt:lpstr>ResumenGlobal</vt:lpstr>
      <vt:lpstr>R4</vt:lpstr>
      <vt:lpstr>R3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VaioPC</dc:creator>
  <cp:lastModifiedBy>VaioPC</cp:lastModifiedBy>
  <dcterms:created xsi:type="dcterms:W3CDTF">2017-08-09T14:49:00Z</dcterms:created>
  <dcterms:modified xsi:type="dcterms:W3CDTF">2021-05-11T09:44:23Z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0x01010007192D8D28642E40AE7B2B917DF21BBF</vt:lpwstr>
  </property>
</Properties>
</file>