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80" yWindow="60" windowWidth="25360" windowHeight="14660" tabRatio="500" activeTab="6"/>
  </bookViews>
  <sheets>
    <sheet name="RE" sheetId="5" r:id="rId1"/>
    <sheet name="N" sheetId="4" r:id="rId2"/>
    <sheet name="S" sheetId="3" r:id="rId3"/>
    <sheet name="S2" sheetId="7" r:id="rId4"/>
    <sheet name="M" sheetId="2" r:id="rId5"/>
    <sheet name="CP" sheetId="1" r:id="rId6"/>
    <sheet name="SUMMARY" sheetId="6" r:id="rId7"/>
  </sheets>
  <definedNames>
    <definedName name="solver_adj" localSheetId="5" hidden="1">CP!$B$18:$B$19</definedName>
    <definedName name="solver_adj" localSheetId="4" hidden="1">M!$B$18:$B$19</definedName>
    <definedName name="solver_adj" localSheetId="1" hidden="1">N!$B$18:$B$19</definedName>
    <definedName name="solver_adj" localSheetId="0" hidden="1">RE!$B$18:$B$19</definedName>
    <definedName name="solver_adj" localSheetId="2" hidden="1">S!$B$18:$B$19</definedName>
    <definedName name="solver_adj" localSheetId="3" hidden="1">'S2'!$B$18:$B$19</definedName>
    <definedName name="solver_cvg" localSheetId="5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5" hidden="1">1</definedName>
    <definedName name="solver_drv" localSheetId="4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itr" localSheetId="5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RE!$B$23</definedName>
    <definedName name="solver_lhs2" localSheetId="0" hidden="1">RE!$B$24</definedName>
    <definedName name="solver_lin" localSheetId="5" hidden="1">2</definedName>
    <definedName name="solver_lin" localSheetId="4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mip" localSheetId="5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1" hidden="1">0</definedName>
    <definedName name="solver_num" localSheetId="0" hidden="1">2</definedName>
    <definedName name="solver_num" localSheetId="2" hidden="1">0</definedName>
    <definedName name="solver_num" localSheetId="3" hidden="1">0</definedName>
    <definedName name="solver_opt" localSheetId="5" hidden="1">CP!$B$16</definedName>
    <definedName name="solver_opt" localSheetId="4" hidden="1">M!$B$25</definedName>
    <definedName name="solver_opt" localSheetId="1" hidden="1">N!$B$30</definedName>
    <definedName name="solver_opt" localSheetId="2" hidden="1">S!$B$25</definedName>
    <definedName name="solver_opt" localSheetId="3" hidden="1">'S2'!$B$25</definedName>
    <definedName name="solver_pre" localSheetId="5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5" hidden="1">1</definedName>
    <definedName name="solver_rbv" localSheetId="4" hidden="1">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2" localSheetId="0" hidden="1">2</definedName>
    <definedName name="solver_rhs1" localSheetId="0" hidden="1">RE!$B$21</definedName>
    <definedName name="solver_rhs2" localSheetId="0" hidden="1">RE!$B$21</definedName>
    <definedName name="solver_rlx" localSheetId="5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5" hidden="1">1</definedName>
    <definedName name="solver_scl" localSheetId="4" hidden="1">1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5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5" hidden="1">1</definedName>
    <definedName name="solver_typ" localSheetId="4" hidden="1">1</definedName>
    <definedName name="solver_typ" localSheetId="1" hidden="1">1</definedName>
    <definedName name="solver_typ" localSheetId="0" hidden="1">3</definedName>
    <definedName name="solver_typ" localSheetId="2" hidden="1">1</definedName>
    <definedName name="solver_typ" localSheetId="3" hidden="1">1</definedName>
    <definedName name="solver_val" localSheetId="5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5" hidden="1">2</definedName>
    <definedName name="solver_ver" localSheetId="4" hidden="1">2</definedName>
    <definedName name="solver_ver" localSheetId="1" hidden="1">2</definedName>
    <definedName name="solver_ver" localSheetId="0" hidden="1">2</definedName>
    <definedName name="solver_ver" localSheetId="2" hidden="1">2</definedName>
    <definedName name="solver_ver" localSheetId="3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7" l="1"/>
  <c r="F13" i="7"/>
  <c r="B19" i="3"/>
  <c r="B18" i="3"/>
  <c r="F14" i="3"/>
  <c r="B23" i="1"/>
  <c r="B24" i="1"/>
  <c r="B25" i="1"/>
  <c r="B27" i="5"/>
  <c r="B28" i="5"/>
  <c r="B29" i="5"/>
  <c r="C23" i="6"/>
  <c r="D11" i="6"/>
  <c r="D10" i="6"/>
  <c r="D9" i="6"/>
  <c r="D8" i="6"/>
  <c r="D7" i="6"/>
  <c r="D5" i="6"/>
  <c r="D4" i="6"/>
  <c r="D3" i="6"/>
  <c r="B7" i="6"/>
  <c r="D12" i="6"/>
  <c r="D6" i="6"/>
  <c r="B18" i="7"/>
  <c r="F14" i="7"/>
  <c r="B11" i="7"/>
  <c r="B20" i="7"/>
  <c r="B21" i="7"/>
  <c r="B14" i="7"/>
  <c r="B23" i="7"/>
  <c r="B15" i="7"/>
  <c r="B24" i="7"/>
  <c r="B25" i="7"/>
  <c r="B13" i="7"/>
  <c r="B16" i="7"/>
  <c r="C16" i="7"/>
  <c r="B15" i="3"/>
  <c r="C5" i="6"/>
  <c r="E4" i="6"/>
  <c r="E5" i="6"/>
  <c r="E6" i="6"/>
  <c r="F4" i="6"/>
  <c r="F5" i="6"/>
  <c r="F6" i="6"/>
  <c r="G4" i="6"/>
  <c r="G5" i="6"/>
  <c r="G6" i="6"/>
  <c r="B4" i="6"/>
  <c r="B5" i="6"/>
  <c r="B6" i="6"/>
  <c r="B14" i="5"/>
  <c r="B15" i="5"/>
  <c r="B16" i="5"/>
  <c r="C16" i="5"/>
  <c r="E7" i="6"/>
  <c r="E12" i="6"/>
  <c r="F7" i="6"/>
  <c r="F12" i="6"/>
  <c r="G7" i="6"/>
  <c r="G12" i="6"/>
  <c r="B12" i="6"/>
  <c r="B20" i="5"/>
  <c r="B21" i="5"/>
  <c r="E11" i="6"/>
  <c r="E10" i="6"/>
  <c r="E9" i="6"/>
  <c r="E8" i="6"/>
  <c r="B13" i="5"/>
  <c r="E3" i="6"/>
  <c r="F11" i="6"/>
  <c r="F10" i="6"/>
  <c r="F9" i="6"/>
  <c r="F8" i="6"/>
  <c r="F3" i="6"/>
  <c r="C9" i="6"/>
  <c r="G11" i="6"/>
  <c r="G10" i="6"/>
  <c r="G9" i="6"/>
  <c r="G8" i="6"/>
  <c r="G3" i="6"/>
  <c r="B11" i="6"/>
  <c r="B10" i="6"/>
  <c r="B9" i="6"/>
  <c r="B8" i="6"/>
  <c r="B3" i="6"/>
  <c r="A3" i="6"/>
  <c r="A4" i="6"/>
  <c r="A5" i="6"/>
  <c r="A7" i="6"/>
  <c r="A8" i="6"/>
  <c r="A9" i="6"/>
  <c r="A10" i="6"/>
  <c r="A11" i="6"/>
  <c r="B24" i="5"/>
  <c r="B23" i="5"/>
  <c r="B11" i="5"/>
  <c r="F13" i="3"/>
  <c r="C16" i="4"/>
  <c r="C16" i="2"/>
  <c r="C16" i="1"/>
  <c r="B11" i="3"/>
  <c r="J8" i="4"/>
  <c r="H8" i="4"/>
  <c r="E8" i="4"/>
  <c r="D8" i="4"/>
  <c r="I8" i="4"/>
  <c r="E7" i="4"/>
  <c r="D6" i="4"/>
  <c r="I7" i="4"/>
  <c r="I6" i="4"/>
  <c r="H6" i="4"/>
  <c r="H7" i="4"/>
  <c r="J7" i="4"/>
  <c r="J6" i="4"/>
  <c r="B20" i="4"/>
  <c r="B13" i="4"/>
  <c r="B14" i="4"/>
  <c r="B15" i="4"/>
  <c r="B16" i="4"/>
  <c r="B27" i="4"/>
  <c r="B28" i="4"/>
  <c r="B29" i="4"/>
  <c r="B30" i="4"/>
  <c r="B11" i="4"/>
  <c r="J10" i="2"/>
  <c r="J9" i="2"/>
  <c r="I10" i="2"/>
  <c r="I9" i="2"/>
  <c r="H10" i="2"/>
  <c r="H9" i="2"/>
  <c r="G10" i="2"/>
  <c r="F10" i="2"/>
  <c r="G9" i="2"/>
  <c r="F9" i="2"/>
  <c r="H6" i="1"/>
  <c r="H7" i="1"/>
  <c r="B20" i="1"/>
  <c r="H8" i="1"/>
  <c r="B21" i="1"/>
  <c r="H9" i="1"/>
  <c r="I6" i="1"/>
  <c r="I7" i="1"/>
  <c r="D6" i="1"/>
  <c r="I8" i="1"/>
  <c r="I9" i="1"/>
  <c r="J8" i="1"/>
  <c r="J7" i="1"/>
  <c r="J6" i="1"/>
  <c r="E7" i="1"/>
  <c r="B11" i="1"/>
  <c r="B14" i="2"/>
  <c r="B20" i="2"/>
  <c r="B13" i="2"/>
  <c r="B15" i="2"/>
  <c r="B16" i="2"/>
  <c r="B21" i="4"/>
  <c r="B23" i="4"/>
  <c r="B24" i="4"/>
  <c r="B25" i="4"/>
  <c r="B21" i="2"/>
  <c r="B23" i="2"/>
  <c r="B24" i="2"/>
  <c r="B25" i="2"/>
  <c r="B11" i="2"/>
  <c r="B13" i="1"/>
  <c r="B14" i="1"/>
  <c r="B15" i="1"/>
  <c r="B16" i="1"/>
  <c r="B20" i="3"/>
  <c r="B21" i="3"/>
  <c r="B14" i="3"/>
  <c r="B23" i="3"/>
  <c r="B24" i="3"/>
  <c r="B25" i="3"/>
  <c r="B13" i="3"/>
  <c r="B16" i="3"/>
  <c r="C16" i="3"/>
  <c r="C3" i="6"/>
  <c r="C8" i="6"/>
  <c r="C10" i="6"/>
  <c r="C11" i="6"/>
  <c r="C7" i="6"/>
  <c r="C12" i="6"/>
  <c r="C4" i="6"/>
  <c r="C6" i="6"/>
</calcChain>
</file>

<file path=xl/sharedStrings.xml><?xml version="1.0" encoding="utf-8"?>
<sst xmlns="http://schemas.openxmlformats.org/spreadsheetml/2006/main" count="160" uniqueCount="44">
  <si>
    <t>alpha1</t>
  </si>
  <si>
    <t>beta1</t>
  </si>
  <si>
    <t>gamma1</t>
  </si>
  <si>
    <t>gamma2</t>
  </si>
  <si>
    <t>aplha2</t>
  </si>
  <si>
    <t>beta2</t>
  </si>
  <si>
    <t>md</t>
  </si>
  <si>
    <t>lmax</t>
  </si>
  <si>
    <t>SW</t>
  </si>
  <si>
    <t>x1</t>
  </si>
  <si>
    <t>x2</t>
  </si>
  <si>
    <t>x1+x2=</t>
  </si>
  <si>
    <t>cp1</t>
  </si>
  <si>
    <t>cp2</t>
  </si>
  <si>
    <t>B</t>
  </si>
  <si>
    <t>S</t>
  </si>
  <si>
    <t>LAMBDA</t>
  </si>
  <si>
    <t>PI1</t>
  </si>
  <si>
    <t>PI2</t>
  </si>
  <si>
    <t>PI1+PI2</t>
  </si>
  <si>
    <t>DL</t>
  </si>
  <si>
    <t>DL1</t>
  </si>
  <si>
    <t>DL2</t>
  </si>
  <si>
    <t>dlt</t>
  </si>
  <si>
    <t>SW-DLT</t>
  </si>
  <si>
    <t>A</t>
  </si>
  <si>
    <t>N</t>
  </si>
  <si>
    <t>AC1</t>
  </si>
  <si>
    <t>AC2</t>
  </si>
  <si>
    <t>&lt;-dl</t>
  </si>
  <si>
    <t>Summary</t>
  </si>
  <si>
    <t>CP</t>
  </si>
  <si>
    <t>M</t>
  </si>
  <si>
    <t>R</t>
  </si>
  <si>
    <t>CP TOT</t>
  </si>
  <si>
    <t>S P2 AS LEAD</t>
  </si>
  <si>
    <t>S P1 AS LEAD</t>
  </si>
  <si>
    <t>producer 1 as a leader</t>
  </si>
  <si>
    <t>producer 2 as a leader</t>
  </si>
  <si>
    <t>STACKELBERG</t>
  </si>
  <si>
    <t>NASH-COURNOT</t>
  </si>
  <si>
    <t>MONOPOLY</t>
  </si>
  <si>
    <t>PERFECT COMPETITION</t>
  </si>
  <si>
    <t>REGULATORY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</si>
</sst>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"/>
    </sheetView>
  </sheetViews>
  <sheetFormatPr baseColWidth="10" defaultRowHeight="15" x14ac:dyDescent="0"/>
  <cols>
    <col min="2" max="2" width="12.1640625" bestFit="1" customWidth="1"/>
  </cols>
  <sheetData>
    <row r="1" spans="1:4">
      <c r="D1" t="s">
        <v>43</v>
      </c>
    </row>
    <row r="2" spans="1:4">
      <c r="A2" t="s">
        <v>2</v>
      </c>
      <c r="B2">
        <v>180</v>
      </c>
    </row>
    <row r="3" spans="1:4">
      <c r="A3" t="s">
        <v>0</v>
      </c>
      <c r="B3">
        <v>10</v>
      </c>
    </row>
    <row r="4" spans="1:4">
      <c r="A4" t="s">
        <v>1</v>
      </c>
      <c r="B4">
        <v>0.05</v>
      </c>
    </row>
    <row r="5" spans="1:4">
      <c r="A5" t="s">
        <v>15</v>
      </c>
      <c r="B5">
        <v>0</v>
      </c>
    </row>
    <row r="6" spans="1:4">
      <c r="A6" t="s">
        <v>3</v>
      </c>
      <c r="B6">
        <v>150</v>
      </c>
    </row>
    <row r="7" spans="1:4">
      <c r="A7" t="s">
        <v>4</v>
      </c>
      <c r="B7">
        <v>10</v>
      </c>
    </row>
    <row r="8" spans="1:4">
      <c r="A8" t="s">
        <v>5</v>
      </c>
      <c r="B8">
        <v>0.1</v>
      </c>
    </row>
    <row r="10" spans="1:4">
      <c r="A10" t="s">
        <v>7</v>
      </c>
      <c r="B10">
        <v>50</v>
      </c>
    </row>
    <row r="11" spans="1:4">
      <c r="A11" t="s">
        <v>6</v>
      </c>
      <c r="B11">
        <f>(B10-B3)/40</f>
        <v>1</v>
      </c>
    </row>
    <row r="13" spans="1:4">
      <c r="A13" t="s">
        <v>14</v>
      </c>
      <c r="B13">
        <f>B10*B20-0.5*B11*B20^2</f>
        <v>997.20740216763522</v>
      </c>
    </row>
    <row r="14" spans="1:4">
      <c r="A14" t="s">
        <v>12</v>
      </c>
      <c r="B14">
        <f>0*B2+B3*B18+0.5*B4*B18^2</f>
        <v>154.11143618149845</v>
      </c>
    </row>
    <row r="15" spans="1:4">
      <c r="A15" t="s">
        <v>13</v>
      </c>
      <c r="B15">
        <f>0*B6+B7*B19+0.5*B8*B19^2</f>
        <v>134.56444769744763</v>
      </c>
    </row>
    <row r="16" spans="1:4">
      <c r="A16" t="s">
        <v>8</v>
      </c>
      <c r="B16">
        <f>B13-B14-B15</f>
        <v>708.53151828868909</v>
      </c>
      <c r="C16">
        <f>CP!B16-B16</f>
        <v>65.662030097764728</v>
      </c>
    </row>
    <row r="18" spans="1:2">
      <c r="A18" t="s">
        <v>9</v>
      </c>
      <c r="B18" s="1">
        <v>14.859157233895754</v>
      </c>
    </row>
    <row r="19" spans="1:2">
      <c r="A19" t="s">
        <v>10</v>
      </c>
      <c r="B19" s="1">
        <v>12.655621049057968</v>
      </c>
    </row>
    <row r="20" spans="1:2">
      <c r="A20" t="s">
        <v>11</v>
      </c>
      <c r="B20">
        <f>SUM(B18:B19)+B5</f>
        <v>27.514778282953721</v>
      </c>
    </row>
    <row r="21" spans="1:2">
      <c r="A21" t="s">
        <v>16</v>
      </c>
      <c r="B21">
        <f>B10-B11*B20</f>
        <v>22.485221717046279</v>
      </c>
    </row>
    <row r="23" spans="1:2">
      <c r="A23" t="s">
        <v>27</v>
      </c>
      <c r="B23">
        <f>B14/B18</f>
        <v>10.371478930847394</v>
      </c>
    </row>
    <row r="24" spans="1:2">
      <c r="A24" t="s">
        <v>28</v>
      </c>
      <c r="B24">
        <f>B15/B19</f>
        <v>10.632781052452899</v>
      </c>
    </row>
    <row r="27" spans="1:2">
      <c r="B27">
        <f>B18*$B$21-B14</f>
        <v>180.0000087510997</v>
      </c>
    </row>
    <row r="28" spans="1:2">
      <c r="B28">
        <f>B19*$B$21-B15</f>
        <v>149.99999755753862</v>
      </c>
    </row>
    <row r="29" spans="1:2">
      <c r="B29">
        <f>SUM(B27:B28)</f>
        <v>330.00000630863832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2" sqref="D2"/>
    </sheetView>
  </sheetViews>
  <sheetFormatPr baseColWidth="10" defaultRowHeight="15" x14ac:dyDescent="0"/>
  <cols>
    <col min="2" max="2" width="12.1640625" bestFit="1" customWidth="1"/>
  </cols>
  <sheetData>
    <row r="1" spans="1:10">
      <c r="D1" t="s">
        <v>40</v>
      </c>
    </row>
    <row r="2" spans="1:10">
      <c r="A2" t="s">
        <v>2</v>
      </c>
      <c r="B2">
        <v>0</v>
      </c>
    </row>
    <row r="3" spans="1:10">
      <c r="A3" t="s">
        <v>0</v>
      </c>
      <c r="B3">
        <v>10</v>
      </c>
    </row>
    <row r="4" spans="1:10">
      <c r="A4" t="s">
        <v>1</v>
      </c>
      <c r="B4">
        <v>0.05</v>
      </c>
    </row>
    <row r="5" spans="1:10">
      <c r="A5" t="s">
        <v>15</v>
      </c>
      <c r="B5">
        <v>0</v>
      </c>
    </row>
    <row r="6" spans="1:10">
      <c r="A6" t="s">
        <v>3</v>
      </c>
      <c r="B6">
        <v>0</v>
      </c>
      <c r="D6">
        <f>-B11-B4</f>
        <v>-1.05</v>
      </c>
      <c r="E6">
        <v>0</v>
      </c>
      <c r="F6">
        <v>1</v>
      </c>
      <c r="H6" s="1">
        <f>B18</f>
        <v>13.313155230490288</v>
      </c>
      <c r="I6">
        <f>D6*H$6+E6*H$7+F6*H$8</f>
        <v>10.00001141618265</v>
      </c>
      <c r="J6">
        <f>B3</f>
        <v>10</v>
      </c>
    </row>
    <row r="7" spans="1:10">
      <c r="A7" t="s">
        <v>4</v>
      </c>
      <c r="B7">
        <v>10</v>
      </c>
      <c r="D7">
        <v>0</v>
      </c>
      <c r="E7">
        <f>-B11-B8</f>
        <v>-1.1000000000000001</v>
      </c>
      <c r="F7">
        <v>1</v>
      </c>
      <c r="H7" s="1">
        <f t="shared" ref="H7" si="0">B19</f>
        <v>12.708020361312256</v>
      </c>
      <c r="I7">
        <f t="shared" ref="I7" si="1">D7*H$6+E7*H$7+F7*H$8</f>
        <v>10.00000201075397</v>
      </c>
      <c r="J7">
        <f>B7</f>
        <v>10</v>
      </c>
    </row>
    <row r="8" spans="1:10">
      <c r="A8" t="s">
        <v>5</v>
      </c>
      <c r="B8">
        <v>0.1</v>
      </c>
      <c r="D8">
        <f>B11</f>
        <v>1</v>
      </c>
      <c r="E8">
        <f>B11</f>
        <v>1</v>
      </c>
      <c r="F8">
        <v>1</v>
      </c>
      <c r="H8" s="1">
        <f>B21</f>
        <v>23.978824408197454</v>
      </c>
      <c r="I8">
        <f>D8*H$6+E8*H$7+F8*H$8</f>
        <v>50</v>
      </c>
      <c r="J8">
        <f>B10</f>
        <v>50</v>
      </c>
    </row>
    <row r="9" spans="1:10">
      <c r="H9" s="1"/>
    </row>
    <row r="10" spans="1:10">
      <c r="A10" t="s">
        <v>7</v>
      </c>
      <c r="B10">
        <v>50</v>
      </c>
    </row>
    <row r="11" spans="1:10">
      <c r="A11" t="s">
        <v>6</v>
      </c>
      <c r="B11">
        <f>(B10-B3)/40</f>
        <v>1</v>
      </c>
    </row>
    <row r="13" spans="1:10">
      <c r="A13" t="s">
        <v>14</v>
      </c>
      <c r="B13">
        <f>B10*B20-0.5*B11*B20^2</f>
        <v>962.50799000041707</v>
      </c>
    </row>
    <row r="14" spans="1:10">
      <c r="A14" t="s">
        <v>12</v>
      </c>
      <c r="B14">
        <f>B2+B3*B18+0.5*B4*B18^2</f>
        <v>137.56255485968114</v>
      </c>
    </row>
    <row r="15" spans="1:10">
      <c r="A15" t="s">
        <v>13</v>
      </c>
      <c r="B15">
        <f>B6+B7*B19+0.5*B8*B19^2</f>
        <v>135.1548926882989</v>
      </c>
    </row>
    <row r="16" spans="1:10">
      <c r="A16" t="s">
        <v>8</v>
      </c>
      <c r="B16">
        <f>B13-B14-B15</f>
        <v>689.79054245243708</v>
      </c>
      <c r="C16">
        <f>CP!B16-B16</f>
        <v>84.403005934016733</v>
      </c>
    </row>
    <row r="18" spans="1:2">
      <c r="A18" t="s">
        <v>9</v>
      </c>
      <c r="B18" s="1">
        <v>13.313155230490288</v>
      </c>
    </row>
    <row r="19" spans="1:2">
      <c r="A19" t="s">
        <v>10</v>
      </c>
      <c r="B19" s="1">
        <v>12.708020361312256</v>
      </c>
    </row>
    <row r="20" spans="1:2">
      <c r="A20" t="s">
        <v>11</v>
      </c>
      <c r="B20">
        <f>SUM(B18:B19)+B5</f>
        <v>26.021175591802546</v>
      </c>
    </row>
    <row r="21" spans="1:2">
      <c r="A21" t="s">
        <v>16</v>
      </c>
      <c r="B21">
        <f>B10-B11*B20</f>
        <v>23.978824408197454</v>
      </c>
    </row>
    <row r="23" spans="1:2">
      <c r="A23" t="s">
        <v>17</v>
      </c>
      <c r="B23">
        <f>B18*$B$21-B14</f>
        <v>181.67125673132097</v>
      </c>
    </row>
    <row r="24" spans="1:2">
      <c r="A24" t="s">
        <v>18</v>
      </c>
      <c r="B24">
        <f>B19*$B$21-B15</f>
        <v>169.56849613140565</v>
      </c>
    </row>
    <row r="25" spans="1:2">
      <c r="A25" t="s">
        <v>19</v>
      </c>
      <c r="B25">
        <f>SUM(B23:B24)</f>
        <v>351.23975286272662</v>
      </c>
    </row>
    <row r="27" spans="1:2">
      <c r="A27" t="s">
        <v>21</v>
      </c>
      <c r="B27">
        <f>0.5*$B$11*B18^2</f>
        <v>88.620051095565458</v>
      </c>
    </row>
    <row r="28" spans="1:2">
      <c r="A28" t="s">
        <v>22</v>
      </c>
      <c r="B28">
        <f>0.5*$B$11*B19^2</f>
        <v>80.746890751763445</v>
      </c>
    </row>
    <row r="29" spans="1:2">
      <c r="A29" t="s">
        <v>23</v>
      </c>
      <c r="B29">
        <f>B27+B28</f>
        <v>169.36694184732892</v>
      </c>
    </row>
    <row r="30" spans="1:2">
      <c r="A30" t="s">
        <v>24</v>
      </c>
      <c r="B30">
        <f>B16-B29</f>
        <v>520.42360060510816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" sqref="C1"/>
    </sheetView>
  </sheetViews>
  <sheetFormatPr baseColWidth="10" defaultRowHeight="15" x14ac:dyDescent="0"/>
  <cols>
    <col min="2" max="2" width="12.1640625" bestFit="1" customWidth="1"/>
  </cols>
  <sheetData>
    <row r="1" spans="1:6">
      <c r="A1" t="s">
        <v>38</v>
      </c>
      <c r="C1" t="s">
        <v>39</v>
      </c>
    </row>
    <row r="2" spans="1:6">
      <c r="A2" t="s">
        <v>2</v>
      </c>
      <c r="B2">
        <v>0</v>
      </c>
    </row>
    <row r="3" spans="1:6">
      <c r="A3" t="s">
        <v>0</v>
      </c>
      <c r="B3">
        <v>10</v>
      </c>
    </row>
    <row r="4" spans="1:6">
      <c r="A4" t="s">
        <v>1</v>
      </c>
      <c r="B4">
        <v>0.05</v>
      </c>
    </row>
    <row r="5" spans="1:6">
      <c r="A5" t="s">
        <v>15</v>
      </c>
      <c r="B5">
        <v>0</v>
      </c>
    </row>
    <row r="6" spans="1:6">
      <c r="A6" t="s">
        <v>3</v>
      </c>
      <c r="B6">
        <v>0</v>
      </c>
    </row>
    <row r="7" spans="1:6">
      <c r="A7" t="s">
        <v>4</v>
      </c>
      <c r="B7">
        <v>10</v>
      </c>
    </row>
    <row r="8" spans="1:6">
      <c r="A8" t="s">
        <v>5</v>
      </c>
      <c r="B8">
        <v>0.1</v>
      </c>
    </row>
    <row r="10" spans="1:6">
      <c r="A10" t="s">
        <v>7</v>
      </c>
      <c r="B10">
        <v>50</v>
      </c>
    </row>
    <row r="11" spans="1:6">
      <c r="A11" t="s">
        <v>6</v>
      </c>
      <c r="B11">
        <f>(B10-B3)/40</f>
        <v>1</v>
      </c>
    </row>
    <row r="13" spans="1:6">
      <c r="A13" t="s">
        <v>14</v>
      </c>
      <c r="B13">
        <f>B10*B20-0.5*B11*B20^2</f>
        <v>1026.2337206100815</v>
      </c>
      <c r="E13" t="s">
        <v>25</v>
      </c>
      <c r="F13">
        <f>(B10-B3)/(2*B11+B4)</f>
        <v>19.512195121951223</v>
      </c>
    </row>
    <row r="14" spans="1:6">
      <c r="A14" t="s">
        <v>12</v>
      </c>
      <c r="B14">
        <f>B2+B3*B18+0.5*B4*B18^2</f>
        <v>109.0593808861542</v>
      </c>
      <c r="E14" t="s">
        <v>14</v>
      </c>
      <c r="F14">
        <f>(-B11)/(2*B11+B4)</f>
        <v>-0.48780487804878053</v>
      </c>
    </row>
    <row r="15" spans="1:6">
      <c r="A15" t="s">
        <v>13</v>
      </c>
      <c r="B15">
        <f>B6+B7*B19+0.5*B8*B19^2</f>
        <v>198.81329374508866</v>
      </c>
    </row>
    <row r="16" spans="1:6">
      <c r="A16" t="s">
        <v>8</v>
      </c>
      <c r="B16">
        <f>B13-B14-B15</f>
        <v>718.36104597883855</v>
      </c>
      <c r="C16">
        <f>CP!B16-B16</f>
        <v>55.832502407615266</v>
      </c>
    </row>
    <row r="18" spans="1:2">
      <c r="A18" t="s">
        <v>9</v>
      </c>
      <c r="B18" s="1">
        <f>F13+B19*F14</f>
        <v>10.623776519760863</v>
      </c>
    </row>
    <row r="19" spans="1:2">
      <c r="A19" t="s">
        <v>10</v>
      </c>
      <c r="B19" s="1">
        <f>(B10-B11*F13-B7)/(2*B11*(F14+1)+B8)</f>
        <v>18.221258134490235</v>
      </c>
    </row>
    <row r="20" spans="1:2">
      <c r="A20" t="s">
        <v>11</v>
      </c>
      <c r="B20">
        <f>SUM(B18:B19)+B5</f>
        <v>28.845034654251098</v>
      </c>
    </row>
    <row r="21" spans="1:2">
      <c r="A21" t="s">
        <v>16</v>
      </c>
      <c r="B21">
        <f>B10-B11*B20</f>
        <v>21.154965345748902</v>
      </c>
    </row>
    <row r="23" spans="1:2">
      <c r="A23" t="s">
        <v>17</v>
      </c>
      <c r="B23">
        <f>B18*$B$21-B14</f>
        <v>115.68624323036772</v>
      </c>
    </row>
    <row r="24" spans="1:2">
      <c r="A24" t="s">
        <v>18</v>
      </c>
      <c r="B24">
        <f>B19*$B$21-B15</f>
        <v>186.65679064599757</v>
      </c>
    </row>
    <row r="25" spans="1:2">
      <c r="A25" t="s">
        <v>19</v>
      </c>
      <c r="B25">
        <f>SUM(B23:B24)</f>
        <v>302.34303387636533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" sqref="D1"/>
    </sheetView>
  </sheetViews>
  <sheetFormatPr baseColWidth="10" defaultRowHeight="15" x14ac:dyDescent="0"/>
  <cols>
    <col min="2" max="2" width="12.1640625" bestFit="1" customWidth="1"/>
  </cols>
  <sheetData>
    <row r="1" spans="1:6">
      <c r="A1" t="s">
        <v>37</v>
      </c>
      <c r="D1" t="s">
        <v>39</v>
      </c>
    </row>
    <row r="2" spans="1:6">
      <c r="A2" t="s">
        <v>2</v>
      </c>
      <c r="B2">
        <v>0</v>
      </c>
    </row>
    <row r="3" spans="1:6">
      <c r="A3" t="s">
        <v>0</v>
      </c>
      <c r="B3">
        <v>10</v>
      </c>
    </row>
    <row r="4" spans="1:6">
      <c r="A4" t="s">
        <v>1</v>
      </c>
      <c r="B4">
        <v>0.05</v>
      </c>
    </row>
    <row r="5" spans="1:6">
      <c r="A5" t="s">
        <v>15</v>
      </c>
      <c r="B5">
        <v>0</v>
      </c>
    </row>
    <row r="6" spans="1:6">
      <c r="A6" t="s">
        <v>3</v>
      </c>
      <c r="B6">
        <v>0</v>
      </c>
    </row>
    <row r="7" spans="1:6">
      <c r="A7" t="s">
        <v>4</v>
      </c>
      <c r="B7">
        <v>10</v>
      </c>
    </row>
    <row r="8" spans="1:6">
      <c r="A8" t="s">
        <v>5</v>
      </c>
      <c r="B8">
        <v>0.1</v>
      </c>
    </row>
    <row r="10" spans="1:6">
      <c r="A10" t="s">
        <v>7</v>
      </c>
      <c r="B10">
        <v>50</v>
      </c>
    </row>
    <row r="11" spans="1:6">
      <c r="A11" t="s">
        <v>6</v>
      </c>
      <c r="B11">
        <f>(B10-B3)/40</f>
        <v>1</v>
      </c>
    </row>
    <row r="13" spans="1:6">
      <c r="A13" t="s">
        <v>14</v>
      </c>
      <c r="B13">
        <f>B10*B20-0.5*B11*B20^2</f>
        <v>1030.4772228938377</v>
      </c>
      <c r="E13" t="s">
        <v>25</v>
      </c>
      <c r="F13">
        <f>(B10-B7)/(2*B11+B8)</f>
        <v>19.047619047619047</v>
      </c>
    </row>
    <row r="14" spans="1:6">
      <c r="A14" t="s">
        <v>12</v>
      </c>
      <c r="B14">
        <f>B2+B3*B18+0.5*B4*B18^2</f>
        <v>199.9990589165306</v>
      </c>
      <c r="E14" t="s">
        <v>14</v>
      </c>
      <c r="F14">
        <f>(-B11)/(2*B11+B8)</f>
        <v>-0.47619047619047616</v>
      </c>
    </row>
    <row r="15" spans="1:6">
      <c r="A15" t="s">
        <v>13</v>
      </c>
      <c r="B15">
        <f>B6+B7*B19+0.5*B8*B19^2</f>
        <v>104.53422871557014</v>
      </c>
    </row>
    <row r="16" spans="1:6">
      <c r="A16" t="s">
        <v>8</v>
      </c>
      <c r="B16">
        <f>B13-B14-B15</f>
        <v>725.9439352617369</v>
      </c>
      <c r="C16">
        <f>CP!B16-B16</f>
        <v>48.249613124716916</v>
      </c>
    </row>
    <row r="18" spans="1:2">
      <c r="A18" t="s">
        <v>9</v>
      </c>
      <c r="B18" s="1">
        <f>(B10-B11*F13-B3)/(2*B11*(F14+1)+B4)</f>
        <v>19.088937093275486</v>
      </c>
    </row>
    <row r="19" spans="1:2">
      <c r="A19" t="s">
        <v>10</v>
      </c>
      <c r="B19" s="1">
        <f>F13+B18*F14</f>
        <v>9.9576490032021496</v>
      </c>
    </row>
    <row r="20" spans="1:2">
      <c r="A20" t="s">
        <v>11</v>
      </c>
      <c r="B20">
        <f>SUM(B18:B19)+B5</f>
        <v>29.046586096477636</v>
      </c>
    </row>
    <row r="21" spans="1:2">
      <c r="A21" t="s">
        <v>16</v>
      </c>
      <c r="B21">
        <f>B10-B11*B20</f>
        <v>20.953413903522364</v>
      </c>
    </row>
    <row r="23" spans="1:2">
      <c r="A23" t="s">
        <v>17</v>
      </c>
      <c r="B23">
        <f>B18*$B$21-B14</f>
        <v>199.97934097717177</v>
      </c>
    </row>
    <row r="24" spans="1:2">
      <c r="A24" t="s">
        <v>18</v>
      </c>
      <c r="B24">
        <f>B19*$B$21-B15</f>
        <v>104.1125123545214</v>
      </c>
    </row>
    <row r="25" spans="1:2">
      <c r="A25" t="s">
        <v>19</v>
      </c>
      <c r="B25">
        <f>SUM(B23:B24)</f>
        <v>304.09185333169319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2" sqref="D2"/>
    </sheetView>
  </sheetViews>
  <sheetFormatPr baseColWidth="10" defaultRowHeight="15" x14ac:dyDescent="0"/>
  <cols>
    <col min="2" max="2" width="12.1640625" bestFit="1" customWidth="1"/>
  </cols>
  <sheetData>
    <row r="1" spans="1:10">
      <c r="D1" t="s">
        <v>41</v>
      </c>
    </row>
    <row r="2" spans="1:10">
      <c r="A2" t="s">
        <v>2</v>
      </c>
      <c r="B2">
        <v>0</v>
      </c>
    </row>
    <row r="3" spans="1:10">
      <c r="A3" t="s">
        <v>0</v>
      </c>
      <c r="B3">
        <v>10</v>
      </c>
    </row>
    <row r="4" spans="1:10">
      <c r="A4" t="s">
        <v>1</v>
      </c>
      <c r="B4">
        <v>0.05</v>
      </c>
    </row>
    <row r="5" spans="1:10">
      <c r="A5" t="s">
        <v>15</v>
      </c>
      <c r="B5">
        <v>0</v>
      </c>
    </row>
    <row r="6" spans="1:10">
      <c r="A6" t="s">
        <v>3</v>
      </c>
      <c r="B6">
        <v>0</v>
      </c>
    </row>
    <row r="7" spans="1:10">
      <c r="A7" t="s">
        <v>4</v>
      </c>
      <c r="B7">
        <v>10</v>
      </c>
    </row>
    <row r="8" spans="1:10">
      <c r="A8" t="s">
        <v>5</v>
      </c>
      <c r="B8">
        <v>0.1</v>
      </c>
    </row>
    <row r="9" spans="1:10">
      <c r="F9">
        <f>2*B11+B4</f>
        <v>2.0499999999999998</v>
      </c>
      <c r="G9">
        <f>2*B11</f>
        <v>2</v>
      </c>
      <c r="H9">
        <f>B18</f>
        <v>13.114875338714443</v>
      </c>
      <c r="I9">
        <f>F9*H$9+G9*H$10</f>
        <v>40.000012511435436</v>
      </c>
      <c r="J9">
        <f>B10-B3</f>
        <v>40</v>
      </c>
    </row>
    <row r="10" spans="1:10">
      <c r="A10" t="s">
        <v>7</v>
      </c>
      <c r="B10">
        <v>50</v>
      </c>
      <c r="F10">
        <f>G9</f>
        <v>2</v>
      </c>
      <c r="G10">
        <f>2*B11+B8</f>
        <v>2.1</v>
      </c>
      <c r="H10">
        <f>B19</f>
        <v>6.5572590335354146</v>
      </c>
      <c r="I10">
        <f>F10*H$9+G10*H$10</f>
        <v>39.999994647853256</v>
      </c>
      <c r="J10">
        <f>B10-B7</f>
        <v>40</v>
      </c>
    </row>
    <row r="11" spans="1:10">
      <c r="A11" t="s">
        <v>6</v>
      </c>
      <c r="B11">
        <f>(B10-B3)/40</f>
        <v>1</v>
      </c>
    </row>
    <row r="13" spans="1:10">
      <c r="A13" t="s">
        <v>14</v>
      </c>
      <c r="B13">
        <f>B10*B20-0.5*B11*B20^2</f>
        <v>790.11028323256573</v>
      </c>
    </row>
    <row r="14" spans="1:10">
      <c r="A14" t="s">
        <v>12</v>
      </c>
      <c r="B14">
        <f>B2+B3*B18+0.5*B4*B18^2</f>
        <v>135.44875226589494</v>
      </c>
    </row>
    <row r="15" spans="1:10">
      <c r="A15" t="s">
        <v>13</v>
      </c>
      <c r="B15">
        <f>B6+B7*B19+0.5*B8*B19^2</f>
        <v>67.722472636998233</v>
      </c>
    </row>
    <row r="16" spans="1:10">
      <c r="A16" t="s">
        <v>8</v>
      </c>
      <c r="B16">
        <f>B13-B14-B15</f>
        <v>586.93905832967266</v>
      </c>
      <c r="C16">
        <f>CP!B16-B16</f>
        <v>187.25449005678115</v>
      </c>
    </row>
    <row r="18" spans="1:2">
      <c r="A18" t="s">
        <v>9</v>
      </c>
      <c r="B18" s="1">
        <v>13.114875338714443</v>
      </c>
    </row>
    <row r="19" spans="1:2">
      <c r="A19" t="s">
        <v>10</v>
      </c>
      <c r="B19" s="1">
        <v>6.5572590335354146</v>
      </c>
    </row>
    <row r="20" spans="1:2">
      <c r="A20" t="s">
        <v>11</v>
      </c>
      <c r="B20">
        <f>SUM(B18:B19)+B5</f>
        <v>19.672134372249857</v>
      </c>
    </row>
    <row r="21" spans="1:2">
      <c r="A21" t="s">
        <v>16</v>
      </c>
      <c r="B21">
        <f>B10-B11*B20</f>
        <v>30.327865627750143</v>
      </c>
    </row>
    <row r="23" spans="1:2">
      <c r="A23" t="s">
        <v>17</v>
      </c>
      <c r="B23">
        <f>B18*$B$21-B14</f>
        <v>262.29742473133081</v>
      </c>
    </row>
    <row r="24" spans="1:2">
      <c r="A24" t="s">
        <v>18</v>
      </c>
      <c r="B24">
        <f>B19*$B$21-B15</f>
        <v>131.14519821841458</v>
      </c>
    </row>
    <row r="25" spans="1:2">
      <c r="A25" t="s">
        <v>19</v>
      </c>
      <c r="B25">
        <f>SUM(B23:B24)</f>
        <v>393.44262294974538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2" sqref="D2"/>
    </sheetView>
  </sheetViews>
  <sheetFormatPr baseColWidth="10" defaultRowHeight="15" x14ac:dyDescent="0"/>
  <cols>
    <col min="2" max="2" width="12.1640625" bestFit="1" customWidth="1"/>
  </cols>
  <sheetData>
    <row r="1" spans="1:10">
      <c r="D1" t="s">
        <v>42</v>
      </c>
    </row>
    <row r="2" spans="1:10">
      <c r="A2" t="s">
        <v>2</v>
      </c>
      <c r="B2">
        <v>0</v>
      </c>
    </row>
    <row r="3" spans="1:10">
      <c r="A3" t="s">
        <v>0</v>
      </c>
      <c r="B3">
        <v>10</v>
      </c>
    </row>
    <row r="4" spans="1:10">
      <c r="A4" t="s">
        <v>1</v>
      </c>
      <c r="B4">
        <v>0.05</v>
      </c>
    </row>
    <row r="5" spans="1:10">
      <c r="A5" t="s">
        <v>15</v>
      </c>
      <c r="B5">
        <v>0</v>
      </c>
    </row>
    <row r="6" spans="1:10">
      <c r="A6" t="s">
        <v>3</v>
      </c>
      <c r="B6">
        <v>0</v>
      </c>
      <c r="D6">
        <f>-B4</f>
        <v>-0.05</v>
      </c>
      <c r="E6">
        <v>0</v>
      </c>
      <c r="F6">
        <v>0</v>
      </c>
      <c r="G6">
        <v>1</v>
      </c>
      <c r="H6" s="1">
        <f>B18</f>
        <v>25.806546970376186</v>
      </c>
      <c r="I6">
        <f>D6*H$6+E6*H$7+F6*H$8+G6*H$9</f>
        <v>9.9999886356457122</v>
      </c>
      <c r="J6">
        <f>B3</f>
        <v>10</v>
      </c>
    </row>
    <row r="7" spans="1:10">
      <c r="A7" t="s">
        <v>4</v>
      </c>
      <c r="B7">
        <v>10</v>
      </c>
      <c r="D7">
        <v>0</v>
      </c>
      <c r="E7">
        <f>-B8</f>
        <v>-0.1</v>
      </c>
      <c r="F7">
        <v>0</v>
      </c>
      <c r="G7">
        <v>1</v>
      </c>
      <c r="H7" s="1">
        <f t="shared" ref="H7:H9" si="0">B19</f>
        <v>12.903137045459289</v>
      </c>
      <c r="I7">
        <f>D7*H$6+E7*H$7+F7*H$8+G7*H$9</f>
        <v>10.000002279618593</v>
      </c>
      <c r="J7">
        <f>B7</f>
        <v>10</v>
      </c>
    </row>
    <row r="8" spans="1:10">
      <c r="A8" t="s">
        <v>5</v>
      </c>
      <c r="B8">
        <v>0.1</v>
      </c>
      <c r="D8">
        <v>0</v>
      </c>
      <c r="E8">
        <v>0</v>
      </c>
      <c r="F8">
        <v>1</v>
      </c>
      <c r="G8">
        <v>1</v>
      </c>
      <c r="H8" s="1">
        <f t="shared" si="0"/>
        <v>38.709684015835478</v>
      </c>
      <c r="I8">
        <f>D8*H$6+E8*H$7+F8*H$8+G8*H$9</f>
        <v>50</v>
      </c>
      <c r="J8">
        <f>B10</f>
        <v>50</v>
      </c>
    </row>
    <row r="9" spans="1:10">
      <c r="D9">
        <v>1</v>
      </c>
      <c r="E9">
        <v>1</v>
      </c>
      <c r="F9">
        <v>-1</v>
      </c>
      <c r="G9">
        <v>0</v>
      </c>
      <c r="H9" s="1">
        <f t="shared" si="0"/>
        <v>11.290315984164522</v>
      </c>
      <c r="I9">
        <f>D9*H$6+E9*H$7+F9*H$8+G9*H$9</f>
        <v>0</v>
      </c>
      <c r="J9">
        <v>0</v>
      </c>
    </row>
    <row r="10" spans="1:10">
      <c r="A10" t="s">
        <v>7</v>
      </c>
      <c r="B10">
        <v>50</v>
      </c>
    </row>
    <row r="11" spans="1:10">
      <c r="A11" t="s">
        <v>6</v>
      </c>
      <c r="B11">
        <f>(B10-B3)/40</f>
        <v>1</v>
      </c>
      <c r="H11">
        <v>25.8065</v>
      </c>
    </row>
    <row r="12" spans="1:10">
      <c r="H12">
        <v>12.9032</v>
      </c>
    </row>
    <row r="13" spans="1:10">
      <c r="A13" t="s">
        <v>14</v>
      </c>
      <c r="B13">
        <f>B10*B20-0.5*B11*B20^2</f>
        <v>1186.2643824888596</v>
      </c>
      <c r="H13">
        <v>38.709699999999998</v>
      </c>
    </row>
    <row r="14" spans="1:10">
      <c r="A14" t="s">
        <v>12</v>
      </c>
      <c r="B14">
        <f>B2+B3*B18+0.5*B4*B18^2</f>
        <v>274.71491636711767</v>
      </c>
      <c r="H14">
        <v>11.2903</v>
      </c>
    </row>
    <row r="15" spans="1:10">
      <c r="A15" t="s">
        <v>13</v>
      </c>
      <c r="B15">
        <f>B6+B7*B19+0.5*B8*B19^2</f>
        <v>137.35591773528807</v>
      </c>
    </row>
    <row r="16" spans="1:10">
      <c r="A16" t="s">
        <v>8</v>
      </c>
      <c r="B16">
        <f>B13-B14-B15</f>
        <v>774.19354838645381</v>
      </c>
      <c r="C16">
        <f>CP!B16-B16</f>
        <v>0</v>
      </c>
      <c r="D16" t="s">
        <v>29</v>
      </c>
    </row>
    <row r="18" spans="1:2">
      <c r="A18" t="s">
        <v>9</v>
      </c>
      <c r="B18" s="1">
        <v>25.806546970376186</v>
      </c>
    </row>
    <row r="19" spans="1:2">
      <c r="A19" t="s">
        <v>10</v>
      </c>
      <c r="B19" s="1">
        <v>12.903137045459289</v>
      </c>
    </row>
    <row r="20" spans="1:2">
      <c r="A20" t="s">
        <v>11</v>
      </c>
      <c r="B20">
        <f>SUM(B18:B19)+B5</f>
        <v>38.709684015835478</v>
      </c>
    </row>
    <row r="21" spans="1:2">
      <c r="A21" t="s">
        <v>16</v>
      </c>
      <c r="B21">
        <f>B10-B11*B20</f>
        <v>11.290315984164522</v>
      </c>
    </row>
    <row r="23" spans="1:2">
      <c r="A23" t="s">
        <v>17</v>
      </c>
      <c r="B23">
        <f>B18*$B$21-B14</f>
        <v>16.649153388613115</v>
      </c>
    </row>
    <row r="24" spans="1:2">
      <c r="A24" t="s">
        <v>18</v>
      </c>
      <c r="B24">
        <f>B19*$B$21-B15</f>
        <v>8.3245766949263214</v>
      </c>
    </row>
    <row r="25" spans="1:2">
      <c r="A25" t="s">
        <v>19</v>
      </c>
      <c r="B25">
        <f>SUM(B23:B24)</f>
        <v>24.973730083539436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28" sqref="H28"/>
    </sheetView>
  </sheetViews>
  <sheetFormatPr baseColWidth="10" defaultRowHeight="15" x14ac:dyDescent="0"/>
  <cols>
    <col min="2" max="3" width="12.83203125" bestFit="1" customWidth="1"/>
    <col min="4" max="6" width="12" bestFit="1" customWidth="1"/>
    <col min="7" max="8" width="11" bestFit="1" customWidth="1"/>
    <col min="9" max="12" width="11" customWidth="1"/>
    <col min="13" max="13" width="11.5" bestFit="1" customWidth="1"/>
  </cols>
  <sheetData>
    <row r="1" spans="1:13">
      <c r="A1" t="s">
        <v>30</v>
      </c>
    </row>
    <row r="2" spans="1:13">
      <c r="B2" t="s">
        <v>31</v>
      </c>
      <c r="C2" t="s">
        <v>35</v>
      </c>
      <c r="D2" t="s">
        <v>36</v>
      </c>
      <c r="E2" t="s">
        <v>33</v>
      </c>
      <c r="F2" t="s">
        <v>26</v>
      </c>
      <c r="G2" t="s">
        <v>32</v>
      </c>
    </row>
    <row r="3" spans="1:13">
      <c r="A3" t="str">
        <f>CP!A13</f>
        <v>B</v>
      </c>
      <c r="B3" s="2">
        <f>CP!$B$13</f>
        <v>1186.2643824888596</v>
      </c>
      <c r="C3" s="2">
        <f>S!$B$13</f>
        <v>1026.2337206100815</v>
      </c>
      <c r="D3" s="2">
        <f>'S2'!$B$13</f>
        <v>1030.4772228938377</v>
      </c>
      <c r="E3" s="2">
        <f>RE!$B$13</f>
        <v>997.20740216763522</v>
      </c>
      <c r="F3" s="2">
        <f>N!$B$13</f>
        <v>962.50799000041707</v>
      </c>
      <c r="G3" s="2">
        <f>M!$B$13</f>
        <v>790.11028323256573</v>
      </c>
    </row>
    <row r="4" spans="1:13">
      <c r="A4" t="str">
        <f>CP!A14</f>
        <v>cp1</v>
      </c>
      <c r="B4" s="2">
        <f>CP!$B$14</f>
        <v>274.71491636711767</v>
      </c>
      <c r="C4" s="2">
        <f>S!$B$14</f>
        <v>109.0593808861542</v>
      </c>
      <c r="D4" s="2">
        <f>'S2'!$B$14</f>
        <v>199.9990589165306</v>
      </c>
      <c r="E4" s="2">
        <f>RE!$B$14</f>
        <v>154.11143618149845</v>
      </c>
      <c r="F4" s="2">
        <f>N!$B$14</f>
        <v>137.56255485968114</v>
      </c>
      <c r="G4" s="2">
        <f>M!$B$14</f>
        <v>135.44875226589494</v>
      </c>
    </row>
    <row r="5" spans="1:13">
      <c r="A5" t="str">
        <f>CP!A15</f>
        <v>cp2</v>
      </c>
      <c r="B5" s="2">
        <f>CP!$B$15</f>
        <v>137.35591773528807</v>
      </c>
      <c r="C5" s="2">
        <f>S!$B$15</f>
        <v>198.81329374508866</v>
      </c>
      <c r="D5" s="2">
        <f>'S2'!$B$15</f>
        <v>104.53422871557014</v>
      </c>
      <c r="E5" s="2">
        <f>RE!$B$15</f>
        <v>134.56444769744763</v>
      </c>
      <c r="F5" s="2">
        <f>N!$B$15</f>
        <v>135.1548926882989</v>
      </c>
      <c r="G5" s="2">
        <f>M!$B$15</f>
        <v>67.722472636998233</v>
      </c>
    </row>
    <row r="6" spans="1:13">
      <c r="A6" t="s">
        <v>34</v>
      </c>
      <c r="B6" s="2">
        <f>B4+B5</f>
        <v>412.07083410240574</v>
      </c>
      <c r="C6" s="2">
        <f t="shared" ref="C6" si="0">C4+C5</f>
        <v>307.87267463124283</v>
      </c>
      <c r="D6" s="2">
        <f>D4+D5</f>
        <v>304.53328763210072</v>
      </c>
      <c r="E6" s="2">
        <f>E4+E5</f>
        <v>288.67588387894608</v>
      </c>
      <c r="F6" s="2">
        <f>F4+F5</f>
        <v>272.71744754798004</v>
      </c>
      <c r="G6" s="2">
        <f>G4+G5</f>
        <v>203.17122490289319</v>
      </c>
    </row>
    <row r="7" spans="1:13">
      <c r="A7" t="str">
        <f>CP!A16</f>
        <v>SW</v>
      </c>
      <c r="B7" s="2">
        <f>CP!$B$16</f>
        <v>774.19354838645381</v>
      </c>
      <c r="C7" s="2">
        <f>S!$B$16</f>
        <v>718.36104597883855</v>
      </c>
      <c r="D7" s="2">
        <f>'S2'!$B$16</f>
        <v>725.9439352617369</v>
      </c>
      <c r="E7" s="2">
        <f>RE!$B$16</f>
        <v>708.53151828868909</v>
      </c>
      <c r="F7" s="2">
        <f>N!$B$16</f>
        <v>689.79054245243708</v>
      </c>
      <c r="G7" s="2">
        <f>M!$B$16</f>
        <v>586.93905832967266</v>
      </c>
    </row>
    <row r="8" spans="1:13">
      <c r="A8" t="str">
        <f>CP!A18</f>
        <v>x1</v>
      </c>
      <c r="B8" s="2">
        <f>CP!$B$18</f>
        <v>25.806546970376186</v>
      </c>
      <c r="C8" s="2">
        <f>S!$B$18</f>
        <v>10.623776519760863</v>
      </c>
      <c r="D8" s="2">
        <f>'S2'!$B$18</f>
        <v>19.088937093275486</v>
      </c>
      <c r="E8" s="2">
        <f>RE!$B$18</f>
        <v>14.859157233895754</v>
      </c>
      <c r="F8" s="2">
        <f>N!$B$18</f>
        <v>13.313155230490288</v>
      </c>
      <c r="G8" s="2">
        <f>M!$B$18</f>
        <v>13.114875338714443</v>
      </c>
    </row>
    <row r="9" spans="1:13">
      <c r="A9" t="str">
        <f>CP!A19</f>
        <v>x2</v>
      </c>
      <c r="B9" s="2">
        <f>CP!$B$19</f>
        <v>12.903137045459289</v>
      </c>
      <c r="C9" s="2">
        <f>S!$B$19</f>
        <v>18.221258134490235</v>
      </c>
      <c r="D9" s="2">
        <f>'S2'!$B$19</f>
        <v>9.9576490032021496</v>
      </c>
      <c r="E9" s="2">
        <f>RE!$B$19</f>
        <v>12.655621049057968</v>
      </c>
      <c r="F9" s="2">
        <f>N!$B$19</f>
        <v>12.708020361312256</v>
      </c>
      <c r="G9" s="2">
        <f>M!$B$19</f>
        <v>6.5572590335354146</v>
      </c>
    </row>
    <row r="10" spans="1:13">
      <c r="A10" t="str">
        <f>CP!A20</f>
        <v>x1+x2=</v>
      </c>
      <c r="B10" s="2">
        <f>CP!$B$20</f>
        <v>38.709684015835478</v>
      </c>
      <c r="C10" s="2">
        <f>S!$B$20</f>
        <v>28.845034654251098</v>
      </c>
      <c r="D10" s="2">
        <f>'S2'!$B$20</f>
        <v>29.046586096477636</v>
      </c>
      <c r="E10" s="2">
        <f>RE!$B$20</f>
        <v>27.514778282953721</v>
      </c>
      <c r="F10" s="2">
        <f>N!$B$20</f>
        <v>26.021175591802546</v>
      </c>
      <c r="G10" s="2">
        <f>M!$B$20</f>
        <v>19.672134372249857</v>
      </c>
    </row>
    <row r="11" spans="1:13">
      <c r="A11" t="str">
        <f>CP!A21</f>
        <v>LAMBDA</v>
      </c>
      <c r="B11" s="2">
        <f>CP!$B$21</f>
        <v>11.290315984164522</v>
      </c>
      <c r="C11" s="2">
        <f>S!$B$21</f>
        <v>21.154965345748902</v>
      </c>
      <c r="D11" s="2">
        <f>'S2'!$B$21</f>
        <v>20.953413903522364</v>
      </c>
      <c r="E11" s="2">
        <f>RE!$B$21</f>
        <v>22.485221717046279</v>
      </c>
      <c r="F11" s="2">
        <f>N!$B$21</f>
        <v>23.978824408197454</v>
      </c>
      <c r="G11" s="2">
        <f>M!$B$21</f>
        <v>30.327865627750143</v>
      </c>
    </row>
    <row r="12" spans="1:13">
      <c r="A12" t="s">
        <v>20</v>
      </c>
      <c r="B12" s="2">
        <f t="shared" ref="B12:G12" si="1">B7-$B$7</f>
        <v>0</v>
      </c>
      <c r="C12" s="2">
        <f t="shared" si="1"/>
        <v>-55.832502407615266</v>
      </c>
      <c r="D12" s="2">
        <f t="shared" si="1"/>
        <v>-48.249613124716916</v>
      </c>
      <c r="E12" s="2">
        <f t="shared" si="1"/>
        <v>-65.662030097764728</v>
      </c>
      <c r="F12" s="2">
        <f t="shared" si="1"/>
        <v>-84.403005934016733</v>
      </c>
      <c r="G12" s="2">
        <f t="shared" si="1"/>
        <v>-187.25449005678115</v>
      </c>
    </row>
    <row r="15" spans="1:13">
      <c r="D15" t="s">
        <v>14</v>
      </c>
      <c r="E15" t="s">
        <v>12</v>
      </c>
      <c r="F15" t="s">
        <v>13</v>
      </c>
      <c r="G15" t="s">
        <v>34</v>
      </c>
      <c r="H15" t="s">
        <v>8</v>
      </c>
      <c r="I15" t="s">
        <v>9</v>
      </c>
      <c r="J15" t="s">
        <v>10</v>
      </c>
      <c r="K15" t="s">
        <v>11</v>
      </c>
      <c r="L15" t="s">
        <v>16</v>
      </c>
      <c r="M15" t="s">
        <v>20</v>
      </c>
    </row>
    <row r="20" spans="3:13">
      <c r="C20" t="s">
        <v>32</v>
      </c>
      <c r="D20" s="3">
        <v>790.11028323256573</v>
      </c>
      <c r="E20" s="3">
        <v>135.44875226589494</v>
      </c>
      <c r="F20" s="3">
        <v>67.722472636998233</v>
      </c>
      <c r="G20" s="3">
        <v>203.17122490289319</v>
      </c>
      <c r="H20" s="3">
        <v>586.93905832967266</v>
      </c>
      <c r="I20" s="3">
        <v>13.114875338714443</v>
      </c>
      <c r="J20" s="3">
        <v>6.5572590335354146</v>
      </c>
      <c r="K20" s="3">
        <v>19.672134372249857</v>
      </c>
      <c r="L20" s="3">
        <v>30.327865627750143</v>
      </c>
      <c r="M20" s="3">
        <v>-187.25449005678115</v>
      </c>
    </row>
    <row r="21" spans="3:13">
      <c r="C21" t="s">
        <v>26</v>
      </c>
      <c r="D21" s="3">
        <v>962.50799000041707</v>
      </c>
      <c r="E21" s="3">
        <v>137.56255485968114</v>
      </c>
      <c r="F21" s="3">
        <v>135.1548926882989</v>
      </c>
      <c r="G21" s="3">
        <v>272.71744754798004</v>
      </c>
      <c r="H21" s="3">
        <v>689.79054245243708</v>
      </c>
      <c r="I21" s="3">
        <v>13.313155230490288</v>
      </c>
      <c r="J21" s="3">
        <v>12.708020361312256</v>
      </c>
      <c r="K21" s="3">
        <v>26.021175591802546</v>
      </c>
      <c r="L21" s="3">
        <v>23.978824408197454</v>
      </c>
      <c r="M21" s="3">
        <v>-84.403005934016733</v>
      </c>
    </row>
    <row r="22" spans="3:13">
      <c r="C22" t="s">
        <v>33</v>
      </c>
      <c r="D22" s="3">
        <v>997.20740216763522</v>
      </c>
      <c r="E22" s="3">
        <v>154.11143618149845</v>
      </c>
      <c r="F22" s="3">
        <v>134.56444769744763</v>
      </c>
      <c r="G22" s="3">
        <v>288.67588387894608</v>
      </c>
      <c r="H22" s="3">
        <v>708.53151828868909</v>
      </c>
      <c r="I22" s="3">
        <v>14.859157233895754</v>
      </c>
      <c r="J22" s="3">
        <v>12.655621049057968</v>
      </c>
      <c r="K22" s="3">
        <v>27.514778282953721</v>
      </c>
      <c r="L22" s="3">
        <v>22.485221717046279</v>
      </c>
      <c r="M22" s="3">
        <v>-65.662030097764728</v>
      </c>
    </row>
    <row r="23" spans="3:13">
      <c r="C23" t="str">
        <f>C2</f>
        <v>S P2 AS LEAD</v>
      </c>
      <c r="D23" s="3">
        <v>1026.2337206100815</v>
      </c>
      <c r="E23" s="3">
        <v>190.51293754499551</v>
      </c>
      <c r="F23" s="3">
        <v>111.88099657469975</v>
      </c>
      <c r="G23" s="3">
        <v>302.39393411969525</v>
      </c>
      <c r="H23" s="3">
        <v>723.83978649038613</v>
      </c>
      <c r="I23" s="3">
        <v>18.221258134490235</v>
      </c>
      <c r="J23" s="3">
        <v>10.623776519760863</v>
      </c>
      <c r="K23" s="3">
        <v>28.845034654251098</v>
      </c>
      <c r="L23" s="3">
        <v>21.154965345748902</v>
      </c>
      <c r="M23" s="3">
        <v>-50.353761896067681</v>
      </c>
    </row>
    <row r="24" spans="3:13">
      <c r="C24" t="s">
        <v>36</v>
      </c>
      <c r="D24" s="3">
        <v>1030.4772228938377</v>
      </c>
      <c r="E24" s="3">
        <v>199.9990589165306</v>
      </c>
      <c r="F24" s="3">
        <v>104.53422871557014</v>
      </c>
      <c r="G24" s="3">
        <v>304.53328763210072</v>
      </c>
      <c r="H24" s="3">
        <v>725.9439352617369</v>
      </c>
      <c r="I24" s="3">
        <v>19.088937093275486</v>
      </c>
      <c r="J24" s="3">
        <v>9.9576490032021496</v>
      </c>
      <c r="K24" s="3">
        <v>29.046586096477636</v>
      </c>
      <c r="L24" s="3">
        <v>20.953413903522364</v>
      </c>
      <c r="M24" s="3">
        <v>-48.249613124716916</v>
      </c>
    </row>
    <row r="25" spans="3:13">
      <c r="C25" t="s">
        <v>31</v>
      </c>
      <c r="D25" s="3">
        <v>1186.2643824888596</v>
      </c>
      <c r="E25" s="3">
        <v>274.71491636711767</v>
      </c>
      <c r="F25" s="3">
        <v>137.35591773528807</v>
      </c>
      <c r="G25" s="3">
        <v>412.07083410240574</v>
      </c>
      <c r="H25" s="3">
        <v>774.19354838645381</v>
      </c>
      <c r="I25" s="3">
        <v>25.806546970376186</v>
      </c>
      <c r="J25" s="3">
        <v>12.903137045459289</v>
      </c>
      <c r="K25" s="3">
        <v>38.709684015835478</v>
      </c>
      <c r="L25" s="3">
        <v>11.290315984164522</v>
      </c>
      <c r="M25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</vt:lpstr>
      <vt:lpstr>N</vt:lpstr>
      <vt:lpstr>S</vt:lpstr>
      <vt:lpstr>S2</vt:lpstr>
      <vt:lpstr>M</vt:lpstr>
      <vt:lpstr>CP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 Oliveira</dc:creator>
  <cp:lastModifiedBy>Paulo De Oliveira</cp:lastModifiedBy>
  <dcterms:created xsi:type="dcterms:W3CDTF">2019-04-05T00:32:47Z</dcterms:created>
  <dcterms:modified xsi:type="dcterms:W3CDTF">2019-04-05T04:40:20Z</dcterms:modified>
</cp:coreProperties>
</file>