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600" windowHeight="14960" firstSheet="5" activeTab="11"/>
  </bookViews>
  <sheets>
    <sheet name="R4" sheetId="39" r:id="rId1"/>
    <sheet name="R3" sheetId="38" r:id="rId2"/>
    <sheet name="R2" sheetId="37" r:id="rId3"/>
    <sheet name="4" sheetId="35" r:id="rId4"/>
    <sheet name="HTC CP4" sheetId="34" r:id="rId5"/>
    <sheet name="3" sheetId="36" r:id="rId6"/>
    <sheet name="HTC CP3" sheetId="33" r:id="rId7"/>
    <sheet name="2" sheetId="32" r:id="rId8"/>
    <sheet name="HTC CP2" sheetId="31" r:id="rId9"/>
    <sheet name="Informe de sensibilidad 2" sheetId="28" r:id="rId10"/>
    <sheet name="1" sheetId="30" r:id="rId11"/>
    <sheet name="HTC CP1" sheetId="11" r:id="rId12"/>
    <sheet name="ResumenGlobal" sheetId="10" r:id="rId13"/>
  </sheets>
  <definedNames>
    <definedName name="solver_adj" localSheetId="11" hidden="1">'HTC CP1'!$C$21:$C$30</definedName>
    <definedName name="solver_adj" localSheetId="8" hidden="1">'HTC CP2'!$C$21:$C$30</definedName>
    <definedName name="solver_adj" localSheetId="6" hidden="1">'HTC CP3'!$C$21:$C$30</definedName>
    <definedName name="solver_adj" localSheetId="4" hidden="1">'HTC CP4'!$C$21:$C$30</definedName>
    <definedName name="solver_cvg" localSheetId="11" hidden="1">0.0001</definedName>
    <definedName name="solver_cvg" localSheetId="8" hidden="1">0.0001</definedName>
    <definedName name="solver_cvg" localSheetId="6" hidden="1">0.0001</definedName>
    <definedName name="solver_cvg" localSheetId="4" hidden="1">0.0001</definedName>
    <definedName name="solver_drv" localSheetId="11" hidden="1">1</definedName>
    <definedName name="solver_drv" localSheetId="8" hidden="1">1</definedName>
    <definedName name="solver_drv" localSheetId="6" hidden="1">1</definedName>
    <definedName name="solver_drv" localSheetId="4" hidden="1">1</definedName>
    <definedName name="solver_est" localSheetId="11" hidden="1">1</definedName>
    <definedName name="solver_est" localSheetId="8" hidden="1">1</definedName>
    <definedName name="solver_est" localSheetId="6" hidden="1">1</definedName>
    <definedName name="solver_est" localSheetId="4" hidden="1">1</definedName>
    <definedName name="solver_itr" localSheetId="11" hidden="1">100</definedName>
    <definedName name="solver_itr" localSheetId="8" hidden="1">100</definedName>
    <definedName name="solver_itr" localSheetId="6" hidden="1">100</definedName>
    <definedName name="solver_itr" localSheetId="4" hidden="1">100</definedName>
    <definedName name="solver_lhs1" localSheetId="11" hidden="1">'HTC CP1'!$G$7:$G$10</definedName>
    <definedName name="solver_lhs1" localSheetId="8" hidden="1">'HTC CP2'!$G$7:$G$10</definedName>
    <definedName name="solver_lhs1" localSheetId="6" hidden="1">'HTC CP3'!$G$7:$G$10</definedName>
    <definedName name="solver_lhs1" localSheetId="4" hidden="1">'HTC CP4'!$G$7:$G$10</definedName>
    <definedName name="solver_lhs2" localSheetId="11" hidden="1">'HTC CP1'!$C$21:$C$28</definedName>
    <definedName name="solver_lhs2" localSheetId="8" hidden="1">'HTC CP2'!$C$21:$C$28</definedName>
    <definedName name="solver_lhs2" localSheetId="6" hidden="1">'HTC CP3'!$C$21:$C$28</definedName>
    <definedName name="solver_lhs2" localSheetId="4" hidden="1">'HTC CP4'!$C$21:$C$28</definedName>
    <definedName name="solver_lhs3" localSheetId="11" hidden="1">'HTC CP1'!$C$21:$C$30</definedName>
    <definedName name="solver_lhs3" localSheetId="8" hidden="1">'HTC CP2'!$C$21:$C$30</definedName>
    <definedName name="solver_lhs3" localSheetId="6" hidden="1">'HTC CP3'!$C$21:$C$30</definedName>
    <definedName name="solver_lhs3" localSheetId="4" hidden="1">'HTC CP4'!$C$21:$C$30</definedName>
    <definedName name="solver_lhs4" localSheetId="11" hidden="1">'HTC CP1'!$G$13:$G$14</definedName>
    <definedName name="solver_lhs4" localSheetId="8" hidden="1">'HTC CP2'!$G$13:$G$14</definedName>
    <definedName name="solver_lhs4" localSheetId="6" hidden="1">'HTC CP3'!$G$13:$G$14</definedName>
    <definedName name="solver_lhs4" localSheetId="4" hidden="1">'HTC CP4'!$G$13:$G$14</definedName>
    <definedName name="solver_lhs5" localSheetId="11" hidden="1">'HTC CP1'!$G$18:$G$19</definedName>
    <definedName name="solver_lhs5" localSheetId="8" hidden="1">'HTC CP2'!$G$18:$G$19</definedName>
    <definedName name="solver_lhs5" localSheetId="6" hidden="1">'HTC CP3'!$G$18:$G$19</definedName>
    <definedName name="solver_lhs5" localSheetId="4" hidden="1">'HTC CP4'!$G$18:$G$19</definedName>
    <definedName name="solver_lhs6" localSheetId="11" hidden="1">'HTC CP1'!$G$11:$G$12</definedName>
    <definedName name="solver_lhs6" localSheetId="8" hidden="1">'HTC CP2'!$G$11:$G$12</definedName>
    <definedName name="solver_lhs6" localSheetId="6" hidden="1">'HTC CP3'!$G$11:$G$12</definedName>
    <definedName name="solver_lhs6" localSheetId="4" hidden="1">'HTC CP4'!$G$11:$G$12</definedName>
    <definedName name="solver_lin" localSheetId="11" hidden="1">2</definedName>
    <definedName name="solver_lin" localSheetId="8" hidden="1">2</definedName>
    <definedName name="solver_lin" localSheetId="6" hidden="1">2</definedName>
    <definedName name="solver_lin" localSheetId="4" hidden="1">2</definedName>
    <definedName name="solver_neg" localSheetId="11" hidden="1">2</definedName>
    <definedName name="solver_neg" localSheetId="8" hidden="1">2</definedName>
    <definedName name="solver_neg" localSheetId="6" hidden="1">2</definedName>
    <definedName name="solver_neg" localSheetId="4" hidden="1">2</definedName>
    <definedName name="solver_num" localSheetId="11" hidden="1">4</definedName>
    <definedName name="solver_num" localSheetId="8" hidden="1">4</definedName>
    <definedName name="solver_num" localSheetId="6" hidden="1">4</definedName>
    <definedName name="solver_num" localSheetId="4" hidden="1">4</definedName>
    <definedName name="solver_nwt" localSheetId="11" hidden="1">1</definedName>
    <definedName name="solver_nwt" localSheetId="8" hidden="1">1</definedName>
    <definedName name="solver_nwt" localSheetId="6" hidden="1">1</definedName>
    <definedName name="solver_nwt" localSheetId="4" hidden="1">1</definedName>
    <definedName name="solver_opt" localSheetId="8" hidden="1">'HTC CP2'!$G$5</definedName>
    <definedName name="solver_opt" localSheetId="6" hidden="1">'HTC CP3'!$G$5</definedName>
    <definedName name="solver_opt" localSheetId="4" hidden="1">'HTC CP4'!$G$5</definedName>
    <definedName name="solver_pre" localSheetId="11" hidden="1">0.000001</definedName>
    <definedName name="solver_pre" localSheetId="8" hidden="1">0.000001</definedName>
    <definedName name="solver_pre" localSheetId="6" hidden="1">0.000001</definedName>
    <definedName name="solver_pre" localSheetId="4" hidden="1">0.000001</definedName>
    <definedName name="solver_rel1" localSheetId="11" hidden="1">2</definedName>
    <definedName name="solver_rel1" localSheetId="8" hidden="1">2</definedName>
    <definedName name="solver_rel1" localSheetId="6" hidden="1">2</definedName>
    <definedName name="solver_rel1" localSheetId="4" hidden="1">2</definedName>
    <definedName name="solver_rel2" localSheetId="11" hidden="1">1</definedName>
    <definedName name="solver_rel2" localSheetId="8" hidden="1">1</definedName>
    <definedName name="solver_rel2" localSheetId="6" hidden="1">1</definedName>
    <definedName name="solver_rel2" localSheetId="4" hidden="1">1</definedName>
    <definedName name="solver_rel3" localSheetId="11" hidden="1">3</definedName>
    <definedName name="solver_rel3" localSheetId="8" hidden="1">3</definedName>
    <definedName name="solver_rel3" localSheetId="6" hidden="1">3</definedName>
    <definedName name="solver_rel3" localSheetId="4" hidden="1">3</definedName>
    <definedName name="solver_rel4" localSheetId="11" hidden="1">1</definedName>
    <definedName name="solver_rel4" localSheetId="8" hidden="1">1</definedName>
    <definedName name="solver_rel4" localSheetId="6" hidden="1">1</definedName>
    <definedName name="solver_rel4" localSheetId="4" hidden="1">1</definedName>
    <definedName name="solver_rel5" localSheetId="11" hidden="1">2</definedName>
    <definedName name="solver_rel5" localSheetId="8" hidden="1">2</definedName>
    <definedName name="solver_rel5" localSheetId="6" hidden="1">2</definedName>
    <definedName name="solver_rel5" localSheetId="4" hidden="1">2</definedName>
    <definedName name="solver_rel6" localSheetId="11" hidden="1">2</definedName>
    <definedName name="solver_rel6" localSheetId="8" hidden="1">2</definedName>
    <definedName name="solver_rel6" localSheetId="6" hidden="1">2</definedName>
    <definedName name="solver_rel6" localSheetId="4" hidden="1">2</definedName>
    <definedName name="solver_rhs1" localSheetId="11" hidden="1">0</definedName>
    <definedName name="solver_rhs1" localSheetId="8" hidden="1">0</definedName>
    <definedName name="solver_rhs1" localSheetId="6" hidden="1">0</definedName>
    <definedName name="solver_rhs1" localSheetId="4" hidden="1">0</definedName>
    <definedName name="solver_rhs2" localSheetId="11" hidden="1">'HTC CP1'!$D$21:$D$28</definedName>
    <definedName name="solver_rhs2" localSheetId="8" hidden="1">'HTC CP2'!$D$21:$D$28</definedName>
    <definedName name="solver_rhs2" localSheetId="6" hidden="1">'HTC CP3'!$D$21:$D$28</definedName>
    <definedName name="solver_rhs2" localSheetId="4" hidden="1">'HTC CP4'!$D$21:$D$28</definedName>
    <definedName name="solver_rhs3" localSheetId="11" hidden="1">'HTC CP1'!$A$21:$A$30</definedName>
    <definedName name="solver_rhs3" localSheetId="8" hidden="1">'HTC CP2'!$A$21:$A$30</definedName>
    <definedName name="solver_rhs3" localSheetId="6" hidden="1">'HTC CP3'!$A$21:$A$30</definedName>
    <definedName name="solver_rhs3" localSheetId="4" hidden="1">'HTC CP4'!$A$21:$A$30</definedName>
    <definedName name="solver_rhs4" localSheetId="11" hidden="1">22</definedName>
    <definedName name="solver_rhs4" localSheetId="8" hidden="1">22</definedName>
    <definedName name="solver_rhs4" localSheetId="6" hidden="1">22</definedName>
    <definedName name="solver_rhs4" localSheetId="4" hidden="1">22</definedName>
    <definedName name="solver_rhs5" localSheetId="11" hidden="1">0</definedName>
    <definedName name="solver_rhs5" localSheetId="8" hidden="1">0</definedName>
    <definedName name="solver_rhs5" localSheetId="6" hidden="1">0</definedName>
    <definedName name="solver_rhs5" localSheetId="4" hidden="1">0</definedName>
    <definedName name="solver_rhs6" localSheetId="11" hidden="1">0</definedName>
    <definedName name="solver_rhs6" localSheetId="8" hidden="1">0</definedName>
    <definedName name="solver_rhs6" localSheetId="6" hidden="1">0</definedName>
    <definedName name="solver_rhs6" localSheetId="4" hidden="1">0</definedName>
    <definedName name="solver_scl" localSheetId="11" hidden="1">2</definedName>
    <definedName name="solver_scl" localSheetId="8" hidden="1">2</definedName>
    <definedName name="solver_scl" localSheetId="6" hidden="1">2</definedName>
    <definedName name="solver_scl" localSheetId="4" hidden="1">2</definedName>
    <definedName name="solver_sho" localSheetId="11" hidden="1">2</definedName>
    <definedName name="solver_sho" localSheetId="8" hidden="1">2</definedName>
    <definedName name="solver_sho" localSheetId="6" hidden="1">2</definedName>
    <definedName name="solver_sho" localSheetId="4" hidden="1">2</definedName>
    <definedName name="solver_tim" localSheetId="11" hidden="1">100</definedName>
    <definedName name="solver_tim" localSheetId="8" hidden="1">100</definedName>
    <definedName name="solver_tim" localSheetId="6" hidden="1">100</definedName>
    <definedName name="solver_tim" localSheetId="4" hidden="1">100</definedName>
    <definedName name="solver_tol" localSheetId="11" hidden="1">0.05</definedName>
    <definedName name="solver_tol" localSheetId="8" hidden="1">0.05</definedName>
    <definedName name="solver_tol" localSheetId="6" hidden="1">0.05</definedName>
    <definedName name="solver_tol" localSheetId="4" hidden="1">0.05</definedName>
    <definedName name="solver_typ" localSheetId="11" hidden="1">2</definedName>
    <definedName name="solver_typ" localSheetId="8" hidden="1">2</definedName>
    <definedName name="solver_typ" localSheetId="6" hidden="1">2</definedName>
    <definedName name="solver_typ" localSheetId="4" hidden="1">2</definedName>
    <definedName name="solver_val" localSheetId="11" hidden="1">0</definedName>
    <definedName name="solver_val" localSheetId="8" hidden="1">0</definedName>
    <definedName name="solver_val" localSheetId="6" hidden="1">0</definedName>
    <definedName name="solver_val" localSheetId="4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1" l="1"/>
  <c r="G4" i="34"/>
  <c r="C34" i="33"/>
  <c r="D38" i="33"/>
  <c r="C38" i="33"/>
  <c r="C37" i="33"/>
  <c r="C36" i="33"/>
  <c r="C35" i="33"/>
  <c r="C33" i="33"/>
  <c r="D38" i="11"/>
  <c r="C36" i="11"/>
  <c r="C35" i="11"/>
  <c r="C34" i="11"/>
  <c r="C33" i="11"/>
  <c r="D38" i="31"/>
  <c r="C37" i="31"/>
  <c r="C38" i="31"/>
  <c r="C36" i="31"/>
  <c r="E49" i="10"/>
  <c r="D49" i="10"/>
  <c r="B49" i="37"/>
  <c r="C49" i="10"/>
  <c r="B49" i="10"/>
  <c r="E39" i="10"/>
  <c r="D39" i="10"/>
  <c r="B39" i="37"/>
  <c r="C39" i="10"/>
  <c r="B39" i="10"/>
  <c r="C35" i="31"/>
  <c r="C34" i="31"/>
  <c r="C33" i="31"/>
  <c r="E1" i="10"/>
  <c r="D1" i="10"/>
  <c r="C1" i="10"/>
  <c r="B49" i="39"/>
  <c r="B39" i="39"/>
  <c r="B54" i="39"/>
  <c r="E54" i="10"/>
  <c r="B53" i="39"/>
  <c r="E53" i="10"/>
  <c r="B52" i="39"/>
  <c r="E52" i="10"/>
  <c r="B51" i="39"/>
  <c r="E51" i="10"/>
  <c r="B50" i="39"/>
  <c r="E50" i="10"/>
  <c r="B12" i="34"/>
  <c r="H24" i="34"/>
  <c r="I24" i="34"/>
  <c r="B48" i="39"/>
  <c r="E48" i="10"/>
  <c r="B47" i="39"/>
  <c r="E47" i="10"/>
  <c r="B44" i="39"/>
  <c r="E44" i="10"/>
  <c r="B43" i="39"/>
  <c r="E43" i="10"/>
  <c r="B42" i="39"/>
  <c r="E42" i="10"/>
  <c r="B41" i="39"/>
  <c r="E41" i="10"/>
  <c r="B40" i="39"/>
  <c r="E40" i="10"/>
  <c r="H23" i="34"/>
  <c r="I23" i="34"/>
  <c r="B38" i="39"/>
  <c r="E38" i="10"/>
  <c r="B37" i="39"/>
  <c r="E37" i="10"/>
  <c r="B34" i="39"/>
  <c r="E34" i="10"/>
  <c r="G14" i="34"/>
  <c r="B33" i="39"/>
  <c r="E33" i="10"/>
  <c r="B32" i="39"/>
  <c r="E32" i="10"/>
  <c r="B31" i="39"/>
  <c r="E31" i="10"/>
  <c r="B28" i="39"/>
  <c r="E28" i="10"/>
  <c r="B16" i="34"/>
  <c r="B27" i="39"/>
  <c r="E27" i="10"/>
  <c r="G13" i="34"/>
  <c r="B26" i="39"/>
  <c r="E26" i="10"/>
  <c r="B25" i="39"/>
  <c r="E25" i="10"/>
  <c r="B24" i="39"/>
  <c r="E24" i="10"/>
  <c r="G16" i="34"/>
  <c r="H16" i="34"/>
  <c r="B21" i="39"/>
  <c r="E21" i="10"/>
  <c r="B20" i="39"/>
  <c r="E20" i="10"/>
  <c r="B19" i="39"/>
  <c r="E19" i="10"/>
  <c r="B18" i="39"/>
  <c r="E18" i="10"/>
  <c r="B17" i="39"/>
  <c r="E17" i="10"/>
  <c r="G15" i="34"/>
  <c r="H15" i="34"/>
  <c r="B14" i="39"/>
  <c r="E14" i="10"/>
  <c r="B13" i="39"/>
  <c r="E13" i="10"/>
  <c r="B12" i="39"/>
  <c r="E12" i="10"/>
  <c r="B11" i="39"/>
  <c r="E11" i="10"/>
  <c r="B10" i="39"/>
  <c r="E10" i="10"/>
  <c r="B9" i="34"/>
  <c r="B10" i="34"/>
  <c r="G2" i="34"/>
  <c r="G3" i="34"/>
  <c r="B13" i="34"/>
  <c r="B14" i="34"/>
  <c r="B15" i="34"/>
  <c r="G5" i="34"/>
  <c r="B7" i="39"/>
  <c r="E7" i="10"/>
  <c r="B6" i="39"/>
  <c r="E6" i="10"/>
  <c r="B5" i="39"/>
  <c r="E5" i="10"/>
  <c r="B4" i="39"/>
  <c r="E4" i="10"/>
  <c r="B3" i="39"/>
  <c r="E3" i="10"/>
  <c r="B49" i="38"/>
  <c r="B39" i="38"/>
  <c r="B54" i="38"/>
  <c r="D54" i="10"/>
  <c r="B53" i="38"/>
  <c r="D53" i="10"/>
  <c r="B52" i="38"/>
  <c r="D52" i="10"/>
  <c r="B51" i="38"/>
  <c r="D51" i="10"/>
  <c r="B50" i="38"/>
  <c r="D50" i="10"/>
  <c r="B12" i="33"/>
  <c r="H24" i="33"/>
  <c r="I24" i="33"/>
  <c r="B48" i="38"/>
  <c r="D48" i="10"/>
  <c r="B47" i="38"/>
  <c r="D47" i="10"/>
  <c r="B44" i="38"/>
  <c r="D44" i="10"/>
  <c r="B43" i="38"/>
  <c r="D43" i="10"/>
  <c r="B42" i="38"/>
  <c r="D42" i="10"/>
  <c r="B41" i="38"/>
  <c r="D41" i="10"/>
  <c r="B40" i="38"/>
  <c r="D40" i="10"/>
  <c r="H23" i="33"/>
  <c r="I23" i="33"/>
  <c r="B38" i="38"/>
  <c r="D38" i="10"/>
  <c r="B37" i="38"/>
  <c r="D37" i="10"/>
  <c r="B34" i="38"/>
  <c r="D34" i="10"/>
  <c r="G14" i="33"/>
  <c r="B33" i="38"/>
  <c r="D33" i="10"/>
  <c r="B32" i="38"/>
  <c r="D32" i="10"/>
  <c r="B31" i="38"/>
  <c r="D31" i="10"/>
  <c r="B28" i="38"/>
  <c r="D28" i="10"/>
  <c r="B16" i="33"/>
  <c r="B27" i="38"/>
  <c r="D27" i="10"/>
  <c r="G13" i="33"/>
  <c r="B26" i="38"/>
  <c r="D26" i="10"/>
  <c r="B25" i="38"/>
  <c r="D25" i="10"/>
  <c r="B24" i="38"/>
  <c r="D24" i="10"/>
  <c r="G16" i="33"/>
  <c r="H16" i="33"/>
  <c r="B21" i="38"/>
  <c r="D21" i="10"/>
  <c r="B20" i="38"/>
  <c r="D20" i="10"/>
  <c r="B19" i="38"/>
  <c r="D19" i="10"/>
  <c r="B18" i="38"/>
  <c r="D18" i="10"/>
  <c r="B17" i="38"/>
  <c r="D17" i="10"/>
  <c r="G15" i="33"/>
  <c r="H15" i="33"/>
  <c r="B14" i="38"/>
  <c r="D14" i="10"/>
  <c r="B13" i="38"/>
  <c r="D13" i="10"/>
  <c r="B12" i="38"/>
  <c r="D12" i="10"/>
  <c r="B11" i="38"/>
  <c r="D11" i="10"/>
  <c r="B10" i="38"/>
  <c r="D10" i="10"/>
  <c r="B9" i="33"/>
  <c r="B10" i="33"/>
  <c r="G2" i="33"/>
  <c r="G3" i="33"/>
  <c r="B13" i="33"/>
  <c r="B14" i="33"/>
  <c r="B15" i="33"/>
  <c r="G4" i="33"/>
  <c r="G5" i="33"/>
  <c r="B7" i="38"/>
  <c r="D7" i="10"/>
  <c r="B6" i="38"/>
  <c r="D6" i="10"/>
  <c r="B5" i="38"/>
  <c r="D5" i="10"/>
  <c r="B4" i="38"/>
  <c r="D4" i="10"/>
  <c r="B3" i="38"/>
  <c r="D3" i="10"/>
  <c r="B54" i="37"/>
  <c r="C54" i="10"/>
  <c r="B53" i="37"/>
  <c r="C53" i="10"/>
  <c r="B52" i="37"/>
  <c r="C52" i="10"/>
  <c r="B51" i="37"/>
  <c r="C51" i="10"/>
  <c r="B50" i="37"/>
  <c r="C50" i="10"/>
  <c r="B12" i="31"/>
  <c r="H24" i="31"/>
  <c r="I24" i="31"/>
  <c r="B48" i="37"/>
  <c r="C48" i="10"/>
  <c r="B47" i="37"/>
  <c r="C47" i="10"/>
  <c r="B44" i="37"/>
  <c r="C44" i="10"/>
  <c r="B43" i="37"/>
  <c r="C43" i="10"/>
  <c r="B42" i="37"/>
  <c r="C42" i="10"/>
  <c r="B41" i="37"/>
  <c r="C41" i="10"/>
  <c r="B40" i="37"/>
  <c r="C40" i="10"/>
  <c r="H23" i="31"/>
  <c r="I23" i="31"/>
  <c r="B38" i="37"/>
  <c r="C38" i="10"/>
  <c r="B37" i="37"/>
  <c r="C37" i="10"/>
  <c r="B34" i="37"/>
  <c r="C34" i="10"/>
  <c r="G14" i="31"/>
  <c r="B33" i="37"/>
  <c r="C33" i="10"/>
  <c r="B32" i="37"/>
  <c r="C32" i="10"/>
  <c r="B31" i="37"/>
  <c r="C31" i="10"/>
  <c r="B28" i="37"/>
  <c r="C28" i="10"/>
  <c r="B16" i="31"/>
  <c r="B27" i="37"/>
  <c r="C27" i="10"/>
  <c r="G13" i="31"/>
  <c r="B26" i="37"/>
  <c r="C26" i="10"/>
  <c r="B25" i="37"/>
  <c r="C25" i="10"/>
  <c r="B24" i="37"/>
  <c r="C24" i="10"/>
  <c r="G16" i="31"/>
  <c r="H16" i="31"/>
  <c r="B21" i="37"/>
  <c r="C21" i="10"/>
  <c r="B20" i="37"/>
  <c r="C20" i="10"/>
  <c r="B19" i="37"/>
  <c r="C19" i="10"/>
  <c r="B18" i="37"/>
  <c r="C18" i="10"/>
  <c r="B17" i="37"/>
  <c r="C17" i="10"/>
  <c r="G15" i="31"/>
  <c r="H15" i="31"/>
  <c r="B14" i="37"/>
  <c r="C14" i="10"/>
  <c r="B13" i="37"/>
  <c r="C13" i="10"/>
  <c r="B12" i="37"/>
  <c r="C12" i="10"/>
  <c r="B11" i="37"/>
  <c r="C11" i="10"/>
  <c r="B10" i="37"/>
  <c r="C10" i="10"/>
  <c r="B9" i="31"/>
  <c r="B10" i="31"/>
  <c r="G2" i="31"/>
  <c r="G3" i="31"/>
  <c r="B13" i="31"/>
  <c r="B14" i="31"/>
  <c r="B15" i="31"/>
  <c r="G4" i="31"/>
  <c r="G5" i="31"/>
  <c r="B7" i="37"/>
  <c r="C7" i="10"/>
  <c r="B6" i="37"/>
  <c r="C6" i="10"/>
  <c r="B5" i="37"/>
  <c r="C5" i="10"/>
  <c r="B4" i="37"/>
  <c r="C4" i="10"/>
  <c r="B3" i="37"/>
  <c r="C3" i="10"/>
  <c r="G9" i="34"/>
  <c r="G12" i="34"/>
  <c r="G11" i="34"/>
  <c r="G8" i="34"/>
  <c r="G7" i="34"/>
  <c r="B12" i="11"/>
  <c r="H23" i="11"/>
  <c r="I23" i="11"/>
  <c r="B9" i="11"/>
  <c r="B10" i="11"/>
  <c r="G12" i="33"/>
  <c r="G11" i="33"/>
  <c r="G8" i="33"/>
  <c r="G7" i="33"/>
  <c r="G9" i="31"/>
  <c r="G12" i="31"/>
  <c r="G11" i="31"/>
  <c r="G8" i="31"/>
  <c r="G7" i="31"/>
  <c r="G12" i="11"/>
  <c r="G11" i="11"/>
  <c r="G7" i="11"/>
  <c r="G3" i="11"/>
  <c r="B5" i="10"/>
  <c r="G2" i="11"/>
  <c r="G10" i="11"/>
  <c r="G15" i="11"/>
  <c r="H15" i="11"/>
  <c r="B14" i="10"/>
  <c r="B16" i="11"/>
  <c r="G9" i="11"/>
  <c r="G13" i="11"/>
  <c r="B26" i="10"/>
  <c r="G8" i="11"/>
  <c r="G16" i="11"/>
  <c r="H16" i="11"/>
  <c r="B21" i="10"/>
  <c r="E38" i="11"/>
  <c r="F38" i="11"/>
  <c r="E37" i="11"/>
  <c r="F37" i="11"/>
  <c r="C39" i="11"/>
  <c r="B19" i="10"/>
  <c r="B18" i="10"/>
  <c r="B17" i="10"/>
  <c r="B12" i="10"/>
  <c r="B11" i="10"/>
  <c r="B10" i="10"/>
  <c r="B31" i="10"/>
  <c r="B32" i="10"/>
  <c r="B34" i="10"/>
  <c r="B28" i="10"/>
  <c r="B25" i="10"/>
  <c r="B24" i="10"/>
  <c r="B54" i="10"/>
  <c r="B53" i="10"/>
  <c r="B52" i="10"/>
  <c r="B51" i="10"/>
  <c r="B50" i="10"/>
  <c r="D15" i="11"/>
  <c r="D14" i="11"/>
  <c r="D13" i="11"/>
  <c r="B42" i="10"/>
  <c r="B43" i="10"/>
  <c r="B44" i="10"/>
  <c r="B3" i="10"/>
  <c r="G14" i="11"/>
  <c r="B33" i="10"/>
  <c r="G10" i="33"/>
  <c r="G9" i="33"/>
  <c r="B27" i="10"/>
  <c r="B20" i="10"/>
  <c r="G5" i="11"/>
  <c r="B4" i="10"/>
  <c r="F39" i="11"/>
  <c r="B13" i="10"/>
  <c r="B6" i="10"/>
  <c r="H24" i="11"/>
  <c r="G10" i="34"/>
  <c r="G10" i="31"/>
  <c r="B47" i="10"/>
  <c r="B40" i="10"/>
  <c r="C40" i="11"/>
  <c r="B38" i="10"/>
  <c r="B37" i="10"/>
  <c r="I24" i="11"/>
  <c r="B48" i="10"/>
  <c r="B7" i="10"/>
  <c r="B41" i="10"/>
</calcChain>
</file>

<file path=xl/sharedStrings.xml><?xml version="1.0" encoding="utf-8"?>
<sst xmlns="http://schemas.openxmlformats.org/spreadsheetml/2006/main" count="728" uniqueCount="161">
  <si>
    <t>n1</t>
  </si>
  <si>
    <t>n2</t>
  </si>
  <si>
    <t>Pd1</t>
  </si>
  <si>
    <t>Kf0</t>
  </si>
  <si>
    <t>$/MWh</t>
  </si>
  <si>
    <t>h</t>
  </si>
  <si>
    <t>MW</t>
  </si>
  <si>
    <t>V0</t>
  </si>
  <si>
    <t>Hm3</t>
  </si>
  <si>
    <t>I1</t>
  </si>
  <si>
    <t>Hm3/h</t>
  </si>
  <si>
    <t>V1</t>
  </si>
  <si>
    <t>V2</t>
  </si>
  <si>
    <t>Hm3/MW</t>
  </si>
  <si>
    <t>Ph1</t>
  </si>
  <si>
    <t>Ph2</t>
  </si>
  <si>
    <t>lamda1</t>
  </si>
  <si>
    <t>lamda2</t>
  </si>
  <si>
    <t>Y1</t>
  </si>
  <si>
    <t>Y2</t>
  </si>
  <si>
    <t>s1</t>
  </si>
  <si>
    <t>s2</t>
  </si>
  <si>
    <t>I2</t>
  </si>
  <si>
    <t>Kh0</t>
  </si>
  <si>
    <t>Kh1</t>
  </si>
  <si>
    <t>Kh2</t>
  </si>
  <si>
    <t>Hm3/MW^2</t>
  </si>
  <si>
    <t>b1</t>
  </si>
  <si>
    <t>b2</t>
  </si>
  <si>
    <t>Kf1</t>
  </si>
  <si>
    <t>Kf2</t>
  </si>
  <si>
    <t>Lambdamax</t>
  </si>
  <si>
    <t>md</t>
  </si>
  <si>
    <t>$/MW2h</t>
  </si>
  <si>
    <t>Gen Cost</t>
  </si>
  <si>
    <t>Pg1</t>
  </si>
  <si>
    <t>Pg2</t>
  </si>
  <si>
    <t>alpha</t>
  </si>
  <si>
    <t>gamma1</t>
  </si>
  <si>
    <t>gamma2</t>
  </si>
  <si>
    <t>Blosss</t>
  </si>
  <si>
    <t>Cutility</t>
  </si>
  <si>
    <t>Pd2</t>
  </si>
  <si>
    <t>Water cost</t>
  </si>
  <si>
    <t>lambda1</t>
  </si>
  <si>
    <t>global obj</t>
  </si>
  <si>
    <t>lambda2</t>
  </si>
  <si>
    <t>Celda</t>
  </si>
  <si>
    <t>Nombre</t>
  </si>
  <si>
    <t>Celdas cambiantes</t>
  </si>
  <si>
    <t>Restricciones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</si>
  <si>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</si>
  <si>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</si>
  <si>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</si>
  <si>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</si>
  <si>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</si>
  <si>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</si>
  <si>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</si>
  <si>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</si>
  <si>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</si>
  <si>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</si>
  <si>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$G$7</t>
  </si>
  <si>
    <t>$G$8</t>
  </si>
  <si>
    <t>$G$9</t>
  </si>
  <si>
    <t>$G$10</t>
  </si>
  <si>
    <t>Microsoft Excel 12.0 Informe de sensibilidad</t>
  </si>
  <si>
    <t>Valor</t>
  </si>
  <si>
    <t>Igual</t>
  </si>
  <si>
    <t>Gradiente</t>
  </si>
  <si>
    <t>reducido</t>
  </si>
  <si>
    <t>Multiplicador</t>
  </si>
  <si>
    <t>de Lagrange</t>
  </si>
  <si>
    <t>q1</t>
  </si>
  <si>
    <t>q2</t>
  </si>
  <si>
    <t>Pdo</t>
  </si>
  <si>
    <t>lambda0</t>
  </si>
  <si>
    <t>Pg1 lambda0</t>
  </si>
  <si>
    <t>Pg2 lambda0</t>
  </si>
  <si>
    <t>Pd1 lambda0</t>
  </si>
  <si>
    <t>Pd2 lambda0</t>
  </si>
  <si>
    <t>Ph1 lambda0</t>
  </si>
  <si>
    <t>Ph2 lambda0</t>
  </si>
  <si>
    <t>V1 lambda0</t>
  </si>
  <si>
    <t>V2 lambda0</t>
  </si>
  <si>
    <t>s1 lambda0</t>
  </si>
  <si>
    <t>s2 lambda0</t>
  </si>
  <si>
    <t>No Water Cost</t>
  </si>
  <si>
    <t>Scenario</t>
  </si>
  <si>
    <t>Thermal Generation Fixed Cost ($/yr)</t>
  </si>
  <si>
    <t>Consumer Benefit ($/yr)</t>
  </si>
  <si>
    <t>Future Water Cost (Present Value) ($/yr)</t>
  </si>
  <si>
    <t>Global Social Cost ($/yr)</t>
  </si>
  <si>
    <t xml:space="preserve">Thermal Generation Variable Cost ($/yr)    </t>
  </si>
  <si>
    <t>$/h</t>
  </si>
  <si>
    <t>$/Hm3/day</t>
  </si>
  <si>
    <t>$/Hm3^2/day</t>
  </si>
  <si>
    <t>$/day</t>
  </si>
  <si>
    <t>Prices Wet Period</t>
  </si>
  <si>
    <t>Hoja de cálculo: [DE Bermudez.xlsx]HTC CP1</t>
  </si>
  <si>
    <r>
      <rPr>
        <sz val="11"/>
        <color theme="1"/>
        <rFont val="Symbol"/>
        <family val="1"/>
        <charset val="2"/>
      </rPr>
      <t>l1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d1,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</si>
  <si>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H1 ($/MWh)</t>
    </r>
  </si>
  <si>
    <t>Y1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</si>
  <si>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</si>
  <si>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mH1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</si>
  <si>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</si>
  <si>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s1 ($/MWh)</t>
    </r>
  </si>
  <si>
    <t>Prices Dry Period</t>
  </si>
  <si>
    <r>
      <rPr>
        <sz val="11"/>
        <color theme="1"/>
        <rFont val="Symbol"/>
        <family val="1"/>
        <charset val="2"/>
      </rPr>
      <t>l2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d2,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</si>
  <si>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H2 ($/MWh)</t>
    </r>
  </si>
  <si>
    <t>Y2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</si>
  <si>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</si>
  <si>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mH2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</si>
  <si>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</si>
  <si>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V2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</si>
  <si>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s2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</si>
  <si>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V1 ($/MWh)</t>
    </r>
  </si>
  <si>
    <t>Reservoir Wet Period</t>
  </si>
  <si>
    <t>V1 (Hm3)</t>
  </si>
  <si>
    <t>q1 (Hm3/h)</t>
  </si>
  <si>
    <t>s1 (Hm3/h)</t>
  </si>
  <si>
    <t>r1 (Hm3/h)</t>
  </si>
  <si>
    <t>Reservoir Dry Period</t>
  </si>
  <si>
    <t>r2 (Hm3/h)</t>
  </si>
  <si>
    <t>s2 (Hm3/h)</t>
  </si>
  <si>
    <t>q2 (Hm3/h)</t>
  </si>
  <si>
    <t>V2 (Hm3)</t>
  </si>
  <si>
    <t>V0 (Hm3)</t>
  </si>
  <si>
    <t>Dispatch Wet Period</t>
  </si>
  <si>
    <t>%Ploss</t>
  </si>
  <si>
    <t>Ploss1 (MW)</t>
  </si>
  <si>
    <t>PG1 (MW)</t>
  </si>
  <si>
    <t>PH1 (MW)</t>
  </si>
  <si>
    <t>PD1 (MW)</t>
  </si>
  <si>
    <t>Dispatch Dry Period</t>
  </si>
  <si>
    <t>PG2 (MW)</t>
  </si>
  <si>
    <t>PH2 (MW)</t>
  </si>
  <si>
    <t>PD2 (MW)</t>
  </si>
  <si>
    <t>Ploss2 (MW)</t>
  </si>
  <si>
    <t>MC1</t>
  </si>
  <si>
    <t>MC2</t>
  </si>
  <si>
    <t>node G</t>
  </si>
  <si>
    <t>NODE h</t>
  </si>
  <si>
    <t>Plosses1</t>
  </si>
  <si>
    <t>Plosses2</t>
  </si>
  <si>
    <t>Hoja de cálculo: [DE Bermudez.xlsx]LOW MARGINAL COST</t>
  </si>
  <si>
    <t>Informe creado: 10/08/2017 17:51:34</t>
  </si>
  <si>
    <t>$E$21</t>
  </si>
  <si>
    <t>$E$22</t>
  </si>
  <si>
    <t>Informe creado: 10/08/2017 18:58:25</t>
  </si>
  <si>
    <t>Hoja de cálculo: [DE Bermudez.xlsx]HTC CP2</t>
  </si>
  <si>
    <t>Informe creado: 10/08/2017 19:04:05</t>
  </si>
  <si>
    <t>Hoja de cálculo: [DE Bermudez.xlsx]HTC CP4</t>
  </si>
  <si>
    <t>Informe creado: 10/08/2017 19:12:57</t>
  </si>
  <si>
    <t>$G$13</t>
  </si>
  <si>
    <t>$G$14</t>
  </si>
  <si>
    <t>Hoja de cálculo: [DE Bermudez.xlsx]HTC CP3</t>
  </si>
  <si>
    <t>Informe creado: 10/08/2017 19:13:12</t>
  </si>
  <si>
    <t>Niña</t>
  </si>
  <si>
    <t>Niño</t>
  </si>
  <si>
    <t>Y1 ($/Hm3.h)</t>
  </si>
  <si>
    <t>Y2  ($/Hm3.h)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</si>
</sst>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€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indexed="18"/>
      <name val="Calibri"/>
      <family val="2"/>
      <scheme val="minor"/>
    </font>
    <font>
      <sz val="11"/>
      <color theme="1"/>
      <name val="CMU Serif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0" xfId="0" applyFon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3" borderId="0" xfId="0" applyFill="1"/>
    <xf numFmtId="2" fontId="0" fillId="2" borderId="0" xfId="0" applyNumberFormat="1" applyFill="1"/>
    <xf numFmtId="2" fontId="0" fillId="0" borderId="4" xfId="0" applyNumberFormat="1" applyFill="1" applyBorder="1" applyAlignment="1"/>
    <xf numFmtId="2" fontId="0" fillId="0" borderId="3" xfId="0" applyNumberForma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1" fontId="0" fillId="0" borderId="0" xfId="0" applyNumberFormat="1"/>
    <xf numFmtId="0" fontId="0" fillId="4" borderId="0" xfId="0" applyFill="1"/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6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0" fontId="8" fillId="0" borderId="0" xfId="0" applyFont="1"/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550333</xdr:colOff>
      <xdr:row>1</xdr:row>
      <xdr:rowOff>98777</xdr:rowOff>
    </xdr:from>
    <xdr:to>
      <xdr:col>19</xdr:col>
      <xdr:colOff>365302</xdr:colOff>
      <xdr:row>33</xdr:row>
      <xdr:rowOff>70554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0" y="282221"/>
          <a:ext cx="6475413" cy="5842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10" sqref="B10"/>
    </sheetView>
  </sheetViews>
  <sheetFormatPr baseColWidth="10" defaultRowHeight="15" x14ac:dyDescent="0"/>
  <cols>
    <col min="1" max="1" width="43.6640625" style="15" customWidth="1"/>
    <col min="2" max="2" width="23.1640625" style="15" customWidth="1"/>
    <col min="3" max="16384" width="10.83203125" style="15"/>
  </cols>
  <sheetData>
    <row r="1" spans="1:2">
      <c r="B1" s="16" t="s">
        <v>87</v>
      </c>
    </row>
    <row r="2" spans="1:2">
      <c r="B2" s="19" t="s">
        <v>86</v>
      </c>
    </row>
    <row r="3" spans="1:2">
      <c r="A3" s="15" t="s">
        <v>88</v>
      </c>
      <c r="B3" s="17">
        <f>('HTC CP4'!B9+'HTC CP4'!B10)*'HTC CP4'!B11</f>
        <v>8760000</v>
      </c>
    </row>
    <row r="4" spans="1:2">
      <c r="A4" s="15" t="s">
        <v>92</v>
      </c>
      <c r="B4" s="17">
        <f>'HTC CP4'!G2</f>
        <v>7054233455.3805943</v>
      </c>
    </row>
    <row r="5" spans="1:2">
      <c r="A5" s="15" t="s">
        <v>89</v>
      </c>
      <c r="B5" s="17">
        <f>'HTC CP4'!G3</f>
        <v>52116093994.906654</v>
      </c>
    </row>
    <row r="6" spans="1:2">
      <c r="A6" s="15" t="s">
        <v>90</v>
      </c>
      <c r="B6" s="18">
        <f>'HTC CP4'!G4</f>
        <v>-4401900000</v>
      </c>
    </row>
    <row r="7" spans="1:2">
      <c r="A7" s="15" t="s">
        <v>91</v>
      </c>
      <c r="B7" s="17">
        <f>'HTC CP4'!G5</f>
        <v>-49463760539.526062</v>
      </c>
    </row>
    <row r="8" spans="1:2">
      <c r="B8" s="17"/>
    </row>
    <row r="9" spans="1:2">
      <c r="A9" s="15" t="s">
        <v>127</v>
      </c>
      <c r="B9" s="17"/>
    </row>
    <row r="10" spans="1:2">
      <c r="A10" s="15" t="s">
        <v>130</v>
      </c>
      <c r="B10" s="17">
        <f>'HTC CP4'!C21</f>
        <v>5521.6251358973304</v>
      </c>
    </row>
    <row r="11" spans="1:2">
      <c r="A11" s="15" t="s">
        <v>131</v>
      </c>
      <c r="B11" s="17">
        <f>'HTC CP4'!C25</f>
        <v>3898.8941878595451</v>
      </c>
    </row>
    <row r="12" spans="1:2">
      <c r="A12" s="15" t="s">
        <v>132</v>
      </c>
      <c r="B12" s="17">
        <f>'HTC CP4'!C23</f>
        <v>9329.3110684282674</v>
      </c>
    </row>
    <row r="13" spans="1:2">
      <c r="A13" s="15" t="s">
        <v>129</v>
      </c>
      <c r="B13" s="17">
        <f>'HTC CP4'!G15</f>
        <v>91.208255328607265</v>
      </c>
    </row>
    <row r="14" spans="1:2">
      <c r="A14" s="15" t="s">
        <v>128</v>
      </c>
      <c r="B14" s="17">
        <f>'HTC CP4'!H15</f>
        <v>0.61415828654654947</v>
      </c>
    </row>
    <row r="15" spans="1:2">
      <c r="B15" s="17"/>
    </row>
    <row r="16" spans="1:2">
      <c r="A16" s="15" t="s">
        <v>133</v>
      </c>
      <c r="B16" s="17"/>
    </row>
    <row r="17" spans="1:2">
      <c r="A17" s="15" t="s">
        <v>134</v>
      </c>
      <c r="B17" s="17">
        <f>'HTC CP4'!C22</f>
        <v>3575.245978348938</v>
      </c>
    </row>
    <row r="18" spans="1:2">
      <c r="A18" s="15" t="s">
        <v>135</v>
      </c>
      <c r="B18" s="17">
        <f>'HTC CP4'!C26</f>
        <v>5777.2523420606649</v>
      </c>
    </row>
    <row r="19" spans="1:2">
      <c r="A19" s="15" t="s">
        <v>136</v>
      </c>
      <c r="B19" s="17">
        <f>'HTC CP4'!C24</f>
        <v>9152.2384526664027</v>
      </c>
    </row>
    <row r="20" spans="1:2">
      <c r="A20" s="15" t="s">
        <v>137</v>
      </c>
      <c r="B20" s="17">
        <f>'HTC CP4'!G16</f>
        <v>200.25986774319972</v>
      </c>
    </row>
    <row r="21" spans="1:2">
      <c r="A21" s="15" t="s">
        <v>128</v>
      </c>
      <c r="B21" s="17">
        <f>'HTC CP4'!H16</f>
        <v>1.5734442169513925</v>
      </c>
    </row>
    <row r="22" spans="1:2">
      <c r="B22" s="17"/>
    </row>
    <row r="23" spans="1:2">
      <c r="A23" s="15" t="s">
        <v>116</v>
      </c>
      <c r="B23" s="17"/>
    </row>
    <row r="24" spans="1:2">
      <c r="A24" s="15" t="s">
        <v>120</v>
      </c>
      <c r="B24" s="17">
        <f>'HTC CP4'!B17</f>
        <v>10</v>
      </c>
    </row>
    <row r="25" spans="1:2">
      <c r="A25" s="15" t="s">
        <v>119</v>
      </c>
      <c r="B25" s="17">
        <f>'HTC CP4'!C29</f>
        <v>0</v>
      </c>
    </row>
    <row r="26" spans="1:2">
      <c r="A26" s="15" t="s">
        <v>118</v>
      </c>
      <c r="B26" s="17">
        <f>'HTC CP4'!G13</f>
        <v>6.0003550406705672</v>
      </c>
    </row>
    <row r="27" spans="1:2">
      <c r="A27" s="15" t="s">
        <v>126</v>
      </c>
      <c r="B27" s="17">
        <f>'HTC CP4'!B16</f>
        <v>50000</v>
      </c>
    </row>
    <row r="28" spans="1:2">
      <c r="A28" s="15" t="s">
        <v>117</v>
      </c>
      <c r="B28" s="17">
        <f>'HTC CP4'!C27</f>
        <v>67518.444921863935</v>
      </c>
    </row>
    <row r="29" spans="1:2">
      <c r="B29" s="17"/>
    </row>
    <row r="30" spans="1:2">
      <c r="A30" s="15" t="s">
        <v>121</v>
      </c>
      <c r="B30" s="17"/>
    </row>
    <row r="31" spans="1:2">
      <c r="A31" s="15" t="s">
        <v>122</v>
      </c>
      <c r="B31" s="17">
        <f>'HTC CP4'!B18</f>
        <v>5</v>
      </c>
    </row>
    <row r="32" spans="1:2">
      <c r="A32" s="15" t="s">
        <v>123</v>
      </c>
      <c r="B32" s="17">
        <f>'HTC CP4'!C30</f>
        <v>0</v>
      </c>
    </row>
    <row r="33" spans="1:2">
      <c r="A33" s="15" t="s">
        <v>124</v>
      </c>
      <c r="B33" s="17">
        <f>'HTC CP4'!G14</f>
        <v>8.9996449593294532</v>
      </c>
    </row>
    <row r="34" spans="1:2">
      <c r="A34" s="15" t="s">
        <v>125</v>
      </c>
      <c r="B34" s="17">
        <f>'HTC CP4'!C28</f>
        <v>50000</v>
      </c>
    </row>
    <row r="35" spans="1:2">
      <c r="B35" s="17"/>
    </row>
    <row r="36" spans="1:2">
      <c r="A36" s="15" t="s">
        <v>97</v>
      </c>
      <c r="B36" s="17"/>
    </row>
    <row r="37" spans="1:2">
      <c r="A37" s="15" t="s">
        <v>99</v>
      </c>
      <c r="B37" s="20">
        <f>'HTC CP4'!H23</f>
        <v>280.86560514198766</v>
      </c>
    </row>
    <row r="38" spans="1:2">
      <c r="A38" s="15" t="s">
        <v>100</v>
      </c>
      <c r="B38" s="20">
        <f>'HTC CP4'!I23</f>
        <v>267.72482183649464</v>
      </c>
    </row>
    <row r="39" spans="1:2">
      <c r="A39" s="15" t="s">
        <v>101</v>
      </c>
      <c r="B39" s="20">
        <f>'4'!E25/(8760/2)</f>
        <v>-38.73582957197425</v>
      </c>
    </row>
    <row r="40" spans="1:2">
      <c r="A40" s="15" t="s">
        <v>102</v>
      </c>
      <c r="B40" s="20">
        <f>'HTC CP4'!H26</f>
        <v>0</v>
      </c>
    </row>
    <row r="41" spans="1:2">
      <c r="A41" s="15" t="s">
        <v>103</v>
      </c>
      <c r="B41" s="20">
        <f>'HTC CP4'!H27</f>
        <v>0</v>
      </c>
    </row>
    <row r="42" spans="1:2">
      <c r="A42" s="15" t="s">
        <v>104</v>
      </c>
      <c r="B42" s="20">
        <f>'HTC CP4'!H28</f>
        <v>0</v>
      </c>
    </row>
    <row r="43" spans="1:2">
      <c r="A43" s="15" t="s">
        <v>115</v>
      </c>
      <c r="B43" s="20">
        <f>'HTC CP4'!H29</f>
        <v>0</v>
      </c>
    </row>
    <row r="44" spans="1:2">
      <c r="A44" s="15" t="s">
        <v>105</v>
      </c>
      <c r="B44" s="20">
        <f>'HTC CP4'!H30</f>
        <v>0</v>
      </c>
    </row>
    <row r="45" spans="1:2">
      <c r="B45" s="20"/>
    </row>
    <row r="46" spans="1:2">
      <c r="A46" s="15" t="s">
        <v>106</v>
      </c>
    </row>
    <row r="47" spans="1:2">
      <c r="A47" s="15" t="s">
        <v>107</v>
      </c>
      <c r="B47" s="20">
        <f>'HTC CP4'!H24</f>
        <v>294.51495260696481</v>
      </c>
    </row>
    <row r="48" spans="1:2">
      <c r="A48" s="15" t="s">
        <v>108</v>
      </c>
      <c r="B48" s="20">
        <f>'HTC CP4'!I24</f>
        <v>274.09710621031911</v>
      </c>
    </row>
    <row r="49" spans="1:2">
      <c r="A49" s="15" t="s">
        <v>109</v>
      </c>
      <c r="B49" s="20">
        <f>'4'!E26/(8760/2)</f>
        <v>-38.735674308702784</v>
      </c>
    </row>
    <row r="50" spans="1:2">
      <c r="A50" s="15" t="s">
        <v>110</v>
      </c>
      <c r="B50" s="20">
        <f>'HTC CP4'!H36</f>
        <v>0</v>
      </c>
    </row>
    <row r="51" spans="1:2">
      <c r="A51" s="15" t="s">
        <v>111</v>
      </c>
      <c r="B51" s="20">
        <f>'HTC CP4'!H37</f>
        <v>0</v>
      </c>
    </row>
    <row r="52" spans="1:2">
      <c r="A52" s="15" t="s">
        <v>112</v>
      </c>
      <c r="B52" s="20">
        <f>'HTC CP4'!H38</f>
        <v>0</v>
      </c>
    </row>
    <row r="53" spans="1:2">
      <c r="A53" s="15" t="s">
        <v>113</v>
      </c>
      <c r="B53" s="20">
        <f>'HTC CP4'!H39</f>
        <v>0</v>
      </c>
    </row>
    <row r="54" spans="1:2">
      <c r="A54" s="15" t="s">
        <v>114</v>
      </c>
      <c r="B54" s="20">
        <f>'HTC CP4'!H40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>
      <selection sqref="A1:A3"/>
    </sheetView>
  </sheetViews>
  <sheetFormatPr baseColWidth="10" defaultRowHeight="14" x14ac:dyDescent="0"/>
  <cols>
    <col min="1" max="1" width="2.33203125" customWidth="1"/>
    <col min="2" max="2" width="6.1640625" bestFit="1" customWidth="1"/>
    <col min="3" max="3" width="12.33203125" bestFit="1" customWidth="1"/>
    <col min="4" max="4" width="7.5" bestFit="1" customWidth="1"/>
    <col min="5" max="5" width="13" customWidth="1"/>
  </cols>
  <sheetData>
    <row r="1" spans="1:5">
      <c r="A1" s="4" t="s">
        <v>65</v>
      </c>
    </row>
    <row r="2" spans="1:5">
      <c r="A2" s="4" t="s">
        <v>144</v>
      </c>
    </row>
    <row r="3" spans="1:5">
      <c r="A3" s="4" t="s">
        <v>145</v>
      </c>
    </row>
    <row r="6" spans="1:5" ht="15" thickBot="1">
      <c r="A6" t="s">
        <v>49</v>
      </c>
    </row>
    <row r="7" spans="1:5">
      <c r="B7" s="9"/>
      <c r="C7" s="9"/>
      <c r="D7" s="9" t="s">
        <v>66</v>
      </c>
      <c r="E7" s="9" t="s">
        <v>68</v>
      </c>
    </row>
    <row r="8" spans="1:5" ht="15" thickBot="1">
      <c r="B8" s="10" t="s">
        <v>47</v>
      </c>
      <c r="C8" s="10" t="s">
        <v>48</v>
      </c>
      <c r="D8" s="10" t="s">
        <v>67</v>
      </c>
      <c r="E8" s="10" t="s">
        <v>69</v>
      </c>
    </row>
    <row r="9" spans="1:5">
      <c r="B9" s="6" t="s">
        <v>51</v>
      </c>
      <c r="C9" s="6" t="s">
        <v>76</v>
      </c>
      <c r="D9" s="13">
        <v>5388.5379951623436</v>
      </c>
      <c r="E9" s="13">
        <v>0</v>
      </c>
    </row>
    <row r="10" spans="1:5">
      <c r="B10" s="6" t="s">
        <v>52</v>
      </c>
      <c r="C10" s="6" t="s">
        <v>77</v>
      </c>
      <c r="D10" s="13">
        <v>2814.4131197129273</v>
      </c>
      <c r="E10" s="13">
        <v>0</v>
      </c>
    </row>
    <row r="11" spans="1:5">
      <c r="B11" s="6" t="s">
        <v>53</v>
      </c>
      <c r="C11" s="6" t="s">
        <v>78</v>
      </c>
      <c r="D11" s="13">
        <v>9398.3788804698397</v>
      </c>
      <c r="E11" s="13">
        <v>0</v>
      </c>
    </row>
    <row r="12" spans="1:5">
      <c r="B12" s="6" t="s">
        <v>54</v>
      </c>
      <c r="C12" s="6" t="s">
        <v>79</v>
      </c>
      <c r="D12" s="13">
        <v>9744.4511902914383</v>
      </c>
      <c r="E12" s="13">
        <v>0</v>
      </c>
    </row>
    <row r="13" spans="1:5">
      <c r="B13" s="6" t="s">
        <v>146</v>
      </c>
      <c r="C13" s="6" t="s">
        <v>35</v>
      </c>
      <c r="D13" s="13">
        <v>4009.8408853074984</v>
      </c>
      <c r="E13" s="13">
        <v>0</v>
      </c>
    </row>
    <row r="14" spans="1:5" ht="15" thickBot="1">
      <c r="B14" s="5" t="s">
        <v>147</v>
      </c>
      <c r="C14" s="5" t="s">
        <v>36</v>
      </c>
      <c r="D14" s="14">
        <v>6930.0380705785119</v>
      </c>
      <c r="E14" s="14">
        <v>0</v>
      </c>
    </row>
    <row r="16" spans="1:5" ht="15" thickBot="1">
      <c r="A16" t="s">
        <v>50</v>
      </c>
    </row>
    <row r="17" spans="2:5">
      <c r="B17" s="9"/>
      <c r="C17" s="9"/>
      <c r="D17" s="9" t="s">
        <v>66</v>
      </c>
      <c r="E17" s="9" t="s">
        <v>70</v>
      </c>
    </row>
    <row r="18" spans="2:5" ht="15" thickBot="1">
      <c r="B18" s="10" t="s">
        <v>47</v>
      </c>
      <c r="C18" s="10" t="s">
        <v>48</v>
      </c>
      <c r="D18" s="10" t="s">
        <v>67</v>
      </c>
      <c r="E18" s="10" t="s">
        <v>71</v>
      </c>
    </row>
    <row r="19" spans="2:5">
      <c r="B19" s="6" t="s">
        <v>61</v>
      </c>
      <c r="C19" s="6" t="s">
        <v>16</v>
      </c>
      <c r="D19" s="8">
        <v>0</v>
      </c>
      <c r="E19" s="8">
        <v>-275.5416259765625</v>
      </c>
    </row>
    <row r="20" spans="2:5" ht="15" thickBot="1">
      <c r="B20" s="5" t="s">
        <v>62</v>
      </c>
      <c r="C20" s="5" t="s">
        <v>17</v>
      </c>
      <c r="D20" s="7">
        <v>0</v>
      </c>
      <c r="E20" s="7">
        <v>-248.8648681640625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workbookViewId="0">
      <selection sqref="A1:A3"/>
    </sheetView>
  </sheetViews>
  <sheetFormatPr baseColWidth="10" defaultRowHeight="14" x14ac:dyDescent="0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4" t="s">
        <v>65</v>
      </c>
    </row>
    <row r="2" spans="1:5">
      <c r="A2" s="4" t="s">
        <v>98</v>
      </c>
    </row>
    <row r="3" spans="1:5">
      <c r="A3" s="4" t="s">
        <v>148</v>
      </c>
    </row>
    <row r="6" spans="1:5" ht="15" thickBot="1">
      <c r="A6" t="s">
        <v>49</v>
      </c>
    </row>
    <row r="7" spans="1:5">
      <c r="B7" s="9"/>
      <c r="C7" s="9"/>
      <c r="D7" s="9" t="s">
        <v>66</v>
      </c>
      <c r="E7" s="9" t="s">
        <v>68</v>
      </c>
    </row>
    <row r="8" spans="1:5" ht="15" thickBot="1">
      <c r="B8" s="10" t="s">
        <v>47</v>
      </c>
      <c r="C8" s="10" t="s">
        <v>48</v>
      </c>
      <c r="D8" s="10" t="s">
        <v>67</v>
      </c>
      <c r="E8" s="10" t="s">
        <v>69</v>
      </c>
    </row>
    <row r="9" spans="1:5">
      <c r="B9" s="6" t="s">
        <v>51</v>
      </c>
      <c r="C9" s="6" t="s">
        <v>76</v>
      </c>
      <c r="D9" s="13">
        <v>688.81848915628143</v>
      </c>
      <c r="E9" s="13">
        <v>0</v>
      </c>
    </row>
    <row r="10" spans="1:5">
      <c r="B10" s="6" t="s">
        <v>52</v>
      </c>
      <c r="C10" s="6" t="s">
        <v>77</v>
      </c>
      <c r="D10" s="13">
        <v>148.88679384807438</v>
      </c>
      <c r="E10" s="13">
        <v>0</v>
      </c>
    </row>
    <row r="11" spans="1:5">
      <c r="B11" s="6" t="s">
        <v>53</v>
      </c>
      <c r="C11" s="6" t="s">
        <v>78</v>
      </c>
      <c r="D11" s="13">
        <v>11837.151624334347</v>
      </c>
      <c r="E11" s="13">
        <v>0</v>
      </c>
    </row>
    <row r="12" spans="1:5">
      <c r="B12" s="6" t="s">
        <v>54</v>
      </c>
      <c r="C12" s="6" t="s">
        <v>79</v>
      </c>
      <c r="D12" s="13">
        <v>11819.246996660013</v>
      </c>
      <c r="E12" s="13">
        <v>0</v>
      </c>
    </row>
    <row r="13" spans="1:5">
      <c r="B13" s="6" t="s">
        <v>55</v>
      </c>
      <c r="C13" s="6" t="s">
        <v>80</v>
      </c>
      <c r="D13" s="13">
        <v>12014.409323546002</v>
      </c>
      <c r="E13" s="13">
        <v>0</v>
      </c>
    </row>
    <row r="14" spans="1:5">
      <c r="B14" s="6" t="s">
        <v>56</v>
      </c>
      <c r="C14" s="6" t="s">
        <v>81</v>
      </c>
      <c r="D14" s="13">
        <v>12627.008222764565</v>
      </c>
      <c r="E14" s="13">
        <v>0</v>
      </c>
    </row>
    <row r="15" spans="1:5">
      <c r="B15" s="6" t="s">
        <v>57</v>
      </c>
      <c r="C15" s="6" t="s">
        <v>82</v>
      </c>
      <c r="D15" s="13">
        <v>96142.974569217127</v>
      </c>
      <c r="E15" s="13">
        <v>0</v>
      </c>
    </row>
    <row r="16" spans="1:5">
      <c r="B16" s="6" t="s">
        <v>58</v>
      </c>
      <c r="C16" s="6" t="s">
        <v>83</v>
      </c>
      <c r="D16" s="13">
        <v>50000</v>
      </c>
      <c r="E16" s="13">
        <v>43056.177284502162</v>
      </c>
    </row>
    <row r="17" spans="1:5">
      <c r="B17" s="6" t="s">
        <v>59</v>
      </c>
      <c r="C17" s="6" t="s">
        <v>84</v>
      </c>
      <c r="D17" s="13">
        <v>0</v>
      </c>
      <c r="E17" s="13">
        <v>188585684.5241887</v>
      </c>
    </row>
    <row r="18" spans="1:5" ht="15" thickBot="1">
      <c r="B18" s="5" t="s">
        <v>60</v>
      </c>
      <c r="C18" s="5" t="s">
        <v>85</v>
      </c>
      <c r="D18" s="14">
        <v>0</v>
      </c>
      <c r="E18" s="14">
        <v>188586056.50611946</v>
      </c>
    </row>
    <row r="20" spans="1:5" ht="15" thickBot="1">
      <c r="A20" t="s">
        <v>50</v>
      </c>
    </row>
    <row r="21" spans="1:5">
      <c r="B21" s="9"/>
      <c r="C21" s="9"/>
      <c r="D21" s="9" t="s">
        <v>66</v>
      </c>
      <c r="E21" s="9" t="s">
        <v>70</v>
      </c>
    </row>
    <row r="22" spans="1:5" ht="15" thickBot="1">
      <c r="B22" s="10" t="s">
        <v>47</v>
      </c>
      <c r="C22" s="10" t="s">
        <v>48</v>
      </c>
      <c r="D22" s="10" t="s">
        <v>67</v>
      </c>
      <c r="E22" s="10" t="s">
        <v>71</v>
      </c>
    </row>
    <row r="23" spans="1:5">
      <c r="B23" s="6" t="s">
        <v>61</v>
      </c>
      <c r="C23" s="6" t="s">
        <v>16</v>
      </c>
      <c r="D23" s="8">
        <v>-5.6825228966772556E-9</v>
      </c>
      <c r="E23" s="8">
        <v>-383481.0625</v>
      </c>
    </row>
    <row r="24" spans="1:5">
      <c r="B24" s="6" t="s">
        <v>62</v>
      </c>
      <c r="C24" s="6" t="s">
        <v>17</v>
      </c>
      <c r="D24" s="8">
        <v>-6.0426827985793352E-9</v>
      </c>
      <c r="E24" s="8">
        <v>-389527.5</v>
      </c>
    </row>
    <row r="25" spans="1:5">
      <c r="B25" s="6" t="s">
        <v>63</v>
      </c>
      <c r="C25" s="6" t="s">
        <v>18</v>
      </c>
      <c r="D25" s="8">
        <v>-4.1174644138664007E-8</v>
      </c>
      <c r="E25" s="8">
        <v>-43056.092357120709</v>
      </c>
    </row>
    <row r="26" spans="1:5" ht="15" thickBot="1">
      <c r="B26" s="5" t="s">
        <v>64</v>
      </c>
      <c r="C26" s="5" t="s">
        <v>19</v>
      </c>
      <c r="D26" s="7">
        <v>-4.3866748455911875E-8</v>
      </c>
      <c r="E26" s="7">
        <v>-43056.177284502162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4"/>
  <sheetViews>
    <sheetView tabSelected="1" zoomScale="125" zoomScaleNormal="125" zoomScalePageLayoutView="125" workbookViewId="0">
      <selection activeCell="C7" sqref="C7"/>
    </sheetView>
  </sheetViews>
  <sheetFormatPr baseColWidth="10" defaultRowHeight="14" x14ac:dyDescent="0.75"/>
  <cols>
    <col min="3" max="3" width="15.1640625" customWidth="1"/>
    <col min="6" max="6" width="14.83203125" customWidth="1"/>
    <col min="7" max="7" width="17.33203125" customWidth="1"/>
    <col min="8" max="8" width="22.5" customWidth="1"/>
    <col min="9" max="9" width="12.1640625" bestFit="1" customWidth="1"/>
  </cols>
  <sheetData>
    <row r="1" spans="1:8">
      <c r="A1" t="s">
        <v>23</v>
      </c>
      <c r="B1" s="1">
        <v>0</v>
      </c>
      <c r="C1" t="s">
        <v>8</v>
      </c>
    </row>
    <row r="2" spans="1:8">
      <c r="A2" t="s">
        <v>24</v>
      </c>
      <c r="B2" s="1">
        <v>1.5E-3</v>
      </c>
      <c r="C2" t="s">
        <v>13</v>
      </c>
      <c r="F2" t="s">
        <v>34</v>
      </c>
      <c r="G2">
        <f>B9*(B5*C21+B7*C21^2)+B10*(B6*C22+B8*C22^2)</f>
        <v>277675386.39923024</v>
      </c>
    </row>
    <row r="3" spans="1:8">
      <c r="A3" t="s">
        <v>25</v>
      </c>
      <c r="B3" s="1">
        <v>1E-8</v>
      </c>
      <c r="C3" t="s">
        <v>26</v>
      </c>
      <c r="F3" t="s">
        <v>41</v>
      </c>
      <c r="G3">
        <f>B9*(B11*C23-0.5*B12*C23^2)+B10*(B11*C24-0.5*B12*C24^2)</f>
        <v>56379142248.106384</v>
      </c>
    </row>
    <row r="4" spans="1:8">
      <c r="A4" t="s">
        <v>37</v>
      </c>
      <c r="B4">
        <v>1000</v>
      </c>
      <c r="C4" t="s">
        <v>93</v>
      </c>
      <c r="F4" t="s">
        <v>43</v>
      </c>
      <c r="G4">
        <f>(B13-B14*C28-B15*C28^2)*(B9+B10)/24</f>
        <v>0</v>
      </c>
    </row>
    <row r="5" spans="1:8">
      <c r="A5" t="s">
        <v>27</v>
      </c>
      <c r="B5">
        <v>60</v>
      </c>
      <c r="C5" t="s">
        <v>4</v>
      </c>
      <c r="F5" t="s">
        <v>45</v>
      </c>
      <c r="G5">
        <f>G2-G3+G4</f>
        <v>-56101466861.707153</v>
      </c>
    </row>
    <row r="6" spans="1:8">
      <c r="A6" t="s">
        <v>28</v>
      </c>
      <c r="B6">
        <v>80</v>
      </c>
      <c r="C6" t="s">
        <v>4</v>
      </c>
    </row>
    <row r="7" spans="1:8">
      <c r="A7" t="s">
        <v>38</v>
      </c>
      <c r="B7">
        <v>0.02</v>
      </c>
      <c r="C7" t="s">
        <v>33</v>
      </c>
      <c r="F7" t="s">
        <v>16</v>
      </c>
      <c r="G7">
        <f>C23+B19*C25^2-(C21+C25)</f>
        <v>2.0661900634877384E-8</v>
      </c>
    </row>
    <row r="8" spans="1:8">
      <c r="A8" t="s">
        <v>39</v>
      </c>
      <c r="B8">
        <v>0.03</v>
      </c>
      <c r="C8" t="s">
        <v>33</v>
      </c>
      <c r="F8" t="s">
        <v>17</v>
      </c>
      <c r="G8">
        <f>C24+B19*C26^2-(C22+C26)</f>
        <v>5.3441908676177263E-8</v>
      </c>
    </row>
    <row r="9" spans="1:8">
      <c r="A9" t="s">
        <v>0</v>
      </c>
      <c r="B9">
        <f>8760/2</f>
        <v>4380</v>
      </c>
      <c r="C9" t="s">
        <v>5</v>
      </c>
      <c r="F9" s="3" t="s">
        <v>18</v>
      </c>
      <c r="G9">
        <f>C27-B16-(B17-C29-B1-B2*C25-B3*C25^2)*B9</f>
        <v>1.5076511772349477E-7</v>
      </c>
    </row>
    <row r="10" spans="1:8">
      <c r="A10" t="s">
        <v>1</v>
      </c>
      <c r="B10">
        <f>B9</f>
        <v>4380</v>
      </c>
      <c r="C10" t="s">
        <v>5</v>
      </c>
      <c r="F10" s="3" t="s">
        <v>19</v>
      </c>
      <c r="G10">
        <f>C28-C27-(B18-C30--B1-B2*C26-B3*C26^2)*B10</f>
        <v>3.9031874621286988E-7</v>
      </c>
    </row>
    <row r="11" spans="1:8">
      <c r="A11" t="s">
        <v>31</v>
      </c>
      <c r="B11">
        <v>1000</v>
      </c>
      <c r="C11" t="s">
        <v>4</v>
      </c>
      <c r="F11" t="s">
        <v>138</v>
      </c>
      <c r="G11">
        <f>B5+2*B7*C21</f>
        <v>87.553535696520967</v>
      </c>
    </row>
    <row r="12" spans="1:8">
      <c r="A12" t="s">
        <v>32</v>
      </c>
      <c r="B12">
        <f>(B11-D20)/B20</f>
        <v>7.7083333333333337E-2</v>
      </c>
      <c r="C12" t="s">
        <v>33</v>
      </c>
      <c r="F12" t="s">
        <v>139</v>
      </c>
      <c r="G12">
        <f>B6+2*B8*C22</f>
        <v>88.933190729966881</v>
      </c>
    </row>
    <row r="13" spans="1:8">
      <c r="A13" t="s">
        <v>3</v>
      </c>
      <c r="B13" s="11">
        <v>0</v>
      </c>
      <c r="C13" t="s">
        <v>96</v>
      </c>
      <c r="D13" s="11">
        <f>10000*24</f>
        <v>240000</v>
      </c>
      <c r="F13" t="s">
        <v>72</v>
      </c>
      <c r="G13" s="1">
        <f>$B$1+$B$2*C25+$B$3*C25^2</f>
        <v>19.465109475142295</v>
      </c>
    </row>
    <row r="14" spans="1:8">
      <c r="A14" t="s">
        <v>29</v>
      </c>
      <c r="B14" s="11">
        <v>0</v>
      </c>
      <c r="C14" t="s">
        <v>94</v>
      </c>
      <c r="D14" s="11">
        <f>10*24</f>
        <v>240</v>
      </c>
      <c r="F14" t="s">
        <v>73</v>
      </c>
      <c r="G14" s="1">
        <f>$B$1+$B$2*C26+$B$3*C26^2</f>
        <v>20.53489052498124</v>
      </c>
    </row>
    <row r="15" spans="1:8">
      <c r="A15" t="s">
        <v>30</v>
      </c>
      <c r="B15" s="11">
        <v>0</v>
      </c>
      <c r="C15" t="s">
        <v>95</v>
      </c>
      <c r="D15" s="11">
        <f>0.000005*24</f>
        <v>1.2000000000000002E-4</v>
      </c>
      <c r="F15" t="s">
        <v>142</v>
      </c>
      <c r="G15" s="1">
        <f>C21+C25-C23</f>
        <v>866.07910246447136</v>
      </c>
      <c r="H15">
        <f>100*G15/(C21+C23)</f>
        <v>6.9142361528603802</v>
      </c>
    </row>
    <row r="16" spans="1:8">
      <c r="A16" t="s">
        <v>7</v>
      </c>
      <c r="B16">
        <f>A28</f>
        <v>50000</v>
      </c>
      <c r="C16" t="s">
        <v>8</v>
      </c>
      <c r="F16" t="s">
        <v>143</v>
      </c>
      <c r="G16">
        <f>C22+C26-C24</f>
        <v>956.64497861096606</v>
      </c>
      <c r="H16">
        <f>100*G16/(C22+C24)</f>
        <v>7.9932795007066986</v>
      </c>
    </row>
    <row r="17" spans="1:11">
      <c r="A17" t="s">
        <v>9</v>
      </c>
      <c r="B17" s="2">
        <v>30</v>
      </c>
      <c r="C17" t="s">
        <v>10</v>
      </c>
    </row>
    <row r="18" spans="1:11">
      <c r="A18" t="s">
        <v>22</v>
      </c>
      <c r="B18">
        <v>10</v>
      </c>
      <c r="C18" t="s">
        <v>10</v>
      </c>
    </row>
    <row r="19" spans="1:11">
      <c r="A19" t="s">
        <v>40</v>
      </c>
      <c r="B19">
        <v>6.0000000000000002E-6</v>
      </c>
    </row>
    <row r="20" spans="1:11">
      <c r="A20" t="s">
        <v>74</v>
      </c>
      <c r="B20">
        <v>12000</v>
      </c>
      <c r="C20" t="s">
        <v>75</v>
      </c>
      <c r="D20">
        <v>75</v>
      </c>
    </row>
    <row r="21" spans="1:11">
      <c r="A21">
        <v>0</v>
      </c>
      <c r="B21" t="s">
        <v>35</v>
      </c>
      <c r="C21" s="12">
        <v>688.83839241302428</v>
      </c>
      <c r="D21">
        <v>8000</v>
      </c>
      <c r="E21" t="s">
        <v>6</v>
      </c>
      <c r="F21" s="2"/>
      <c r="K21">
        <v>8000</v>
      </c>
    </row>
    <row r="22" spans="1:11">
      <c r="A22">
        <v>0</v>
      </c>
      <c r="B22" t="s">
        <v>36</v>
      </c>
      <c r="C22" s="12">
        <v>148.88651216611461</v>
      </c>
      <c r="D22">
        <v>8000</v>
      </c>
      <c r="E22" t="s">
        <v>6</v>
      </c>
      <c r="F22" s="2"/>
      <c r="H22" t="s">
        <v>140</v>
      </c>
      <c r="I22" t="s">
        <v>141</v>
      </c>
      <c r="K22">
        <v>8000</v>
      </c>
    </row>
    <row r="23" spans="1:11">
      <c r="A23">
        <v>0</v>
      </c>
      <c r="B23" t="s">
        <v>2</v>
      </c>
      <c r="C23" s="12">
        <v>11837.188826171046</v>
      </c>
      <c r="D23">
        <v>12972.972972972972</v>
      </c>
      <c r="E23" t="s">
        <v>6</v>
      </c>
      <c r="G23" t="s">
        <v>44</v>
      </c>
      <c r="H23">
        <f>B11-B12*C23</f>
        <v>87.55002798264843</v>
      </c>
      <c r="I23">
        <f>H23*(1-2*$B$19*C25)</f>
        <v>74.927664277546384</v>
      </c>
      <c r="K23">
        <v>12972.972972972972</v>
      </c>
    </row>
    <row r="24" spans="1:11">
      <c r="A24">
        <v>0</v>
      </c>
      <c r="B24" t="s">
        <v>42</v>
      </c>
      <c r="C24" s="12">
        <v>11819.229685026634</v>
      </c>
      <c r="D24">
        <v>12972.972972972972</v>
      </c>
      <c r="E24" t="s">
        <v>6</v>
      </c>
      <c r="G24" t="s">
        <v>46</v>
      </c>
      <c r="H24">
        <f>B11-B12*C24</f>
        <v>88.934378445863558</v>
      </c>
      <c r="I24">
        <f>H24*(1-2*$B$19*C26)</f>
        <v>75.458698331130748</v>
      </c>
      <c r="K24">
        <v>12972.972972972972</v>
      </c>
    </row>
    <row r="25" spans="1:11">
      <c r="A25">
        <v>0</v>
      </c>
      <c r="B25" t="s">
        <v>14</v>
      </c>
      <c r="C25" s="12">
        <v>12014.429536222493</v>
      </c>
      <c r="D25">
        <v>15000</v>
      </c>
      <c r="E25" t="s">
        <v>6</v>
      </c>
      <c r="F25" s="2"/>
      <c r="K25">
        <v>15000</v>
      </c>
    </row>
    <row r="26" spans="1:11">
      <c r="A26">
        <v>0</v>
      </c>
      <c r="B26" t="s">
        <v>15</v>
      </c>
      <c r="C26" s="12">
        <v>12626.988151471485</v>
      </c>
      <c r="D26">
        <v>15000</v>
      </c>
      <c r="E26" t="s">
        <v>6</v>
      </c>
      <c r="F26" s="2"/>
      <c r="K26">
        <v>15000</v>
      </c>
    </row>
    <row r="27" spans="1:11">
      <c r="A27">
        <v>50000</v>
      </c>
      <c r="B27" t="s">
        <v>11</v>
      </c>
      <c r="C27" s="12">
        <v>96142.820499027512</v>
      </c>
      <c r="D27">
        <v>135000</v>
      </c>
      <c r="E27" t="s">
        <v>8</v>
      </c>
      <c r="F27" s="2"/>
      <c r="K27">
        <v>135000</v>
      </c>
    </row>
    <row r="28" spans="1:11">
      <c r="A28">
        <v>50000</v>
      </c>
      <c r="B28" t="s">
        <v>12</v>
      </c>
      <c r="C28" s="12">
        <v>50000</v>
      </c>
      <c r="D28" s="11">
        <v>135000</v>
      </c>
      <c r="E28" t="s">
        <v>8</v>
      </c>
      <c r="F28" s="2"/>
      <c r="K28" s="11">
        <v>135000</v>
      </c>
    </row>
    <row r="29" spans="1:11">
      <c r="A29">
        <v>0</v>
      </c>
      <c r="B29" t="s">
        <v>20</v>
      </c>
      <c r="C29" s="12">
        <v>0</v>
      </c>
      <c r="D29" s="21"/>
      <c r="E29" t="s">
        <v>10</v>
      </c>
      <c r="F29" s="2"/>
    </row>
    <row r="30" spans="1:11">
      <c r="A30">
        <v>0</v>
      </c>
      <c r="B30" t="s">
        <v>21</v>
      </c>
      <c r="C30" s="12">
        <v>0</v>
      </c>
      <c r="E30" t="s">
        <v>10</v>
      </c>
      <c r="F30" s="2"/>
    </row>
    <row r="33" spans="2:6">
      <c r="B33">
        <v>1</v>
      </c>
      <c r="C33">
        <f>B5+2*B7*C21-H23*(1-0)</f>
        <v>3.5077138725370105E-3</v>
      </c>
    </row>
    <row r="34" spans="2:6">
      <c r="C34">
        <f>B6+2*B8*C22-H24*(1-0)</f>
        <v>-1.1877158966768775E-3</v>
      </c>
    </row>
    <row r="35" spans="2:6">
      <c r="B35">
        <v>2</v>
      </c>
      <c r="C35">
        <f>H23-$B$11+$B$12*C23</f>
        <v>0</v>
      </c>
    </row>
    <row r="36" spans="2:6">
      <c r="C36">
        <f>H24-$B$11+$B$12*C24</f>
        <v>0</v>
      </c>
    </row>
    <row r="37" spans="2:6">
      <c r="B37">
        <v>3</v>
      </c>
      <c r="E37">
        <f>B5+0.5*B7*C21</f>
        <v>66.888383924130238</v>
      </c>
      <c r="F37">
        <f>E37*C21</f>
        <v>46075.286853403049</v>
      </c>
    </row>
    <row r="38" spans="2:6">
      <c r="D38">
        <f>(B14+2*B15*C28)*2*B9/24</f>
        <v>0</v>
      </c>
      <c r="E38">
        <f>B6+0.5*B8*C22</f>
        <v>82.233297682491724</v>
      </c>
      <c r="F38">
        <f>E38*C22</f>
        <v>12243.428875864029</v>
      </c>
    </row>
    <row r="39" spans="2:6">
      <c r="C39">
        <f>B11-B12*C23</f>
        <v>87.55002798264843</v>
      </c>
      <c r="F39">
        <f>SUM(F37:F38)</f>
        <v>58318.715729267074</v>
      </c>
    </row>
    <row r="40" spans="2:6">
      <c r="C40">
        <f>H23*(1-B19*2*C25)</f>
        <v>74.927664277546384</v>
      </c>
    </row>
    <row r="1048574" spans="3:3">
      <c r="C1048574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B4" sqref="B4"/>
    </sheetView>
  </sheetViews>
  <sheetFormatPr baseColWidth="10" defaultRowHeight="15" x14ac:dyDescent="0"/>
  <cols>
    <col min="1" max="1" width="24.6640625" style="15" customWidth="1"/>
    <col min="2" max="5" width="19" style="23" customWidth="1"/>
    <col min="6" max="16384" width="10.83203125" style="15"/>
  </cols>
  <sheetData>
    <row r="1" spans="1:5">
      <c r="B1" s="23" t="s">
        <v>87</v>
      </c>
      <c r="C1" s="23" t="str">
        <f>'R2'!B1</f>
        <v>Scenario</v>
      </c>
      <c r="D1" s="23" t="str">
        <f>'R3'!B1</f>
        <v>Scenario</v>
      </c>
      <c r="E1" s="23" t="str">
        <f>'R4'!B1</f>
        <v>Scenario</v>
      </c>
    </row>
    <row r="2" spans="1:5">
      <c r="B2" s="24" t="s">
        <v>86</v>
      </c>
      <c r="C2" s="23" t="s">
        <v>43</v>
      </c>
      <c r="D2" s="23" t="s">
        <v>157</v>
      </c>
      <c r="E2" s="23" t="s">
        <v>158</v>
      </c>
    </row>
    <row r="3" spans="1:5">
      <c r="A3" s="15" t="s">
        <v>88</v>
      </c>
      <c r="B3" s="25">
        <f>('HTC CP1'!B9+'HTC CP1'!B10)*'HTC CP1'!B11</f>
        <v>8760000</v>
      </c>
      <c r="C3" s="26">
        <f>'R2'!B3</f>
        <v>8760000</v>
      </c>
      <c r="D3" s="26">
        <f>'R3'!B3</f>
        <v>8760000</v>
      </c>
      <c r="E3" s="26">
        <f>'R4'!B3</f>
        <v>8760000</v>
      </c>
    </row>
    <row r="4" spans="1:5">
      <c r="A4" s="15" t="s">
        <v>92</v>
      </c>
      <c r="B4" s="25">
        <f>'HTC CP1'!G2</f>
        <v>277675386.39923024</v>
      </c>
      <c r="C4" s="27">
        <f>'R2'!B4</f>
        <v>2538054714.7756495</v>
      </c>
      <c r="D4" s="27">
        <f>'R3'!B4</f>
        <v>0</v>
      </c>
      <c r="E4" s="27">
        <f>'R4'!B4</f>
        <v>7054233455.3805943</v>
      </c>
    </row>
    <row r="5" spans="1:5">
      <c r="A5" s="15" t="s">
        <v>89</v>
      </c>
      <c r="B5" s="25">
        <f>'HTC CP1'!G3</f>
        <v>56379142248.106384</v>
      </c>
      <c r="C5" s="27">
        <f>'R2'!B5</f>
        <v>54961298483.326492</v>
      </c>
      <c r="D5" s="27">
        <f>'R3'!B5</f>
        <v>56699745855.333786</v>
      </c>
      <c r="E5" s="27">
        <f>'R4'!B5</f>
        <v>52116093994.906654</v>
      </c>
    </row>
    <row r="6" spans="1:5">
      <c r="A6" s="15" t="s">
        <v>90</v>
      </c>
      <c r="B6" s="28">
        <f>'HTC CP1'!G4</f>
        <v>0</v>
      </c>
      <c r="C6" s="28">
        <f>'R2'!B6</f>
        <v>-9451034533.2719631</v>
      </c>
      <c r="D6" s="28">
        <f>'R3'!B6</f>
        <v>-12536655000</v>
      </c>
      <c r="E6" s="28">
        <f>'R4'!B6</f>
        <v>-4401900000</v>
      </c>
    </row>
    <row r="7" spans="1:5">
      <c r="A7" s="15" t="s">
        <v>91</v>
      </c>
      <c r="B7" s="25">
        <f>'HTC CP1'!G5</f>
        <v>-56101466861.707153</v>
      </c>
      <c r="C7" s="25">
        <f>'R2'!B7</f>
        <v>-61874278301.822807</v>
      </c>
      <c r="D7" s="25">
        <f>'R3'!B7</f>
        <v>-69236400855.333786</v>
      </c>
      <c r="E7" s="25">
        <f>'R4'!B7</f>
        <v>-49463760539.526062</v>
      </c>
    </row>
    <row r="8" spans="1:5">
      <c r="B8" s="25"/>
      <c r="C8" s="25"/>
      <c r="D8" s="25"/>
      <c r="E8" s="25"/>
    </row>
    <row r="9" spans="1:5">
      <c r="A9" s="15" t="s">
        <v>127</v>
      </c>
      <c r="B9" s="25"/>
      <c r="C9" s="25"/>
      <c r="D9" s="25"/>
      <c r="E9" s="25"/>
    </row>
    <row r="10" spans="1:5">
      <c r="A10" s="15" t="s">
        <v>130</v>
      </c>
      <c r="B10" s="26">
        <f>'HTC CP1'!C21</f>
        <v>688.83839241302428</v>
      </c>
      <c r="C10" s="26">
        <f>'R2'!B10</f>
        <v>2949.7585475815863</v>
      </c>
      <c r="D10" s="26">
        <f>'R3'!B10</f>
        <v>0</v>
      </c>
      <c r="E10" s="26">
        <f>'R4'!B10</f>
        <v>5521.6251358973304</v>
      </c>
    </row>
    <row r="11" spans="1:5">
      <c r="A11" s="15" t="s">
        <v>131</v>
      </c>
      <c r="B11" s="27">
        <f>'HTC CP1'!C25</f>
        <v>12014.429536222493</v>
      </c>
      <c r="C11" s="27">
        <f>'R2'!B11</f>
        <v>8108.8996665622135</v>
      </c>
      <c r="D11" s="27">
        <f>'R3'!B11</f>
        <v>13459.030064847519</v>
      </c>
      <c r="E11" s="27">
        <f>'R4'!B11</f>
        <v>3898.8941878595451</v>
      </c>
    </row>
    <row r="12" spans="1:5">
      <c r="A12" s="15" t="s">
        <v>132</v>
      </c>
      <c r="B12" s="27">
        <f>'HTC CP1'!C23</f>
        <v>11837.188826171046</v>
      </c>
      <c r="C12" s="27">
        <f>'R2'!B12</f>
        <v>10664.132691328598</v>
      </c>
      <c r="D12" s="27">
        <f>'R3'!B12</f>
        <v>12372.157123210285</v>
      </c>
      <c r="E12" s="27">
        <f>'R4'!B12</f>
        <v>9329.3110684282674</v>
      </c>
    </row>
    <row r="13" spans="1:5">
      <c r="A13" s="15" t="s">
        <v>129</v>
      </c>
      <c r="B13" s="27">
        <f>'HTC CP1'!G15</f>
        <v>866.07910246447136</v>
      </c>
      <c r="C13" s="27">
        <f>'R2'!B13</f>
        <v>394.52552281520184</v>
      </c>
      <c r="D13" s="27">
        <f>'R3'!B13</f>
        <v>1086.8729416372335</v>
      </c>
      <c r="E13" s="27">
        <f>'R4'!B13</f>
        <v>91.208255328607265</v>
      </c>
    </row>
    <row r="14" spans="1:5">
      <c r="A14" s="15" t="s">
        <v>128</v>
      </c>
      <c r="B14" s="28">
        <f>'HTC CP1'!H15</f>
        <v>6.9142361528603802</v>
      </c>
      <c r="C14" s="28">
        <f>'R2'!B14</f>
        <v>2.8979629401445424</v>
      </c>
      <c r="D14" s="28">
        <f>'R3'!B14</f>
        <v>8.7848297658477801</v>
      </c>
      <c r="E14" s="28">
        <f>'R4'!B14</f>
        <v>0.61415828654654947</v>
      </c>
    </row>
    <row r="15" spans="1:5">
      <c r="B15" s="25"/>
      <c r="C15" s="25"/>
      <c r="D15" s="25"/>
      <c r="E15" s="25"/>
    </row>
    <row r="16" spans="1:5">
      <c r="A16" s="15" t="s">
        <v>133</v>
      </c>
      <c r="B16" s="25"/>
      <c r="C16" s="25"/>
      <c r="D16" s="25"/>
      <c r="E16" s="25"/>
    </row>
    <row r="17" spans="1:5">
      <c r="A17" s="15" t="s">
        <v>134</v>
      </c>
      <c r="B17" s="26">
        <f>'HTC CP1'!C22</f>
        <v>148.88651216611461</v>
      </c>
      <c r="C17" s="26">
        <f>'R2'!B17</f>
        <v>1731.4714861739762</v>
      </c>
      <c r="D17" s="26">
        <f>'R3'!B17</f>
        <v>0</v>
      </c>
      <c r="E17" s="26">
        <f>'R4'!B17</f>
        <v>3575.245978348938</v>
      </c>
    </row>
    <row r="18" spans="1:5">
      <c r="A18" s="15" t="s">
        <v>135</v>
      </c>
      <c r="B18" s="27">
        <f>'HTC CP1'!C26</f>
        <v>12626.988151471485</v>
      </c>
      <c r="C18" s="27">
        <f>'R2'!B18</f>
        <v>9384.7103050056048</v>
      </c>
      <c r="D18" s="27">
        <f>'R3'!B18</f>
        <v>13459.030064770663</v>
      </c>
      <c r="E18" s="27">
        <f>'R4'!B18</f>
        <v>5777.2523420606649</v>
      </c>
    </row>
    <row r="19" spans="1:5">
      <c r="A19" s="15" t="s">
        <v>136</v>
      </c>
      <c r="B19" s="27">
        <f>'HTC CP1'!C24</f>
        <v>11819.229685026634</v>
      </c>
      <c r="C19" s="27">
        <f>'R2'!B19</f>
        <v>10587.745066126308</v>
      </c>
      <c r="D19" s="27">
        <f>'R3'!B19</f>
        <v>12372.15712306426</v>
      </c>
      <c r="E19" s="27">
        <f>'R4'!B19</f>
        <v>9152.2384526664027</v>
      </c>
    </row>
    <row r="20" spans="1:5">
      <c r="A20" s="15" t="s">
        <v>137</v>
      </c>
      <c r="B20" s="27">
        <f>'HTC CP1'!G16</f>
        <v>956.64497861096606</v>
      </c>
      <c r="C20" s="27">
        <f>'R2'!B20</f>
        <v>528.43672505327231</v>
      </c>
      <c r="D20" s="27">
        <f>'R3'!B20</f>
        <v>1086.8729417064023</v>
      </c>
      <c r="E20" s="27">
        <f>'R4'!B20</f>
        <v>200.25986774319972</v>
      </c>
    </row>
    <row r="21" spans="1:5">
      <c r="A21" s="15" t="s">
        <v>128</v>
      </c>
      <c r="B21" s="28">
        <f>'HTC CP1'!H16</f>
        <v>7.9932795007066986</v>
      </c>
      <c r="C21" s="28">
        <f>'R2'!B21</f>
        <v>4.2895319098404912</v>
      </c>
      <c r="D21" s="28">
        <f>'R3'!B21</f>
        <v>8.7848297665105335</v>
      </c>
      <c r="E21" s="28">
        <f>'R4'!B21</f>
        <v>1.5734442169513925</v>
      </c>
    </row>
    <row r="22" spans="1:5">
      <c r="B22" s="25"/>
      <c r="C22" s="25"/>
      <c r="D22" s="25"/>
      <c r="E22" s="25"/>
    </row>
    <row r="23" spans="1:5">
      <c r="A23" s="15" t="s">
        <v>116</v>
      </c>
      <c r="B23" s="25"/>
      <c r="C23" s="25"/>
      <c r="D23" s="25"/>
      <c r="E23" s="25"/>
    </row>
    <row r="24" spans="1:5">
      <c r="A24" s="15" t="s">
        <v>120</v>
      </c>
      <c r="B24" s="26">
        <f>'HTC CP1'!B17</f>
        <v>30</v>
      </c>
      <c r="C24" s="26">
        <f>'R2'!B24</f>
        <v>30</v>
      </c>
      <c r="D24" s="26">
        <f>'R3'!B24</f>
        <v>40</v>
      </c>
      <c r="E24" s="26">
        <f>'R4'!B24</f>
        <v>10</v>
      </c>
    </row>
    <row r="25" spans="1:5">
      <c r="A25" s="15" t="s">
        <v>119</v>
      </c>
      <c r="B25" s="27">
        <f>'HTC CP1'!C29</f>
        <v>0</v>
      </c>
      <c r="C25" s="27">
        <f>'R2'!B25</f>
        <v>0</v>
      </c>
      <c r="D25" s="27">
        <f>'R3'!B25</f>
        <v>6.5936073059360716</v>
      </c>
      <c r="E25" s="27">
        <f>'R4'!B25</f>
        <v>0</v>
      </c>
    </row>
    <row r="26" spans="1:5">
      <c r="A26" s="15" t="s">
        <v>118</v>
      </c>
      <c r="B26" s="27">
        <f>'HTC CP1'!G13</f>
        <v>19.465109475142295</v>
      </c>
      <c r="C26" s="27">
        <f>'R2'!B26</f>
        <v>12.820892037867049</v>
      </c>
      <c r="D26" s="27">
        <f>'R3'!B26</f>
        <v>22.000000000135969</v>
      </c>
      <c r="E26" s="27">
        <f>'R4'!B26</f>
        <v>6.0003550406705672</v>
      </c>
    </row>
    <row r="27" spans="1:5">
      <c r="A27" s="15" t="s">
        <v>126</v>
      </c>
      <c r="B27" s="27">
        <f>'HTC CP1'!B16</f>
        <v>50000</v>
      </c>
      <c r="C27" s="27">
        <f>'R2'!B27</f>
        <v>50000</v>
      </c>
      <c r="D27" s="27">
        <f>'R3'!B27</f>
        <v>50000</v>
      </c>
      <c r="E27" s="27">
        <f>'R4'!B27</f>
        <v>50000</v>
      </c>
    </row>
    <row r="28" spans="1:5">
      <c r="A28" s="15" t="s">
        <v>117</v>
      </c>
      <c r="B28" s="28">
        <f>'HTC CP1'!C27</f>
        <v>96142.820499027512</v>
      </c>
      <c r="C28" s="28">
        <f>'R2'!B28</f>
        <v>125244.49287413528</v>
      </c>
      <c r="D28" s="28">
        <f>'R3'!B28</f>
        <v>99960</v>
      </c>
      <c r="E28" s="28">
        <f>'R4'!B28</f>
        <v>67518.444921863935</v>
      </c>
    </row>
    <row r="29" spans="1:5">
      <c r="B29" s="25"/>
      <c r="C29" s="25"/>
      <c r="D29" s="25"/>
      <c r="E29" s="25"/>
    </row>
    <row r="30" spans="1:5">
      <c r="A30" s="15" t="s">
        <v>121</v>
      </c>
      <c r="B30" s="25"/>
      <c r="C30" s="25"/>
      <c r="D30" s="25"/>
      <c r="E30" s="25"/>
    </row>
    <row r="31" spans="1:5">
      <c r="A31" s="15" t="s">
        <v>122</v>
      </c>
      <c r="B31" s="26">
        <f>'HTC CP1'!B18</f>
        <v>10</v>
      </c>
      <c r="C31" s="26">
        <f>'R2'!B31</f>
        <v>10</v>
      </c>
      <c r="D31" s="26">
        <f>'R3'!B31</f>
        <v>30</v>
      </c>
      <c r="E31" s="26">
        <f>'R4'!B31</f>
        <v>5</v>
      </c>
    </row>
    <row r="32" spans="1:5">
      <c r="A32" s="15" t="s">
        <v>123</v>
      </c>
      <c r="B32" s="27">
        <f>'HTC CP1'!C30</f>
        <v>0</v>
      </c>
      <c r="C32" s="27">
        <f>'R2'!B32</f>
        <v>0</v>
      </c>
      <c r="D32" s="27">
        <f>'R3'!B32</f>
        <v>0</v>
      </c>
      <c r="E32" s="27">
        <f>'R4'!B32</f>
        <v>0</v>
      </c>
    </row>
    <row r="33" spans="1:5">
      <c r="A33" s="15" t="s">
        <v>124</v>
      </c>
      <c r="B33" s="27">
        <f>'HTC CP1'!G14</f>
        <v>20.53489052498124</v>
      </c>
      <c r="C33" s="27">
        <f>'R2'!B33</f>
        <v>14.957793332597191</v>
      </c>
      <c r="D33" s="27">
        <f>'R3'!B33</f>
        <v>22</v>
      </c>
      <c r="E33" s="27">
        <f>'R4'!B33</f>
        <v>8.9996449593294532</v>
      </c>
    </row>
    <row r="34" spans="1:5">
      <c r="A34" s="15" t="s">
        <v>125</v>
      </c>
      <c r="B34" s="28">
        <f>'HTC CP1'!C28</f>
        <v>50000</v>
      </c>
      <c r="C34" s="28">
        <f>'R2'!B34</f>
        <v>103529.35807735957</v>
      </c>
      <c r="D34" s="28">
        <f>'R3'!B34</f>
        <v>135000</v>
      </c>
      <c r="E34" s="28">
        <f>'R4'!B34</f>
        <v>50000</v>
      </c>
    </row>
    <row r="35" spans="1:5">
      <c r="B35" s="25"/>
      <c r="C35" s="25"/>
      <c r="D35" s="25"/>
      <c r="E35" s="25"/>
    </row>
    <row r="36" spans="1:5">
      <c r="A36" s="15" t="s">
        <v>97</v>
      </c>
      <c r="B36" s="25"/>
      <c r="C36" s="25"/>
      <c r="D36" s="25"/>
      <c r="E36" s="25"/>
    </row>
    <row r="37" spans="1:5">
      <c r="A37" s="15" t="s">
        <v>99</v>
      </c>
      <c r="B37" s="26">
        <f>'HTC CP1'!H23</f>
        <v>87.55002798264843</v>
      </c>
      <c r="C37" s="26">
        <f>'R2'!B37</f>
        <v>177.97310504342056</v>
      </c>
      <c r="D37" s="26">
        <f>'R3'!B37</f>
        <v>46.312888419207184</v>
      </c>
      <c r="E37" s="26">
        <f>'R4'!B37</f>
        <v>280.86560514198766</v>
      </c>
    </row>
    <row r="38" spans="1:5">
      <c r="A38" s="15" t="s">
        <v>100</v>
      </c>
      <c r="B38" s="27">
        <f>'HTC CP1'!I23</f>
        <v>74.927664277546384</v>
      </c>
      <c r="C38" s="27">
        <f>'R2'!B38</f>
        <v>160.65511241769693</v>
      </c>
      <c r="D38" s="27">
        <f>'R3'!B38</f>
        <v>38.832969727718726</v>
      </c>
      <c r="E38" s="27">
        <f>'R4'!B38</f>
        <v>267.72482183649464</v>
      </c>
    </row>
    <row r="39" spans="1:5">
      <c r="A39" s="15" t="s">
        <v>159</v>
      </c>
      <c r="B39" s="28">
        <f>'1'!E25/(8760)</f>
        <v>-4.9150790362009946</v>
      </c>
      <c r="C39" s="28">
        <f>'R2'!B39/2</f>
        <v>-11.034560748027525</v>
      </c>
      <c r="D39" s="28">
        <f>'R3'!B39/2</f>
        <v>0</v>
      </c>
      <c r="E39" s="28">
        <f>'R4'!B39/2</f>
        <v>-19.367914785987125</v>
      </c>
    </row>
    <row r="40" spans="1:5" hidden="1">
      <c r="A40" s="15" t="s">
        <v>102</v>
      </c>
      <c r="B40" s="25">
        <f>'HTC CP1'!H26</f>
        <v>0</v>
      </c>
      <c r="C40" s="25">
        <f>'R2'!B40</f>
        <v>0</v>
      </c>
      <c r="D40" s="25">
        <f>'R3'!B40</f>
        <v>0</v>
      </c>
      <c r="E40" s="25">
        <f>'R4'!B40</f>
        <v>0</v>
      </c>
    </row>
    <row r="41" spans="1:5" hidden="1">
      <c r="A41" s="15" t="s">
        <v>103</v>
      </c>
      <c r="B41" s="25">
        <f>'HTC CP1'!H27</f>
        <v>0</v>
      </c>
      <c r="C41" s="25">
        <f>'R2'!B41</f>
        <v>0</v>
      </c>
      <c r="D41" s="25">
        <f>'R3'!B41</f>
        <v>0</v>
      </c>
      <c r="E41" s="25">
        <f>'R4'!B41</f>
        <v>0</v>
      </c>
    </row>
    <row r="42" spans="1:5" hidden="1">
      <c r="A42" s="15" t="s">
        <v>104</v>
      </c>
      <c r="B42" s="25">
        <f>'HTC CP1'!H28</f>
        <v>0</v>
      </c>
      <c r="C42" s="25">
        <f>'R2'!B42</f>
        <v>0</v>
      </c>
      <c r="D42" s="25">
        <f>'R3'!B42</f>
        <v>0</v>
      </c>
      <c r="E42" s="25">
        <f>'R4'!B42</f>
        <v>0</v>
      </c>
    </row>
    <row r="43" spans="1:5" hidden="1">
      <c r="A43" s="15" t="s">
        <v>115</v>
      </c>
      <c r="B43" s="25">
        <f>'HTC CP1'!H29</f>
        <v>0</v>
      </c>
      <c r="C43" s="25">
        <f>'R2'!B43</f>
        <v>0</v>
      </c>
      <c r="D43" s="25">
        <f>'R3'!B43</f>
        <v>0</v>
      </c>
      <c r="E43" s="25">
        <f>'R4'!B43</f>
        <v>0</v>
      </c>
    </row>
    <row r="44" spans="1:5" hidden="1">
      <c r="A44" s="15" t="s">
        <v>105</v>
      </c>
      <c r="B44" s="25">
        <f>'HTC CP1'!H30</f>
        <v>0</v>
      </c>
      <c r="C44" s="25">
        <f>'R2'!B44</f>
        <v>0</v>
      </c>
      <c r="D44" s="25">
        <f>'R3'!B44</f>
        <v>0</v>
      </c>
      <c r="E44" s="25">
        <f>'R4'!B44</f>
        <v>0</v>
      </c>
    </row>
    <row r="45" spans="1:5">
      <c r="B45" s="25"/>
      <c r="C45" s="25"/>
      <c r="D45" s="25"/>
      <c r="E45" s="25"/>
    </row>
    <row r="46" spans="1:5">
      <c r="A46" s="15" t="s">
        <v>106</v>
      </c>
      <c r="B46" s="25"/>
      <c r="C46" s="25"/>
      <c r="D46" s="25"/>
      <c r="E46" s="25"/>
    </row>
    <row r="47" spans="1:5">
      <c r="A47" s="15" t="s">
        <v>107</v>
      </c>
      <c r="B47" s="26">
        <f>'HTC CP1'!H24</f>
        <v>88.934378445863558</v>
      </c>
      <c r="C47" s="26">
        <f>'R2'!B47</f>
        <v>183.86131781943038</v>
      </c>
      <c r="D47" s="26">
        <f>'R3'!B47</f>
        <v>46.312888430463204</v>
      </c>
      <c r="E47" s="26">
        <f>'R4'!B47</f>
        <v>294.51495260696481</v>
      </c>
    </row>
    <row r="48" spans="1:5">
      <c r="A48" s="15" t="s">
        <v>108</v>
      </c>
      <c r="B48" s="27">
        <f>'HTC CP1'!I24</f>
        <v>75.458698331130748</v>
      </c>
      <c r="C48" s="27">
        <f>'R2'!B48</f>
        <v>163.15549537104735</v>
      </c>
      <c r="D48" s="27">
        <f>'R3'!B48</f>
        <v>38.832969737199519</v>
      </c>
      <c r="E48" s="27">
        <f>'R4'!B48</f>
        <v>274.09710621031911</v>
      </c>
    </row>
    <row r="49" spans="1:5">
      <c r="A49" s="15" t="s">
        <v>160</v>
      </c>
      <c r="B49" s="28">
        <f>'1'!E26/(8760)</f>
        <v>-4.9150887311075531</v>
      </c>
      <c r="C49" s="28">
        <f>'R2'!B49/2</f>
        <v>-11.037421328489041</v>
      </c>
      <c r="D49" s="28">
        <f>'R3'!B49/2</f>
        <v>0</v>
      </c>
      <c r="E49" s="28">
        <f>'R4'!B49/2</f>
        <v>-19.367837154351392</v>
      </c>
    </row>
    <row r="50" spans="1:5" hidden="1">
      <c r="A50" s="15" t="s">
        <v>110</v>
      </c>
      <c r="B50" s="25">
        <f>'HTC CP1'!H36</f>
        <v>0</v>
      </c>
      <c r="C50" s="23">
        <f>'R2'!B50</f>
        <v>0</v>
      </c>
      <c r="D50" s="23">
        <f>'R3'!B50</f>
        <v>0</v>
      </c>
      <c r="E50" s="23">
        <f>'R4'!B50</f>
        <v>0</v>
      </c>
    </row>
    <row r="51" spans="1:5" hidden="1">
      <c r="A51" s="15" t="s">
        <v>111</v>
      </c>
      <c r="B51" s="25">
        <f>'HTC CP1'!H37</f>
        <v>0</v>
      </c>
      <c r="C51" s="23">
        <f>'R2'!B51</f>
        <v>0</v>
      </c>
      <c r="D51" s="23">
        <f>'R3'!B51</f>
        <v>0</v>
      </c>
      <c r="E51" s="23">
        <f>'R4'!B51</f>
        <v>0</v>
      </c>
    </row>
    <row r="52" spans="1:5" hidden="1">
      <c r="A52" s="15" t="s">
        <v>112</v>
      </c>
      <c r="B52" s="25">
        <f>'HTC CP1'!H38</f>
        <v>0</v>
      </c>
      <c r="C52" s="23">
        <f>'R2'!B52</f>
        <v>0</v>
      </c>
      <c r="D52" s="23">
        <f>'R3'!B52</f>
        <v>0</v>
      </c>
      <c r="E52" s="23">
        <f>'R4'!B52</f>
        <v>0</v>
      </c>
    </row>
    <row r="53" spans="1:5" hidden="1">
      <c r="A53" s="15" t="s">
        <v>113</v>
      </c>
      <c r="B53" s="25">
        <f>'HTC CP1'!H39</f>
        <v>0</v>
      </c>
      <c r="C53" s="23">
        <f>'R2'!B53</f>
        <v>0</v>
      </c>
      <c r="D53" s="23">
        <f>'R3'!B53</f>
        <v>0</v>
      </c>
      <c r="E53" s="23">
        <f>'R4'!B53</f>
        <v>0</v>
      </c>
    </row>
    <row r="54" spans="1:5" hidden="1">
      <c r="A54" s="15" t="s">
        <v>114</v>
      </c>
      <c r="B54" s="25">
        <f>'HTC CP1'!H40</f>
        <v>0</v>
      </c>
      <c r="C54" s="23">
        <f>'R2'!B54</f>
        <v>0</v>
      </c>
      <c r="D54" s="23">
        <f>'R3'!B54</f>
        <v>0</v>
      </c>
      <c r="E54" s="23">
        <f>'R4'!B54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49" sqref="B49"/>
    </sheetView>
  </sheetViews>
  <sheetFormatPr baseColWidth="10" defaultRowHeight="15" x14ac:dyDescent="0"/>
  <cols>
    <col min="1" max="1" width="43.6640625" style="15" customWidth="1"/>
    <col min="2" max="2" width="23.1640625" style="15" customWidth="1"/>
    <col min="3" max="16384" width="10.83203125" style="15"/>
  </cols>
  <sheetData>
    <row r="1" spans="1:2">
      <c r="B1" s="16" t="s">
        <v>87</v>
      </c>
    </row>
    <row r="2" spans="1:2">
      <c r="B2" s="19" t="s">
        <v>86</v>
      </c>
    </row>
    <row r="3" spans="1:2">
      <c r="A3" s="15" t="s">
        <v>88</v>
      </c>
      <c r="B3" s="17">
        <f>('HTC CP3'!B9+'HTC CP3'!B10)*'HTC CP3'!B11</f>
        <v>8760000</v>
      </c>
    </row>
    <row r="4" spans="1:2">
      <c r="A4" s="15" t="s">
        <v>92</v>
      </c>
      <c r="B4" s="17">
        <f>'HTC CP3'!G2</f>
        <v>0</v>
      </c>
    </row>
    <row r="5" spans="1:2">
      <c r="A5" s="15" t="s">
        <v>89</v>
      </c>
      <c r="B5" s="17">
        <f>'HTC CP3'!G3</f>
        <v>56699745855.333786</v>
      </c>
    </row>
    <row r="6" spans="1:2">
      <c r="A6" s="15" t="s">
        <v>90</v>
      </c>
      <c r="B6" s="18">
        <f>'HTC CP3'!G4</f>
        <v>-12536655000</v>
      </c>
    </row>
    <row r="7" spans="1:2">
      <c r="A7" s="15" t="s">
        <v>91</v>
      </c>
      <c r="B7" s="17">
        <f>'HTC CP3'!G5</f>
        <v>-69236400855.333786</v>
      </c>
    </row>
    <row r="8" spans="1:2">
      <c r="B8" s="17"/>
    </row>
    <row r="9" spans="1:2">
      <c r="A9" s="15" t="s">
        <v>127</v>
      </c>
      <c r="B9" s="17"/>
    </row>
    <row r="10" spans="1:2">
      <c r="A10" s="15" t="s">
        <v>130</v>
      </c>
      <c r="B10" s="17">
        <f>'HTC CP3'!C21</f>
        <v>0</v>
      </c>
    </row>
    <row r="11" spans="1:2">
      <c r="A11" s="15" t="s">
        <v>131</v>
      </c>
      <c r="B11" s="17">
        <f>'HTC CP3'!C25</f>
        <v>13459.030064847519</v>
      </c>
    </row>
    <row r="12" spans="1:2">
      <c r="A12" s="15" t="s">
        <v>132</v>
      </c>
      <c r="B12" s="17">
        <f>'HTC CP3'!C23</f>
        <v>12372.157123210285</v>
      </c>
    </row>
    <row r="13" spans="1:2">
      <c r="A13" s="15" t="s">
        <v>129</v>
      </c>
      <c r="B13" s="17">
        <f>'HTC CP3'!G15</f>
        <v>1086.8729416372335</v>
      </c>
    </row>
    <row r="14" spans="1:2">
      <c r="A14" s="15" t="s">
        <v>128</v>
      </c>
      <c r="B14" s="17">
        <f>'HTC CP3'!H15</f>
        <v>8.7848297658477801</v>
      </c>
    </row>
    <row r="15" spans="1:2">
      <c r="B15" s="17"/>
    </row>
    <row r="16" spans="1:2">
      <c r="A16" s="15" t="s">
        <v>133</v>
      </c>
      <c r="B16" s="17"/>
    </row>
    <row r="17" spans="1:2">
      <c r="A17" s="15" t="s">
        <v>134</v>
      </c>
      <c r="B17" s="17">
        <f>'HTC CP3'!C22</f>
        <v>0</v>
      </c>
    </row>
    <row r="18" spans="1:2">
      <c r="A18" s="15" t="s">
        <v>135</v>
      </c>
      <c r="B18" s="17">
        <f>'HTC CP3'!C26</f>
        <v>13459.030064770663</v>
      </c>
    </row>
    <row r="19" spans="1:2">
      <c r="A19" s="15" t="s">
        <v>136</v>
      </c>
      <c r="B19" s="17">
        <f>'HTC CP3'!C24</f>
        <v>12372.15712306426</v>
      </c>
    </row>
    <row r="20" spans="1:2">
      <c r="A20" s="15" t="s">
        <v>137</v>
      </c>
      <c r="B20" s="17">
        <f>'HTC CP3'!G16</f>
        <v>1086.8729417064023</v>
      </c>
    </row>
    <row r="21" spans="1:2">
      <c r="A21" s="15" t="s">
        <v>128</v>
      </c>
      <c r="B21" s="17">
        <f>'HTC CP3'!H16</f>
        <v>8.7848297665105335</v>
      </c>
    </row>
    <row r="22" spans="1:2">
      <c r="B22" s="17"/>
    </row>
    <row r="23" spans="1:2">
      <c r="A23" s="15" t="s">
        <v>116</v>
      </c>
      <c r="B23" s="17"/>
    </row>
    <row r="24" spans="1:2">
      <c r="A24" s="15" t="s">
        <v>120</v>
      </c>
      <c r="B24" s="17">
        <f>'HTC CP3'!B17</f>
        <v>40</v>
      </c>
    </row>
    <row r="25" spans="1:2">
      <c r="A25" s="15" t="s">
        <v>119</v>
      </c>
      <c r="B25" s="17">
        <f>'HTC CP3'!C29</f>
        <v>6.5936073059360716</v>
      </c>
    </row>
    <row r="26" spans="1:2">
      <c r="A26" s="15" t="s">
        <v>118</v>
      </c>
      <c r="B26" s="17">
        <f>'HTC CP3'!G13</f>
        <v>22.000000000135969</v>
      </c>
    </row>
    <row r="27" spans="1:2">
      <c r="A27" s="15" t="s">
        <v>126</v>
      </c>
      <c r="B27" s="17">
        <f>'HTC CP3'!B16</f>
        <v>50000</v>
      </c>
    </row>
    <row r="28" spans="1:2">
      <c r="A28" s="15" t="s">
        <v>117</v>
      </c>
      <c r="B28" s="17">
        <f>'HTC CP3'!C27</f>
        <v>99960</v>
      </c>
    </row>
    <row r="29" spans="1:2">
      <c r="B29" s="17"/>
    </row>
    <row r="30" spans="1:2">
      <c r="A30" s="15" t="s">
        <v>121</v>
      </c>
      <c r="B30" s="17"/>
    </row>
    <row r="31" spans="1:2">
      <c r="A31" s="15" t="s">
        <v>122</v>
      </c>
      <c r="B31" s="17">
        <f>'HTC CP3'!B18</f>
        <v>30</v>
      </c>
    </row>
    <row r="32" spans="1:2">
      <c r="A32" s="15" t="s">
        <v>123</v>
      </c>
      <c r="B32" s="17">
        <f>'HTC CP3'!C30</f>
        <v>0</v>
      </c>
    </row>
    <row r="33" spans="1:2">
      <c r="A33" s="15" t="s">
        <v>124</v>
      </c>
      <c r="B33" s="17">
        <f>'HTC CP3'!G14</f>
        <v>22</v>
      </c>
    </row>
    <row r="34" spans="1:2">
      <c r="A34" s="15" t="s">
        <v>125</v>
      </c>
      <c r="B34" s="17">
        <f>'HTC CP3'!C28</f>
        <v>135000</v>
      </c>
    </row>
    <row r="35" spans="1:2">
      <c r="B35" s="17"/>
    </row>
    <row r="36" spans="1:2">
      <c r="A36" s="15" t="s">
        <v>97</v>
      </c>
      <c r="B36" s="17"/>
    </row>
    <row r="37" spans="1:2">
      <c r="A37" s="15" t="s">
        <v>99</v>
      </c>
      <c r="B37" s="20">
        <f>'HTC CP3'!H23</f>
        <v>46.312888419207184</v>
      </c>
    </row>
    <row r="38" spans="1:2">
      <c r="A38" s="15" t="s">
        <v>100</v>
      </c>
      <c r="B38" s="20">
        <f>'HTC CP3'!I23</f>
        <v>38.832969727718726</v>
      </c>
    </row>
    <row r="39" spans="1:2">
      <c r="A39" s="15" t="s">
        <v>101</v>
      </c>
      <c r="B39" s="20">
        <f>'3'!E25/(8760/2)</f>
        <v>0</v>
      </c>
    </row>
    <row r="40" spans="1:2">
      <c r="A40" s="15" t="s">
        <v>102</v>
      </c>
      <c r="B40" s="20">
        <f>'HTC CP3'!H26</f>
        <v>0</v>
      </c>
    </row>
    <row r="41" spans="1:2">
      <c r="A41" s="15" t="s">
        <v>103</v>
      </c>
      <c r="B41" s="20">
        <f>'HTC CP3'!H27</f>
        <v>0</v>
      </c>
    </row>
    <row r="42" spans="1:2">
      <c r="A42" s="15" t="s">
        <v>104</v>
      </c>
      <c r="B42" s="20">
        <f>'HTC CP3'!H28</f>
        <v>0</v>
      </c>
    </row>
    <row r="43" spans="1:2">
      <c r="A43" s="15" t="s">
        <v>115</v>
      </c>
      <c r="B43" s="20">
        <f>'HTC CP3'!H29</f>
        <v>0</v>
      </c>
    </row>
    <row r="44" spans="1:2">
      <c r="A44" s="15" t="s">
        <v>105</v>
      </c>
      <c r="B44" s="20">
        <f>'HTC CP3'!H30</f>
        <v>0</v>
      </c>
    </row>
    <row r="45" spans="1:2">
      <c r="B45" s="20"/>
    </row>
    <row r="46" spans="1:2">
      <c r="A46" s="15" t="s">
        <v>106</v>
      </c>
    </row>
    <row r="47" spans="1:2">
      <c r="A47" s="15" t="s">
        <v>107</v>
      </c>
      <c r="B47" s="20">
        <f>'HTC CP3'!H24</f>
        <v>46.312888430463204</v>
      </c>
    </row>
    <row r="48" spans="1:2">
      <c r="A48" s="15" t="s">
        <v>108</v>
      </c>
      <c r="B48" s="20">
        <f>'HTC CP3'!I24</f>
        <v>38.832969737199519</v>
      </c>
    </row>
    <row r="49" spans="1:2">
      <c r="A49" s="15" t="s">
        <v>109</v>
      </c>
      <c r="B49" s="20">
        <f>'3'!E26/(8760/2)</f>
        <v>0</v>
      </c>
    </row>
    <row r="50" spans="1:2">
      <c r="A50" s="15" t="s">
        <v>110</v>
      </c>
      <c r="B50" s="20">
        <f>'HTC CP3'!H36</f>
        <v>0</v>
      </c>
    </row>
    <row r="51" spans="1:2">
      <c r="A51" s="15" t="s">
        <v>111</v>
      </c>
      <c r="B51" s="20">
        <f>'HTC CP3'!H37</f>
        <v>0</v>
      </c>
    </row>
    <row r="52" spans="1:2">
      <c r="A52" s="15" t="s">
        <v>112</v>
      </c>
      <c r="B52" s="20">
        <f>'HTC CP3'!H38</f>
        <v>0</v>
      </c>
    </row>
    <row r="53" spans="1:2">
      <c r="A53" s="15" t="s">
        <v>113</v>
      </c>
      <c r="B53" s="20">
        <f>'HTC CP3'!H39</f>
        <v>0</v>
      </c>
    </row>
    <row r="54" spans="1:2">
      <c r="A54" s="15" t="s">
        <v>114</v>
      </c>
      <c r="B54" s="20">
        <f>'HTC CP3'!H40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50" sqref="B50"/>
    </sheetView>
  </sheetViews>
  <sheetFormatPr baseColWidth="10" defaultRowHeight="15" x14ac:dyDescent="0"/>
  <cols>
    <col min="1" max="1" width="43.6640625" style="15" customWidth="1"/>
    <col min="2" max="2" width="23.1640625" style="15" customWidth="1"/>
    <col min="3" max="16384" width="10.83203125" style="15"/>
  </cols>
  <sheetData>
    <row r="1" spans="1:2">
      <c r="B1" s="16" t="s">
        <v>87</v>
      </c>
    </row>
    <row r="2" spans="1:2">
      <c r="B2" s="19" t="s">
        <v>86</v>
      </c>
    </row>
    <row r="3" spans="1:2">
      <c r="A3" s="15" t="s">
        <v>88</v>
      </c>
      <c r="B3" s="17">
        <f>('HTC CP2'!B9+'HTC CP2'!B10)*'HTC CP2'!B11</f>
        <v>8760000</v>
      </c>
    </row>
    <row r="4" spans="1:2">
      <c r="A4" s="15" t="s">
        <v>92</v>
      </c>
      <c r="B4" s="17">
        <f>'HTC CP2'!G2</f>
        <v>2538054714.7756495</v>
      </c>
    </row>
    <row r="5" spans="1:2">
      <c r="A5" s="15" t="s">
        <v>89</v>
      </c>
      <c r="B5" s="17">
        <f>'HTC CP2'!G3</f>
        <v>54961298483.326492</v>
      </c>
    </row>
    <row r="6" spans="1:2">
      <c r="A6" s="15" t="s">
        <v>90</v>
      </c>
      <c r="B6" s="18">
        <f>'HTC CP2'!G4</f>
        <v>-9451034533.2719631</v>
      </c>
    </row>
    <row r="7" spans="1:2">
      <c r="A7" s="15" t="s">
        <v>91</v>
      </c>
      <c r="B7" s="17">
        <f>'HTC CP2'!G5</f>
        <v>-61874278301.822807</v>
      </c>
    </row>
    <row r="8" spans="1:2">
      <c r="B8" s="17"/>
    </row>
    <row r="9" spans="1:2">
      <c r="A9" s="15" t="s">
        <v>127</v>
      </c>
      <c r="B9" s="17"/>
    </row>
    <row r="10" spans="1:2">
      <c r="A10" s="15" t="s">
        <v>130</v>
      </c>
      <c r="B10" s="17">
        <f>'HTC CP2'!C21</f>
        <v>2949.7585475815863</v>
      </c>
    </row>
    <row r="11" spans="1:2">
      <c r="A11" s="15" t="s">
        <v>131</v>
      </c>
      <c r="B11" s="17">
        <f>'HTC CP2'!C25</f>
        <v>8108.8996665622135</v>
      </c>
    </row>
    <row r="12" spans="1:2">
      <c r="A12" s="15" t="s">
        <v>132</v>
      </c>
      <c r="B12" s="17">
        <f>'HTC CP2'!C23</f>
        <v>10664.132691328598</v>
      </c>
    </row>
    <row r="13" spans="1:2">
      <c r="A13" s="15" t="s">
        <v>129</v>
      </c>
      <c r="B13" s="17">
        <f>'HTC CP2'!G15</f>
        <v>394.52552281520184</v>
      </c>
    </row>
    <row r="14" spans="1:2">
      <c r="A14" s="15" t="s">
        <v>128</v>
      </c>
      <c r="B14" s="17">
        <f>'HTC CP2'!H15</f>
        <v>2.8979629401445424</v>
      </c>
    </row>
    <row r="15" spans="1:2">
      <c r="B15" s="17"/>
    </row>
    <row r="16" spans="1:2">
      <c r="A16" s="15" t="s">
        <v>133</v>
      </c>
      <c r="B16" s="17"/>
    </row>
    <row r="17" spans="1:2">
      <c r="A17" s="15" t="s">
        <v>134</v>
      </c>
      <c r="B17" s="17">
        <f>'HTC CP2'!C22</f>
        <v>1731.4714861739762</v>
      </c>
    </row>
    <row r="18" spans="1:2">
      <c r="A18" s="15" t="s">
        <v>135</v>
      </c>
      <c r="B18" s="17">
        <f>'HTC CP2'!C26</f>
        <v>9384.7103050056048</v>
      </c>
    </row>
    <row r="19" spans="1:2">
      <c r="A19" s="15" t="s">
        <v>136</v>
      </c>
      <c r="B19" s="17">
        <f>'HTC CP2'!C24</f>
        <v>10587.745066126308</v>
      </c>
    </row>
    <row r="20" spans="1:2">
      <c r="A20" s="15" t="s">
        <v>137</v>
      </c>
      <c r="B20" s="17">
        <f>'HTC CP2'!G16</f>
        <v>528.43672505327231</v>
      </c>
    </row>
    <row r="21" spans="1:2">
      <c r="A21" s="15" t="s">
        <v>128</v>
      </c>
      <c r="B21" s="17">
        <f>'HTC CP2'!H16</f>
        <v>4.2895319098404912</v>
      </c>
    </row>
    <row r="22" spans="1:2">
      <c r="B22" s="17"/>
    </row>
    <row r="23" spans="1:2">
      <c r="A23" s="15" t="s">
        <v>116</v>
      </c>
      <c r="B23" s="17"/>
    </row>
    <row r="24" spans="1:2">
      <c r="A24" s="15" t="s">
        <v>120</v>
      </c>
      <c r="B24" s="17">
        <f>'HTC CP2'!B17</f>
        <v>30</v>
      </c>
    </row>
    <row r="25" spans="1:2">
      <c r="A25" s="15" t="s">
        <v>119</v>
      </c>
      <c r="B25" s="17">
        <f>'HTC CP2'!C29</f>
        <v>0</v>
      </c>
    </row>
    <row r="26" spans="1:2">
      <c r="A26" s="15" t="s">
        <v>118</v>
      </c>
      <c r="B26" s="17">
        <f>'HTC CP2'!G13</f>
        <v>12.820892037867049</v>
      </c>
    </row>
    <row r="27" spans="1:2">
      <c r="A27" s="15" t="s">
        <v>126</v>
      </c>
      <c r="B27" s="17">
        <f>'HTC CP2'!B16</f>
        <v>50000</v>
      </c>
    </row>
    <row r="28" spans="1:2">
      <c r="A28" s="15" t="s">
        <v>117</v>
      </c>
      <c r="B28" s="17">
        <f>'HTC CP2'!C27</f>
        <v>125244.49287413528</v>
      </c>
    </row>
    <row r="29" spans="1:2">
      <c r="B29" s="17"/>
    </row>
    <row r="30" spans="1:2">
      <c r="A30" s="15" t="s">
        <v>121</v>
      </c>
      <c r="B30" s="17"/>
    </row>
    <row r="31" spans="1:2">
      <c r="A31" s="15" t="s">
        <v>122</v>
      </c>
      <c r="B31" s="17">
        <f>'HTC CP2'!B18</f>
        <v>10</v>
      </c>
    </row>
    <row r="32" spans="1:2">
      <c r="A32" s="15" t="s">
        <v>123</v>
      </c>
      <c r="B32" s="17">
        <f>'HTC CP2'!C30</f>
        <v>0</v>
      </c>
    </row>
    <row r="33" spans="1:2">
      <c r="A33" s="15" t="s">
        <v>124</v>
      </c>
      <c r="B33" s="17">
        <f>'HTC CP2'!G14</f>
        <v>14.957793332597191</v>
      </c>
    </row>
    <row r="34" spans="1:2">
      <c r="A34" s="15" t="s">
        <v>125</v>
      </c>
      <c r="B34" s="17">
        <f>'HTC CP2'!C28</f>
        <v>103529.35807735957</v>
      </c>
    </row>
    <row r="35" spans="1:2">
      <c r="B35" s="17"/>
    </row>
    <row r="36" spans="1:2">
      <c r="A36" s="15" t="s">
        <v>97</v>
      </c>
      <c r="B36" s="17"/>
    </row>
    <row r="37" spans="1:2">
      <c r="A37" s="15" t="s">
        <v>99</v>
      </c>
      <c r="B37" s="20">
        <f>'HTC CP2'!H23</f>
        <v>177.97310504342056</v>
      </c>
    </row>
    <row r="38" spans="1:2">
      <c r="A38" s="15" t="s">
        <v>100</v>
      </c>
      <c r="B38" s="20">
        <f>'HTC CP2'!I23</f>
        <v>160.65511241769693</v>
      </c>
    </row>
    <row r="39" spans="1:2">
      <c r="A39" s="15" t="s">
        <v>101</v>
      </c>
      <c r="B39" s="20">
        <f>'2'!E25/(8760/2)</f>
        <v>-22.06912149605505</v>
      </c>
    </row>
    <row r="40" spans="1:2">
      <c r="A40" s="15" t="s">
        <v>102</v>
      </c>
      <c r="B40" s="20">
        <f>'HTC CP2'!H26</f>
        <v>0</v>
      </c>
    </row>
    <row r="41" spans="1:2">
      <c r="A41" s="15" t="s">
        <v>103</v>
      </c>
      <c r="B41" s="20">
        <f>'HTC CP2'!H27</f>
        <v>0</v>
      </c>
    </row>
    <row r="42" spans="1:2">
      <c r="A42" s="15" t="s">
        <v>104</v>
      </c>
      <c r="B42" s="20">
        <f>'HTC CP2'!H28</f>
        <v>0</v>
      </c>
    </row>
    <row r="43" spans="1:2">
      <c r="A43" s="15" t="s">
        <v>115</v>
      </c>
      <c r="B43" s="20">
        <f>'HTC CP2'!H29</f>
        <v>0</v>
      </c>
    </row>
    <row r="44" spans="1:2">
      <c r="A44" s="15" t="s">
        <v>105</v>
      </c>
      <c r="B44" s="20">
        <f>'HTC CP2'!H30</f>
        <v>0</v>
      </c>
    </row>
    <row r="45" spans="1:2">
      <c r="B45" s="20"/>
    </row>
    <row r="46" spans="1:2">
      <c r="A46" s="15" t="s">
        <v>106</v>
      </c>
    </row>
    <row r="47" spans="1:2">
      <c r="A47" s="15" t="s">
        <v>107</v>
      </c>
      <c r="B47" s="20">
        <f>'HTC CP2'!H24</f>
        <v>183.86131781943038</v>
      </c>
    </row>
    <row r="48" spans="1:2">
      <c r="A48" s="15" t="s">
        <v>108</v>
      </c>
      <c r="B48" s="20">
        <f>'HTC CP2'!I24</f>
        <v>163.15549537104735</v>
      </c>
    </row>
    <row r="49" spans="1:2">
      <c r="A49" s="15" t="s">
        <v>109</v>
      </c>
      <c r="B49" s="20">
        <f>'2'!E26/(8760/2)</f>
        <v>-22.074842656978081</v>
      </c>
    </row>
    <row r="50" spans="1:2">
      <c r="A50" s="15" t="s">
        <v>110</v>
      </c>
      <c r="B50" s="20">
        <f>'HTC CP2'!H36</f>
        <v>0</v>
      </c>
    </row>
    <row r="51" spans="1:2">
      <c r="A51" s="15" t="s">
        <v>111</v>
      </c>
      <c r="B51" s="20">
        <f>'HTC CP2'!H37</f>
        <v>0</v>
      </c>
    </row>
    <row r="52" spans="1:2">
      <c r="A52" s="15" t="s">
        <v>112</v>
      </c>
      <c r="B52" s="20">
        <f>'HTC CP2'!H38</f>
        <v>0</v>
      </c>
    </row>
    <row r="53" spans="1:2">
      <c r="A53" s="15" t="s">
        <v>113</v>
      </c>
      <c r="B53" s="20">
        <f>'HTC CP2'!H39</f>
        <v>0</v>
      </c>
    </row>
    <row r="54" spans="1:2">
      <c r="A54" s="15" t="s">
        <v>114</v>
      </c>
      <c r="B54" s="20">
        <f>'HTC CP2'!H40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topLeftCell="A4" workbookViewId="0">
      <selection sqref="A1:A3"/>
    </sheetView>
  </sheetViews>
  <sheetFormatPr baseColWidth="10" defaultRowHeight="14" x14ac:dyDescent="0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4" t="s">
        <v>65</v>
      </c>
    </row>
    <row r="2" spans="1:5">
      <c r="A2" s="4" t="s">
        <v>151</v>
      </c>
    </row>
    <row r="3" spans="1:5">
      <c r="A3" s="4" t="s">
        <v>152</v>
      </c>
    </row>
    <row r="6" spans="1:5" ht="15" thickBot="1">
      <c r="A6" t="s">
        <v>49</v>
      </c>
    </row>
    <row r="7" spans="1:5">
      <c r="B7" s="9"/>
      <c r="C7" s="9"/>
      <c r="D7" s="9" t="s">
        <v>66</v>
      </c>
      <c r="E7" s="9" t="s">
        <v>68</v>
      </c>
    </row>
    <row r="8" spans="1:5" ht="15" thickBot="1">
      <c r="B8" s="10" t="s">
        <v>47</v>
      </c>
      <c r="C8" s="10" t="s">
        <v>48</v>
      </c>
      <c r="D8" s="10" t="s">
        <v>67</v>
      </c>
      <c r="E8" s="10" t="s">
        <v>69</v>
      </c>
    </row>
    <row r="9" spans="1:5">
      <c r="B9" s="6" t="s">
        <v>51</v>
      </c>
      <c r="C9" s="6" t="s">
        <v>76</v>
      </c>
      <c r="D9" s="13">
        <v>5521.6251358973304</v>
      </c>
      <c r="E9" s="13">
        <v>0</v>
      </c>
    </row>
    <row r="10" spans="1:5">
      <c r="B10" s="6" t="s">
        <v>52</v>
      </c>
      <c r="C10" s="6" t="s">
        <v>77</v>
      </c>
      <c r="D10" s="13">
        <v>3575.245978348938</v>
      </c>
      <c r="E10" s="13">
        <v>0</v>
      </c>
    </row>
    <row r="11" spans="1:5">
      <c r="B11" s="6" t="s">
        <v>53</v>
      </c>
      <c r="C11" s="6" t="s">
        <v>78</v>
      </c>
      <c r="D11" s="13">
        <v>9329.3110684282674</v>
      </c>
      <c r="E11" s="13">
        <v>0</v>
      </c>
    </row>
    <row r="12" spans="1:5">
      <c r="B12" s="6" t="s">
        <v>54</v>
      </c>
      <c r="C12" s="6" t="s">
        <v>79</v>
      </c>
      <c r="D12" s="13">
        <v>9152.2384526664027</v>
      </c>
      <c r="E12" s="13">
        <v>0</v>
      </c>
    </row>
    <row r="13" spans="1:5">
      <c r="B13" s="6" t="s">
        <v>55</v>
      </c>
      <c r="C13" s="6" t="s">
        <v>80</v>
      </c>
      <c r="D13" s="13">
        <v>3898.8941878595451</v>
      </c>
      <c r="E13" s="13">
        <v>0</v>
      </c>
    </row>
    <row r="14" spans="1:5">
      <c r="B14" s="6" t="s">
        <v>56</v>
      </c>
      <c r="C14" s="6" t="s">
        <v>81</v>
      </c>
      <c r="D14" s="13">
        <v>5777.2523420606649</v>
      </c>
      <c r="E14" s="13">
        <v>0</v>
      </c>
    </row>
    <row r="15" spans="1:5">
      <c r="B15" s="6" t="s">
        <v>57</v>
      </c>
      <c r="C15" s="6" t="s">
        <v>82</v>
      </c>
      <c r="D15" s="13">
        <v>67518.444921863935</v>
      </c>
      <c r="E15" s="13">
        <v>0</v>
      </c>
    </row>
    <row r="16" spans="1:5">
      <c r="B16" s="6" t="s">
        <v>58</v>
      </c>
      <c r="C16" s="6" t="s">
        <v>83</v>
      </c>
      <c r="D16" s="13">
        <v>50000</v>
      </c>
      <c r="E16" s="13">
        <v>77682.253472118202</v>
      </c>
    </row>
    <row r="17" spans="1:5">
      <c r="B17" s="6" t="s">
        <v>59</v>
      </c>
      <c r="C17" s="6" t="s">
        <v>84</v>
      </c>
      <c r="D17" s="13">
        <v>0</v>
      </c>
      <c r="E17" s="13">
        <v>743123648.84058273</v>
      </c>
    </row>
    <row r="18" spans="1:5" ht="15" thickBot="1">
      <c r="B18" s="5" t="s">
        <v>60</v>
      </c>
      <c r="C18" s="5" t="s">
        <v>85</v>
      </c>
      <c r="D18" s="14">
        <v>0</v>
      </c>
      <c r="E18" s="14">
        <v>743120670.20787776</v>
      </c>
    </row>
    <row r="20" spans="1:5" ht="15" thickBot="1">
      <c r="A20" t="s">
        <v>50</v>
      </c>
    </row>
    <row r="21" spans="1:5">
      <c r="B21" s="9"/>
      <c r="C21" s="9"/>
      <c r="D21" s="9" t="s">
        <v>66</v>
      </c>
      <c r="E21" s="9" t="s">
        <v>70</v>
      </c>
    </row>
    <row r="22" spans="1:5" ht="15" thickBot="1">
      <c r="B22" s="10" t="s">
        <v>47</v>
      </c>
      <c r="C22" s="10" t="s">
        <v>48</v>
      </c>
      <c r="D22" s="10" t="s">
        <v>67</v>
      </c>
      <c r="E22" s="10" t="s">
        <v>71</v>
      </c>
    </row>
    <row r="23" spans="1:5">
      <c r="B23" s="6" t="s">
        <v>61</v>
      </c>
      <c r="C23" s="6" t="s">
        <v>16</v>
      </c>
      <c r="D23" s="8">
        <v>1.4188117347657681E-10</v>
      </c>
      <c r="E23" s="8">
        <v>-1230189.25</v>
      </c>
    </row>
    <row r="24" spans="1:5">
      <c r="B24" s="6" t="s">
        <v>62</v>
      </c>
      <c r="C24" s="6" t="s">
        <v>17</v>
      </c>
      <c r="D24" s="8">
        <v>-1.2732925824820995E-10</v>
      </c>
      <c r="E24" s="8">
        <v>-1289975.125</v>
      </c>
    </row>
    <row r="25" spans="1:5">
      <c r="B25" s="6" t="s">
        <v>63</v>
      </c>
      <c r="C25" s="6" t="s">
        <v>18</v>
      </c>
      <c r="D25" s="8">
        <v>1.0186340659856796E-9</v>
      </c>
      <c r="E25" s="8">
        <v>-169662.93352524721</v>
      </c>
    </row>
    <row r="26" spans="1:5">
      <c r="B26" s="6" t="s">
        <v>64</v>
      </c>
      <c r="C26" s="6" t="s">
        <v>19</v>
      </c>
      <c r="D26" s="8">
        <v>-9.3132257461547852E-10</v>
      </c>
      <c r="E26" s="8">
        <v>-169662.2534721182</v>
      </c>
    </row>
    <row r="27" spans="1:5">
      <c r="B27" s="6" t="s">
        <v>153</v>
      </c>
      <c r="C27" s="6" t="s">
        <v>72</v>
      </c>
      <c r="D27" s="13">
        <v>6.0003550406705672</v>
      </c>
      <c r="E27" s="13">
        <v>0</v>
      </c>
    </row>
    <row r="28" spans="1:5" ht="15" thickBot="1">
      <c r="B28" s="5" t="s">
        <v>154</v>
      </c>
      <c r="C28" s="5" t="s">
        <v>73</v>
      </c>
      <c r="D28" s="14">
        <v>8.9996449593294532</v>
      </c>
      <c r="E28" s="1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4"/>
  <sheetViews>
    <sheetView zoomScale="90" zoomScaleNormal="90" zoomScalePageLayoutView="90" workbookViewId="0">
      <selection activeCell="B13" sqref="B13:C15"/>
    </sheetView>
  </sheetViews>
  <sheetFormatPr baseColWidth="10" defaultRowHeight="14" x14ac:dyDescent="0.75"/>
  <cols>
    <col min="3" max="3" width="15.1640625" customWidth="1"/>
    <col min="6" max="6" width="14.83203125" customWidth="1"/>
    <col min="7" max="7" width="17.33203125" customWidth="1"/>
    <col min="8" max="8" width="22.5" customWidth="1"/>
    <col min="9" max="9" width="12.1640625" bestFit="1" customWidth="1"/>
  </cols>
  <sheetData>
    <row r="1" spans="1:8">
      <c r="A1" t="s">
        <v>23</v>
      </c>
      <c r="B1" s="1">
        <v>0</v>
      </c>
      <c r="C1" t="s">
        <v>8</v>
      </c>
    </row>
    <row r="2" spans="1:8">
      <c r="A2" t="s">
        <v>24</v>
      </c>
      <c r="B2" s="1">
        <v>1.5E-3</v>
      </c>
      <c r="C2" t="s">
        <v>13</v>
      </c>
      <c r="F2" t="s">
        <v>34</v>
      </c>
      <c r="G2">
        <f>B9*(B5*C21+B7*C21^2)+B10*(B6*C22+B8*C22^2)</f>
        <v>7054233455.3805943</v>
      </c>
    </row>
    <row r="3" spans="1:8">
      <c r="A3" t="s">
        <v>25</v>
      </c>
      <c r="B3" s="1">
        <v>1E-8</v>
      </c>
      <c r="C3" t="s">
        <v>26</v>
      </c>
      <c r="F3" t="s">
        <v>41</v>
      </c>
      <c r="G3">
        <f>B9*(B11*C23-0.5*B12*C23^2)+B10*(B11*C24-0.5*B12*C24^2)</f>
        <v>52116093994.906654</v>
      </c>
    </row>
    <row r="4" spans="1:8">
      <c r="A4" t="s">
        <v>37</v>
      </c>
      <c r="B4">
        <v>1000</v>
      </c>
      <c r="C4" t="s">
        <v>93</v>
      </c>
      <c r="F4" t="s">
        <v>43</v>
      </c>
      <c r="G4">
        <f>(B13-B14*C28-B15*C28^2)*(B9+B10)/24</f>
        <v>-4401900000</v>
      </c>
    </row>
    <row r="5" spans="1:8">
      <c r="A5" t="s">
        <v>27</v>
      </c>
      <c r="B5">
        <v>60</v>
      </c>
      <c r="C5" t="s">
        <v>4</v>
      </c>
      <c r="F5" t="s">
        <v>45</v>
      </c>
      <c r="G5">
        <f>G2-G3+G4</f>
        <v>-49463760539.526062</v>
      </c>
    </row>
    <row r="6" spans="1:8">
      <c r="A6" t="s">
        <v>28</v>
      </c>
      <c r="B6">
        <v>80</v>
      </c>
      <c r="C6" t="s">
        <v>4</v>
      </c>
    </row>
    <row r="7" spans="1:8">
      <c r="A7" t="s">
        <v>38</v>
      </c>
      <c r="B7">
        <v>0.02</v>
      </c>
      <c r="C7" t="s">
        <v>33</v>
      </c>
      <c r="F7" t="s">
        <v>16</v>
      </c>
      <c r="G7">
        <f>C23+B19*C25^2-(C21+C25)</f>
        <v>1.4188117347657681E-10</v>
      </c>
    </row>
    <row r="8" spans="1:8">
      <c r="A8" t="s">
        <v>39</v>
      </c>
      <c r="B8">
        <v>0.03</v>
      </c>
      <c r="C8" t="s">
        <v>33</v>
      </c>
      <c r="F8" t="s">
        <v>17</v>
      </c>
      <c r="G8">
        <f>C24+B19*C26^2-(C22+C26)</f>
        <v>-1.2732925824820995E-10</v>
      </c>
    </row>
    <row r="9" spans="1:8">
      <c r="A9" t="s">
        <v>0</v>
      </c>
      <c r="B9">
        <f>8760/2</f>
        <v>4380</v>
      </c>
      <c r="C9" t="s">
        <v>5</v>
      </c>
      <c r="F9" s="3" t="s">
        <v>18</v>
      </c>
      <c r="G9">
        <f>C27-B16-(B17-C29-B1-B2*C25-B3*C25^2)*B9</f>
        <v>1.0186340659856796E-9</v>
      </c>
    </row>
    <row r="10" spans="1:8">
      <c r="A10" t="s">
        <v>1</v>
      </c>
      <c r="B10">
        <f>B9</f>
        <v>4380</v>
      </c>
      <c r="C10" t="s">
        <v>5</v>
      </c>
      <c r="F10" s="3" t="s">
        <v>19</v>
      </c>
      <c r="G10">
        <f>C28-C27-(B18-C30--B1-B2*C26-B3*C26^2)*B10</f>
        <v>-9.3132257461547852E-10</v>
      </c>
    </row>
    <row r="11" spans="1:8">
      <c r="A11" t="s">
        <v>31</v>
      </c>
      <c r="B11">
        <v>1000</v>
      </c>
      <c r="C11" t="s">
        <v>4</v>
      </c>
      <c r="F11" t="s">
        <v>138</v>
      </c>
      <c r="G11">
        <f>B5+2*B7*C21</f>
        <v>280.86500543589318</v>
      </c>
    </row>
    <row r="12" spans="1:8">
      <c r="A12" t="s">
        <v>32</v>
      </c>
      <c r="B12">
        <f>(B11-D20)/B20</f>
        <v>7.7083333333333337E-2</v>
      </c>
      <c r="C12" t="s">
        <v>33</v>
      </c>
      <c r="F12" t="s">
        <v>139</v>
      </c>
      <c r="G12">
        <f>B6+2*B8*C22</f>
        <v>294.51475870093628</v>
      </c>
    </row>
    <row r="13" spans="1:8">
      <c r="A13" t="s">
        <v>3</v>
      </c>
      <c r="B13" s="11">
        <f>10000*24</f>
        <v>240000</v>
      </c>
      <c r="C13" t="s">
        <v>96</v>
      </c>
      <c r="F13" t="s">
        <v>72</v>
      </c>
      <c r="G13" s="1">
        <f>$B$1+$B$2*C25+$B$3*C25^2</f>
        <v>6.0003550406705672</v>
      </c>
    </row>
    <row r="14" spans="1:8">
      <c r="A14" t="s">
        <v>29</v>
      </c>
      <c r="B14" s="11">
        <f>10*24</f>
        <v>240</v>
      </c>
      <c r="C14" t="s">
        <v>94</v>
      </c>
      <c r="F14" t="s">
        <v>73</v>
      </c>
      <c r="G14" s="1">
        <f>$B$1+$B$2*C26+$B$3*C26^2</f>
        <v>8.9996449593294532</v>
      </c>
    </row>
    <row r="15" spans="1:8">
      <c r="A15" t="s">
        <v>30</v>
      </c>
      <c r="B15" s="11">
        <f>0.000005*24</f>
        <v>1.2000000000000002E-4</v>
      </c>
      <c r="C15" t="s">
        <v>95</v>
      </c>
      <c r="F15" t="s">
        <v>142</v>
      </c>
      <c r="G15" s="1">
        <f>C21+C25-C23</f>
        <v>91.208255328607265</v>
      </c>
      <c r="H15">
        <f>100*G15/(C21+C23)</f>
        <v>0.61415828654654947</v>
      </c>
    </row>
    <row r="16" spans="1:8">
      <c r="A16" t="s">
        <v>7</v>
      </c>
      <c r="B16">
        <f>A28</f>
        <v>50000</v>
      </c>
      <c r="C16" t="s">
        <v>8</v>
      </c>
      <c r="F16" t="s">
        <v>143</v>
      </c>
      <c r="G16">
        <f>C22+C26-C24</f>
        <v>200.25986774319972</v>
      </c>
      <c r="H16">
        <f>100*G16/(C22+C24)</f>
        <v>1.5734442169513925</v>
      </c>
    </row>
    <row r="17" spans="1:11">
      <c r="A17" t="s">
        <v>9</v>
      </c>
      <c r="B17" s="2">
        <v>10</v>
      </c>
      <c r="C17" t="s">
        <v>10</v>
      </c>
    </row>
    <row r="18" spans="1:11">
      <c r="A18" t="s">
        <v>22</v>
      </c>
      <c r="B18">
        <v>5</v>
      </c>
      <c r="C18" t="s">
        <v>10</v>
      </c>
    </row>
    <row r="19" spans="1:11">
      <c r="A19" t="s">
        <v>40</v>
      </c>
      <c r="B19">
        <v>6.0000000000000002E-6</v>
      </c>
    </row>
    <row r="20" spans="1:11">
      <c r="A20" t="s">
        <v>74</v>
      </c>
      <c r="B20">
        <v>12000</v>
      </c>
      <c r="C20" t="s">
        <v>75</v>
      </c>
      <c r="D20">
        <v>75</v>
      </c>
    </row>
    <row r="21" spans="1:11">
      <c r="A21">
        <v>0</v>
      </c>
      <c r="B21" t="s">
        <v>35</v>
      </c>
      <c r="C21" s="12">
        <v>5521.6251358973304</v>
      </c>
      <c r="D21">
        <v>8000</v>
      </c>
      <c r="E21" t="s">
        <v>6</v>
      </c>
      <c r="F21" s="2"/>
      <c r="K21">
        <v>8000</v>
      </c>
    </row>
    <row r="22" spans="1:11">
      <c r="A22">
        <v>0</v>
      </c>
      <c r="B22" t="s">
        <v>36</v>
      </c>
      <c r="C22" s="12">
        <v>3575.245978348938</v>
      </c>
      <c r="D22">
        <v>8000</v>
      </c>
      <c r="E22" t="s">
        <v>6</v>
      </c>
      <c r="F22" s="2"/>
      <c r="H22" t="s">
        <v>140</v>
      </c>
      <c r="I22" t="s">
        <v>141</v>
      </c>
      <c r="K22">
        <v>8000</v>
      </c>
    </row>
    <row r="23" spans="1:11">
      <c r="A23">
        <v>0</v>
      </c>
      <c r="B23" t="s">
        <v>2</v>
      </c>
      <c r="C23" s="12">
        <v>9329.3110684282674</v>
      </c>
      <c r="D23">
        <v>12972.972972972972</v>
      </c>
      <c r="E23" t="s">
        <v>6</v>
      </c>
      <c r="G23" t="s">
        <v>44</v>
      </c>
      <c r="H23">
        <f>B11-B12*C23</f>
        <v>280.86560514198766</v>
      </c>
      <c r="I23">
        <f>H23*(1-2*$B$19*C25)</f>
        <v>267.72482183649464</v>
      </c>
      <c r="K23">
        <v>12972.972972972972</v>
      </c>
    </row>
    <row r="24" spans="1:11">
      <c r="A24">
        <v>0</v>
      </c>
      <c r="B24" t="s">
        <v>42</v>
      </c>
      <c r="C24" s="12">
        <v>9152.2384526664027</v>
      </c>
      <c r="D24">
        <v>12972.972972972972</v>
      </c>
      <c r="E24" t="s">
        <v>6</v>
      </c>
      <c r="G24" t="s">
        <v>46</v>
      </c>
      <c r="H24">
        <f>B11-B12*C24</f>
        <v>294.51495260696481</v>
      </c>
      <c r="I24">
        <f>H24*(1-2*$B$19*C26)</f>
        <v>274.09710621031911</v>
      </c>
      <c r="K24">
        <v>12972.972972972972</v>
      </c>
    </row>
    <row r="25" spans="1:11">
      <c r="A25">
        <v>0</v>
      </c>
      <c r="B25" t="s">
        <v>14</v>
      </c>
      <c r="C25" s="12">
        <v>3898.8941878595451</v>
      </c>
      <c r="D25">
        <v>15000</v>
      </c>
      <c r="E25" t="s">
        <v>6</v>
      </c>
      <c r="F25" s="2"/>
      <c r="K25">
        <v>15000</v>
      </c>
    </row>
    <row r="26" spans="1:11">
      <c r="A26">
        <v>0</v>
      </c>
      <c r="B26" t="s">
        <v>15</v>
      </c>
      <c r="C26" s="12">
        <v>5777.2523420606649</v>
      </c>
      <c r="D26">
        <v>15000</v>
      </c>
      <c r="E26" t="s">
        <v>6</v>
      </c>
      <c r="F26" s="2"/>
      <c r="K26">
        <v>15000</v>
      </c>
    </row>
    <row r="27" spans="1:11">
      <c r="A27">
        <v>50000</v>
      </c>
      <c r="B27" t="s">
        <v>11</v>
      </c>
      <c r="C27" s="12">
        <v>67518.444921863935</v>
      </c>
      <c r="D27">
        <v>135000</v>
      </c>
      <c r="E27" t="s">
        <v>8</v>
      </c>
      <c r="F27" s="2"/>
      <c r="K27">
        <v>135000</v>
      </c>
    </row>
    <row r="28" spans="1:11">
      <c r="A28">
        <v>50000</v>
      </c>
      <c r="B28" t="s">
        <v>12</v>
      </c>
      <c r="C28" s="12">
        <v>50000</v>
      </c>
      <c r="D28" s="11">
        <v>135000</v>
      </c>
      <c r="E28" t="s">
        <v>8</v>
      </c>
      <c r="F28" s="2"/>
      <c r="K28" s="11">
        <v>135000</v>
      </c>
    </row>
    <row r="29" spans="1:11">
      <c r="A29">
        <v>0</v>
      </c>
      <c r="B29" t="s">
        <v>20</v>
      </c>
      <c r="C29" s="12">
        <v>0</v>
      </c>
      <c r="D29" s="21"/>
      <c r="E29" t="s">
        <v>10</v>
      </c>
      <c r="F29" s="2"/>
    </row>
    <row r="30" spans="1:11">
      <c r="A30">
        <v>0</v>
      </c>
      <c r="B30" t="s">
        <v>21</v>
      </c>
      <c r="C30" s="12">
        <v>0</v>
      </c>
      <c r="E30" t="s">
        <v>10</v>
      </c>
      <c r="F30" s="2"/>
    </row>
    <row r="33" spans="2:4">
      <c r="B33" s="29">
        <v>1</v>
      </c>
      <c r="C33" s="29">
        <v>13.68711158</v>
      </c>
      <c r="D33" s="29"/>
    </row>
    <row r="34" spans="2:4">
      <c r="B34" s="29"/>
      <c r="C34" s="29">
        <v>33.687111569999999</v>
      </c>
      <c r="D34" s="29"/>
    </row>
    <row r="35" spans="2:4">
      <c r="B35" s="29">
        <v>2</v>
      </c>
      <c r="C35" s="29">
        <v>0</v>
      </c>
      <c r="D35" s="29"/>
    </row>
    <row r="36" spans="2:4">
      <c r="B36" s="29"/>
      <c r="C36" s="29">
        <v>0</v>
      </c>
      <c r="D36" s="29"/>
    </row>
    <row r="37" spans="2:4">
      <c r="B37" s="29">
        <v>3</v>
      </c>
      <c r="C37" s="29">
        <v>0</v>
      </c>
      <c r="D37" s="29"/>
    </row>
    <row r="38" spans="2:4">
      <c r="B38" s="29"/>
      <c r="C38" s="29">
        <v>-99426</v>
      </c>
      <c r="D38" s="29">
        <v>99426</v>
      </c>
    </row>
    <row r="1048574" spans="3:3">
      <c r="C1048574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workbookViewId="0">
      <selection sqref="A1:A3"/>
    </sheetView>
  </sheetViews>
  <sheetFormatPr baseColWidth="10" defaultRowHeight="14" x14ac:dyDescent="0"/>
  <cols>
    <col min="1" max="1" width="2.33203125" customWidth="1"/>
    <col min="2" max="2" width="6.33203125" bestFit="1" customWidth="1"/>
    <col min="3" max="3" width="12.33203125" bestFit="1" customWidth="1"/>
    <col min="4" max="4" width="12" bestFit="1" customWidth="1"/>
    <col min="5" max="5" width="13" customWidth="1"/>
  </cols>
  <sheetData>
    <row r="1" spans="1:5">
      <c r="A1" s="4" t="s">
        <v>65</v>
      </c>
    </row>
    <row r="2" spans="1:5">
      <c r="A2" s="4" t="s">
        <v>155</v>
      </c>
    </row>
    <row r="3" spans="1:5">
      <c r="A3" s="4" t="s">
        <v>156</v>
      </c>
    </row>
    <row r="6" spans="1:5" ht="15" thickBot="1">
      <c r="A6" t="s">
        <v>49</v>
      </c>
    </row>
    <row r="7" spans="1:5">
      <c r="B7" s="9"/>
      <c r="C7" s="9"/>
      <c r="D7" s="9" t="s">
        <v>66</v>
      </c>
      <c r="E7" s="9" t="s">
        <v>68</v>
      </c>
    </row>
    <row r="8" spans="1:5" ht="15" thickBot="1">
      <c r="B8" s="10" t="s">
        <v>47</v>
      </c>
      <c r="C8" s="10" t="s">
        <v>48</v>
      </c>
      <c r="D8" s="10" t="s">
        <v>67</v>
      </c>
      <c r="E8" s="10" t="s">
        <v>69</v>
      </c>
    </row>
    <row r="9" spans="1:5">
      <c r="B9" s="6" t="s">
        <v>51</v>
      </c>
      <c r="C9" s="6" t="s">
        <v>76</v>
      </c>
      <c r="D9" s="13">
        <v>0</v>
      </c>
      <c r="E9" s="13">
        <v>60059.030514836311</v>
      </c>
    </row>
    <row r="10" spans="1:5">
      <c r="B10" s="6" t="s">
        <v>52</v>
      </c>
      <c r="C10" s="6" t="s">
        <v>77</v>
      </c>
      <c r="D10" s="13">
        <v>0</v>
      </c>
      <c r="E10" s="13">
        <v>147648.15567967948</v>
      </c>
    </row>
    <row r="11" spans="1:5">
      <c r="B11" s="6" t="s">
        <v>53</v>
      </c>
      <c r="C11" s="6" t="s">
        <v>78</v>
      </c>
      <c r="D11" s="13">
        <v>12372.157123210285</v>
      </c>
      <c r="E11" s="13">
        <v>0</v>
      </c>
    </row>
    <row r="12" spans="1:5">
      <c r="B12" s="6" t="s">
        <v>54</v>
      </c>
      <c r="C12" s="6" t="s">
        <v>79</v>
      </c>
      <c r="D12" s="13">
        <v>12372.15712306426</v>
      </c>
      <c r="E12" s="13">
        <v>0</v>
      </c>
    </row>
    <row r="13" spans="1:5">
      <c r="B13" s="6" t="s">
        <v>55</v>
      </c>
      <c r="C13" s="6" t="s">
        <v>80</v>
      </c>
      <c r="D13" s="13">
        <v>13459.030064847519</v>
      </c>
      <c r="E13" s="13">
        <v>0</v>
      </c>
    </row>
    <row r="14" spans="1:5">
      <c r="B14" s="6" t="s">
        <v>56</v>
      </c>
      <c r="C14" s="6" t="s">
        <v>81</v>
      </c>
      <c r="D14" s="13">
        <v>13459.030064770663</v>
      </c>
      <c r="E14" s="13">
        <v>0</v>
      </c>
    </row>
    <row r="15" spans="1:5">
      <c r="B15" s="6" t="s">
        <v>57</v>
      </c>
      <c r="C15" s="6" t="s">
        <v>82</v>
      </c>
      <c r="D15" s="13">
        <v>99960</v>
      </c>
      <c r="E15" s="13">
        <v>0</v>
      </c>
    </row>
    <row r="16" spans="1:5">
      <c r="B16" s="6" t="s">
        <v>58</v>
      </c>
      <c r="C16" s="6" t="s">
        <v>83</v>
      </c>
      <c r="D16" s="13">
        <v>135000</v>
      </c>
      <c r="E16" s="13">
        <v>-99425.9921875</v>
      </c>
    </row>
    <row r="17" spans="1:5">
      <c r="B17" s="6" t="s">
        <v>59</v>
      </c>
      <c r="C17" s="6" t="s">
        <v>84</v>
      </c>
      <c r="D17" s="13">
        <v>6.5936073059360716</v>
      </c>
      <c r="E17" s="13">
        <v>0</v>
      </c>
    </row>
    <row r="18" spans="1:5" ht="15" thickBot="1">
      <c r="B18" s="5" t="s">
        <v>60</v>
      </c>
      <c r="C18" s="5" t="s">
        <v>85</v>
      </c>
      <c r="D18" s="14">
        <v>0</v>
      </c>
      <c r="E18" s="14">
        <v>0</v>
      </c>
    </row>
    <row r="20" spans="1:5" ht="15" thickBot="1">
      <c r="A20" t="s">
        <v>50</v>
      </c>
    </row>
    <row r="21" spans="1:5">
      <c r="B21" s="9"/>
      <c r="C21" s="9"/>
      <c r="D21" s="9" t="s">
        <v>66</v>
      </c>
      <c r="E21" s="9" t="s">
        <v>70</v>
      </c>
    </row>
    <row r="22" spans="1:5" ht="15" thickBot="1">
      <c r="B22" s="10" t="s">
        <v>47</v>
      </c>
      <c r="C22" s="10" t="s">
        <v>48</v>
      </c>
      <c r="D22" s="10" t="s">
        <v>67</v>
      </c>
      <c r="E22" s="10" t="s">
        <v>71</v>
      </c>
    </row>
    <row r="23" spans="1:5">
      <c r="B23" s="6" t="s">
        <v>61</v>
      </c>
      <c r="C23" s="6" t="s">
        <v>16</v>
      </c>
      <c r="D23" s="8">
        <v>8.1583493738435209E-8</v>
      </c>
      <c r="E23" s="8">
        <v>-202848.359375</v>
      </c>
    </row>
    <row r="24" spans="1:5">
      <c r="B24" s="6" t="s">
        <v>62</v>
      </c>
      <c r="C24" s="6" t="s">
        <v>17</v>
      </c>
      <c r="D24" s="8">
        <v>0</v>
      </c>
      <c r="E24" s="8">
        <v>-202848.359375</v>
      </c>
    </row>
    <row r="25" spans="1:5">
      <c r="B25" s="6" t="s">
        <v>63</v>
      </c>
      <c r="C25" s="6" t="s">
        <v>18</v>
      </c>
      <c r="D25" s="8">
        <v>5.9556623455137014E-7</v>
      </c>
      <c r="E25" s="8">
        <v>0</v>
      </c>
    </row>
    <row r="26" spans="1:5">
      <c r="B26" s="6" t="s">
        <v>64</v>
      </c>
      <c r="C26" s="6" t="s">
        <v>19</v>
      </c>
      <c r="D26" s="8">
        <v>0</v>
      </c>
      <c r="E26" s="8">
        <v>0</v>
      </c>
    </row>
    <row r="27" spans="1:5">
      <c r="B27" s="6" t="s">
        <v>153</v>
      </c>
      <c r="C27" s="6" t="s">
        <v>72</v>
      </c>
      <c r="D27" s="13">
        <v>22.000000000135969</v>
      </c>
      <c r="E27" s="13">
        <v>-96138642.842070296</v>
      </c>
    </row>
    <row r="28" spans="1:5" ht="15" thickBot="1">
      <c r="B28" s="5" t="s">
        <v>154</v>
      </c>
      <c r="C28" s="5" t="s">
        <v>73</v>
      </c>
      <c r="D28" s="14">
        <v>22</v>
      </c>
      <c r="E28" s="14">
        <v>-96138642.842070282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4"/>
  <sheetViews>
    <sheetView zoomScale="90" zoomScaleNormal="90" zoomScalePageLayoutView="90" workbookViewId="0">
      <selection activeCell="C33" sqref="C33"/>
    </sheetView>
  </sheetViews>
  <sheetFormatPr baseColWidth="10" defaultRowHeight="14" x14ac:dyDescent="0.75"/>
  <cols>
    <col min="3" max="3" width="15.1640625" customWidth="1"/>
    <col min="6" max="6" width="14.83203125" customWidth="1"/>
    <col min="7" max="7" width="17.33203125" customWidth="1"/>
    <col min="8" max="8" width="22.5" customWidth="1"/>
    <col min="9" max="9" width="12.1640625" bestFit="1" customWidth="1"/>
  </cols>
  <sheetData>
    <row r="1" spans="1:8">
      <c r="A1" t="s">
        <v>23</v>
      </c>
      <c r="B1" s="1">
        <v>0</v>
      </c>
      <c r="C1" t="s">
        <v>8</v>
      </c>
    </row>
    <row r="2" spans="1:8">
      <c r="A2" t="s">
        <v>24</v>
      </c>
      <c r="B2" s="1">
        <v>1.5E-3</v>
      </c>
      <c r="C2" t="s">
        <v>13</v>
      </c>
      <c r="F2" t="s">
        <v>34</v>
      </c>
      <c r="G2">
        <f>B9*(B5*C21+B7*C21^2)+B10*(B6*C22+B8*C22^2)</f>
        <v>0</v>
      </c>
    </row>
    <row r="3" spans="1:8">
      <c r="A3" t="s">
        <v>25</v>
      </c>
      <c r="B3" s="1">
        <v>1E-8</v>
      </c>
      <c r="C3" t="s">
        <v>26</v>
      </c>
      <c r="F3" t="s">
        <v>41</v>
      </c>
      <c r="G3">
        <f>B9*(B11*C23-0.5*B12*C23^2)+B10*(B11*C24-0.5*B12*C24^2)</f>
        <v>56699745855.333786</v>
      </c>
    </row>
    <row r="4" spans="1:8">
      <c r="A4" t="s">
        <v>37</v>
      </c>
      <c r="B4">
        <v>1000</v>
      </c>
      <c r="C4" t="s">
        <v>93</v>
      </c>
      <c r="F4" t="s">
        <v>43</v>
      </c>
      <c r="G4">
        <f>(B13-B14*C28-B15*C28^2)*(B9+B10)/24</f>
        <v>-12536655000</v>
      </c>
    </row>
    <row r="5" spans="1:8">
      <c r="A5" t="s">
        <v>27</v>
      </c>
      <c r="B5">
        <v>60</v>
      </c>
      <c r="C5" t="s">
        <v>4</v>
      </c>
      <c r="F5" t="s">
        <v>45</v>
      </c>
      <c r="G5">
        <f>G2-G3+G4</f>
        <v>-69236400855.333786</v>
      </c>
    </row>
    <row r="6" spans="1:8">
      <c r="A6" t="s">
        <v>28</v>
      </c>
      <c r="B6">
        <v>80</v>
      </c>
      <c r="C6" t="s">
        <v>4</v>
      </c>
    </row>
    <row r="7" spans="1:8">
      <c r="A7" t="s">
        <v>38</v>
      </c>
      <c r="B7">
        <v>0.02</v>
      </c>
      <c r="C7" t="s">
        <v>33</v>
      </c>
      <c r="F7" t="s">
        <v>16</v>
      </c>
      <c r="G7">
        <f>C23+B19*C25^2-(C21+C25)</f>
        <v>8.1583493738435209E-8</v>
      </c>
    </row>
    <row r="8" spans="1:8">
      <c r="A8" t="s">
        <v>39</v>
      </c>
      <c r="B8">
        <v>0.03</v>
      </c>
      <c r="C8" t="s">
        <v>33</v>
      </c>
      <c r="F8" t="s">
        <v>17</v>
      </c>
      <c r="G8">
        <f>C24+B19*C26^2-(C22+C26)</f>
        <v>0</v>
      </c>
    </row>
    <row r="9" spans="1:8">
      <c r="A9" t="s">
        <v>0</v>
      </c>
      <c r="B9">
        <f>8760/2</f>
        <v>4380</v>
      </c>
      <c r="C9" t="s">
        <v>5</v>
      </c>
      <c r="F9" s="3" t="s">
        <v>18</v>
      </c>
      <c r="G9">
        <f>C27-B16-(B17-C29-B1-B2*C25-B3*C25^2)*B9</f>
        <v>5.9556623455137014E-7</v>
      </c>
    </row>
    <row r="10" spans="1:8">
      <c r="A10" t="s">
        <v>1</v>
      </c>
      <c r="B10">
        <f>B9</f>
        <v>4380</v>
      </c>
      <c r="C10" t="s">
        <v>5</v>
      </c>
      <c r="F10" s="3" t="s">
        <v>19</v>
      </c>
      <c r="G10">
        <f>C28-C27-(B18-C30--B1-B2*C26-B3*C26^2)*B10</f>
        <v>0</v>
      </c>
    </row>
    <row r="11" spans="1:8">
      <c r="A11" t="s">
        <v>31</v>
      </c>
      <c r="B11">
        <v>1000</v>
      </c>
      <c r="C11" t="s">
        <v>4</v>
      </c>
      <c r="F11" t="s">
        <v>138</v>
      </c>
      <c r="G11">
        <f>B5+2*B7*C21</f>
        <v>60</v>
      </c>
    </row>
    <row r="12" spans="1:8">
      <c r="A12" t="s">
        <v>32</v>
      </c>
      <c r="B12">
        <f>(B11-D20)/B20</f>
        <v>7.7083333333333337E-2</v>
      </c>
      <c r="C12" t="s">
        <v>33</v>
      </c>
      <c r="F12" t="s">
        <v>139</v>
      </c>
      <c r="G12">
        <f>B6+2*B8*C22</f>
        <v>80</v>
      </c>
    </row>
    <row r="13" spans="1:8">
      <c r="A13" t="s">
        <v>3</v>
      </c>
      <c r="B13" s="11">
        <f>10000*24</f>
        <v>240000</v>
      </c>
      <c r="C13" t="s">
        <v>96</v>
      </c>
      <c r="F13" t="s">
        <v>72</v>
      </c>
      <c r="G13" s="1">
        <f>$B$1+$B$2*C25+$B$3*C25^2</f>
        <v>22.000000000135969</v>
      </c>
    </row>
    <row r="14" spans="1:8">
      <c r="A14" t="s">
        <v>29</v>
      </c>
      <c r="B14" s="11">
        <f>10*24</f>
        <v>240</v>
      </c>
      <c r="C14" t="s">
        <v>94</v>
      </c>
      <c r="F14" t="s">
        <v>73</v>
      </c>
      <c r="G14" s="1">
        <f>$B$1+$B$2*C26+$B$3*C26^2</f>
        <v>22</v>
      </c>
    </row>
    <row r="15" spans="1:8">
      <c r="A15" t="s">
        <v>30</v>
      </c>
      <c r="B15" s="11">
        <f>0.000005*24</f>
        <v>1.2000000000000002E-4</v>
      </c>
      <c r="C15" t="s">
        <v>95</v>
      </c>
      <c r="F15" t="s">
        <v>142</v>
      </c>
      <c r="G15" s="1">
        <f>C21+C25-C23</f>
        <v>1086.8729416372335</v>
      </c>
      <c r="H15">
        <f>100*G15/(C21+C23)</f>
        <v>8.7848297658477801</v>
      </c>
    </row>
    <row r="16" spans="1:8">
      <c r="A16" t="s">
        <v>7</v>
      </c>
      <c r="B16">
        <f>A28</f>
        <v>50000</v>
      </c>
      <c r="C16" t="s">
        <v>8</v>
      </c>
      <c r="F16" t="s">
        <v>143</v>
      </c>
      <c r="G16">
        <f>C22+C26-C24</f>
        <v>1086.8729417064023</v>
      </c>
      <c r="H16">
        <f>100*G16/(C22+C24)</f>
        <v>8.7848297665105335</v>
      </c>
    </row>
    <row r="17" spans="1:11">
      <c r="A17" t="s">
        <v>9</v>
      </c>
      <c r="B17" s="2">
        <v>40</v>
      </c>
      <c r="C17" t="s">
        <v>10</v>
      </c>
    </row>
    <row r="18" spans="1:11">
      <c r="A18" t="s">
        <v>22</v>
      </c>
      <c r="B18">
        <v>30</v>
      </c>
      <c r="C18" t="s">
        <v>10</v>
      </c>
    </row>
    <row r="19" spans="1:11">
      <c r="A19" t="s">
        <v>40</v>
      </c>
      <c r="B19">
        <v>6.0000000000000002E-6</v>
      </c>
    </row>
    <row r="20" spans="1:11">
      <c r="A20" t="s">
        <v>74</v>
      </c>
      <c r="B20">
        <v>12000</v>
      </c>
      <c r="C20" t="s">
        <v>75</v>
      </c>
      <c r="D20">
        <v>75</v>
      </c>
    </row>
    <row r="21" spans="1:11">
      <c r="A21">
        <v>0</v>
      </c>
      <c r="B21" t="s">
        <v>35</v>
      </c>
      <c r="C21" s="12">
        <v>0</v>
      </c>
      <c r="D21">
        <v>8000</v>
      </c>
      <c r="E21" t="s">
        <v>6</v>
      </c>
      <c r="F21" s="2"/>
      <c r="K21">
        <v>8000</v>
      </c>
    </row>
    <row r="22" spans="1:11">
      <c r="A22">
        <v>0</v>
      </c>
      <c r="B22" t="s">
        <v>36</v>
      </c>
      <c r="C22" s="12">
        <v>0</v>
      </c>
      <c r="D22">
        <v>8000</v>
      </c>
      <c r="E22" t="s">
        <v>6</v>
      </c>
      <c r="F22" s="2"/>
      <c r="H22" t="s">
        <v>140</v>
      </c>
      <c r="I22" t="s">
        <v>141</v>
      </c>
      <c r="K22">
        <v>8000</v>
      </c>
    </row>
    <row r="23" spans="1:11">
      <c r="A23">
        <v>0</v>
      </c>
      <c r="B23" t="s">
        <v>2</v>
      </c>
      <c r="C23" s="12">
        <v>12372.157123210285</v>
      </c>
      <c r="D23">
        <v>12972.972972972972</v>
      </c>
      <c r="E23" t="s">
        <v>6</v>
      </c>
      <c r="G23" t="s">
        <v>44</v>
      </c>
      <c r="H23">
        <f>B11-B12*C23</f>
        <v>46.312888419207184</v>
      </c>
      <c r="I23">
        <f>H23*(1-2*$B$19*C25)</f>
        <v>38.832969727718726</v>
      </c>
      <c r="K23">
        <v>12972.972972972972</v>
      </c>
    </row>
    <row r="24" spans="1:11">
      <c r="A24">
        <v>0</v>
      </c>
      <c r="B24" t="s">
        <v>42</v>
      </c>
      <c r="C24" s="12">
        <v>12372.15712306426</v>
      </c>
      <c r="D24">
        <v>12972.972972972972</v>
      </c>
      <c r="E24" t="s">
        <v>6</v>
      </c>
      <c r="G24" t="s">
        <v>46</v>
      </c>
      <c r="H24">
        <f>B11-B12*C24</f>
        <v>46.312888430463204</v>
      </c>
      <c r="I24">
        <f>H24*(1-2*$B$19*C26)</f>
        <v>38.832969737199519</v>
      </c>
      <c r="K24">
        <v>12972.972972972972</v>
      </c>
    </row>
    <row r="25" spans="1:11">
      <c r="A25">
        <v>0</v>
      </c>
      <c r="B25" t="s">
        <v>14</v>
      </c>
      <c r="C25" s="12">
        <v>13459.030064847519</v>
      </c>
      <c r="D25">
        <v>15000</v>
      </c>
      <c r="E25" t="s">
        <v>6</v>
      </c>
      <c r="F25" s="2"/>
      <c r="K25">
        <v>15000</v>
      </c>
    </row>
    <row r="26" spans="1:11">
      <c r="A26">
        <v>0</v>
      </c>
      <c r="B26" t="s">
        <v>15</v>
      </c>
      <c r="C26" s="12">
        <v>13459.030064770663</v>
      </c>
      <c r="D26">
        <v>15000</v>
      </c>
      <c r="E26" t="s">
        <v>6</v>
      </c>
      <c r="F26" s="2"/>
      <c r="K26">
        <v>15000</v>
      </c>
    </row>
    <row r="27" spans="1:11">
      <c r="A27">
        <v>50000</v>
      </c>
      <c r="B27" t="s">
        <v>11</v>
      </c>
      <c r="C27" s="12">
        <v>99960</v>
      </c>
      <c r="D27">
        <v>135000</v>
      </c>
      <c r="E27" t="s">
        <v>8</v>
      </c>
      <c r="F27" s="2"/>
      <c r="K27">
        <v>135000</v>
      </c>
    </row>
    <row r="28" spans="1:11">
      <c r="A28">
        <v>50000</v>
      </c>
      <c r="B28" t="s">
        <v>12</v>
      </c>
      <c r="C28" s="12">
        <v>135000</v>
      </c>
      <c r="D28" s="11">
        <v>135000</v>
      </c>
      <c r="E28" t="s">
        <v>8</v>
      </c>
      <c r="F28" s="2"/>
      <c r="K28" s="11">
        <v>135000</v>
      </c>
    </row>
    <row r="29" spans="1:11">
      <c r="A29">
        <v>0</v>
      </c>
      <c r="B29" t="s">
        <v>20</v>
      </c>
      <c r="C29" s="12">
        <v>6.5936073059360716</v>
      </c>
      <c r="D29" s="21"/>
      <c r="E29" t="s">
        <v>10</v>
      </c>
      <c r="F29" s="2"/>
    </row>
    <row r="30" spans="1:11">
      <c r="A30">
        <v>0</v>
      </c>
      <c r="B30" t="s">
        <v>21</v>
      </c>
      <c r="C30" s="12">
        <v>0</v>
      </c>
      <c r="E30" t="s">
        <v>10</v>
      </c>
      <c r="F30" s="2"/>
    </row>
    <row r="33" spans="2:4">
      <c r="B33">
        <v>1</v>
      </c>
      <c r="C33">
        <f>B5+2*B7*C21-H23*(1-0)</f>
        <v>13.687111580792816</v>
      </c>
    </row>
    <row r="34" spans="2:4">
      <c r="C34">
        <f>B6+2*B8*C22-H24*(1-0)</f>
        <v>33.687111569536796</v>
      </c>
    </row>
    <row r="35" spans="2:4">
      <c r="B35">
        <v>2</v>
      </c>
      <c r="C35">
        <f>H23-$B$11+$B$12*C23</f>
        <v>0</v>
      </c>
    </row>
    <row r="36" spans="2:4">
      <c r="C36">
        <f>H24-$B$11+$B$12*C24</f>
        <v>0</v>
      </c>
    </row>
    <row r="37" spans="2:4">
      <c r="B37">
        <v>3</v>
      </c>
      <c r="C37">
        <f>-'3'!E25-D37</f>
        <v>0</v>
      </c>
    </row>
    <row r="38" spans="2:4">
      <c r="C38">
        <f>-'3'!E26-D38</f>
        <v>-99426</v>
      </c>
      <c r="D38">
        <f>(B14+2*B15*C28)*2*B9/24</f>
        <v>99426</v>
      </c>
    </row>
    <row r="1048574" spans="3:3">
      <c r="C1048574" t="s">
        <v>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workbookViewId="0">
      <selection sqref="A1:A3"/>
    </sheetView>
  </sheetViews>
  <sheetFormatPr baseColWidth="10" defaultRowHeight="14" x14ac:dyDescent="0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4" t="s">
        <v>65</v>
      </c>
    </row>
    <row r="2" spans="1:5">
      <c r="A2" s="4" t="s">
        <v>149</v>
      </c>
    </row>
    <row r="3" spans="1:5">
      <c r="A3" s="4" t="s">
        <v>150</v>
      </c>
    </row>
    <row r="6" spans="1:5" ht="15" thickBot="1">
      <c r="A6" t="s">
        <v>49</v>
      </c>
    </row>
    <row r="7" spans="1:5">
      <c r="B7" s="9"/>
      <c r="C7" s="9"/>
      <c r="D7" s="9" t="s">
        <v>66</v>
      </c>
      <c r="E7" s="9" t="s">
        <v>68</v>
      </c>
    </row>
    <row r="8" spans="1:5" ht="15" thickBot="1">
      <c r="B8" s="10" t="s">
        <v>47</v>
      </c>
      <c r="C8" s="10" t="s">
        <v>48</v>
      </c>
      <c r="D8" s="10" t="s">
        <v>67</v>
      </c>
      <c r="E8" s="10" t="s">
        <v>69</v>
      </c>
    </row>
    <row r="9" spans="1:5">
      <c r="B9" s="6" t="s">
        <v>51</v>
      </c>
      <c r="C9" s="6" t="s">
        <v>76</v>
      </c>
      <c r="D9" s="13">
        <v>2949.7585475815863</v>
      </c>
      <c r="E9" s="13">
        <v>0</v>
      </c>
    </row>
    <row r="10" spans="1:5">
      <c r="B10" s="6" t="s">
        <v>52</v>
      </c>
      <c r="C10" s="6" t="s">
        <v>77</v>
      </c>
      <c r="D10" s="13">
        <v>1731.4714861739762</v>
      </c>
      <c r="E10" s="13">
        <v>0</v>
      </c>
    </row>
    <row r="11" spans="1:5">
      <c r="B11" s="6" t="s">
        <v>53</v>
      </c>
      <c r="C11" s="6" t="s">
        <v>78</v>
      </c>
      <c r="D11" s="13">
        <v>10664.132691328598</v>
      </c>
      <c r="E11" s="13">
        <v>0</v>
      </c>
    </row>
    <row r="12" spans="1:5">
      <c r="B12" s="6" t="s">
        <v>54</v>
      </c>
      <c r="C12" s="6" t="s">
        <v>79</v>
      </c>
      <c r="D12" s="13">
        <v>10587.745066126308</v>
      </c>
      <c r="E12" s="13">
        <v>0</v>
      </c>
    </row>
    <row r="13" spans="1:5">
      <c r="B13" s="6" t="s">
        <v>55</v>
      </c>
      <c r="C13" s="6" t="s">
        <v>80</v>
      </c>
      <c r="D13" s="13">
        <v>8108.8996665622135</v>
      </c>
      <c r="E13" s="13">
        <v>0</v>
      </c>
    </row>
    <row r="14" spans="1:5">
      <c r="B14" s="6" t="s">
        <v>56</v>
      </c>
      <c r="C14" s="6" t="s">
        <v>81</v>
      </c>
      <c r="D14" s="13">
        <v>9384.7103050056048</v>
      </c>
      <c r="E14" s="13">
        <v>0</v>
      </c>
    </row>
    <row r="15" spans="1:5">
      <c r="B15" s="6" t="s">
        <v>57</v>
      </c>
      <c r="C15" s="6" t="s">
        <v>82</v>
      </c>
      <c r="D15" s="13">
        <v>125244.49287413528</v>
      </c>
      <c r="E15" s="13">
        <v>0</v>
      </c>
    </row>
    <row r="16" spans="1:5">
      <c r="B16" s="6" t="s">
        <v>58</v>
      </c>
      <c r="C16" s="6" t="s">
        <v>83</v>
      </c>
      <c r="D16" s="13">
        <v>103529.35807735957</v>
      </c>
      <c r="E16" s="13">
        <v>0</v>
      </c>
    </row>
    <row r="17" spans="1:5">
      <c r="B17" s="6" t="s">
        <v>59</v>
      </c>
      <c r="C17" s="6" t="s">
        <v>84</v>
      </c>
      <c r="D17" s="13">
        <v>0</v>
      </c>
      <c r="E17" s="13">
        <v>423382854.42891848</v>
      </c>
    </row>
    <row r="18" spans="1:5" ht="15" thickBot="1">
      <c r="B18" s="5" t="s">
        <v>60</v>
      </c>
      <c r="C18" s="5" t="s">
        <v>85</v>
      </c>
      <c r="D18" s="14">
        <v>0</v>
      </c>
      <c r="E18" s="14">
        <v>423492611.4685303</v>
      </c>
    </row>
    <row r="20" spans="1:5" ht="15" thickBot="1">
      <c r="A20" t="s">
        <v>50</v>
      </c>
    </row>
    <row r="21" spans="1:5">
      <c r="B21" s="9"/>
      <c r="C21" s="9"/>
      <c r="D21" s="9" t="s">
        <v>66</v>
      </c>
      <c r="E21" s="9" t="s">
        <v>70</v>
      </c>
    </row>
    <row r="22" spans="1:5" ht="15" thickBot="1">
      <c r="B22" s="10" t="s">
        <v>47</v>
      </c>
      <c r="C22" s="10" t="s">
        <v>48</v>
      </c>
      <c r="D22" s="10" t="s">
        <v>67</v>
      </c>
      <c r="E22" s="10" t="s">
        <v>71</v>
      </c>
    </row>
    <row r="23" spans="1:5">
      <c r="B23" s="6" t="s">
        <v>61</v>
      </c>
      <c r="C23" s="6" t="s">
        <v>16</v>
      </c>
      <c r="D23" s="8">
        <v>-9.6588337328284979E-10</v>
      </c>
      <c r="E23" s="8">
        <v>-779597.9375</v>
      </c>
    </row>
    <row r="24" spans="1:5">
      <c r="B24" s="6" t="s">
        <v>62</v>
      </c>
      <c r="C24" s="6" t="s">
        <v>17</v>
      </c>
      <c r="D24" s="8">
        <v>0</v>
      </c>
      <c r="E24" s="8">
        <v>-805430.9375</v>
      </c>
    </row>
    <row r="25" spans="1:5">
      <c r="B25" s="6" t="s">
        <v>63</v>
      </c>
      <c r="C25" s="6" t="s">
        <v>18</v>
      </c>
      <c r="D25" s="8">
        <v>-7.0576788857579231E-9</v>
      </c>
      <c r="E25" s="8">
        <v>-96662.752152721121</v>
      </c>
    </row>
    <row r="26" spans="1:5" ht="15" thickBot="1">
      <c r="B26" s="5" t="s">
        <v>64</v>
      </c>
      <c r="C26" s="5" t="s">
        <v>19</v>
      </c>
      <c r="D26" s="7">
        <v>0</v>
      </c>
      <c r="E26" s="7">
        <v>-96687.810837564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="90" zoomScaleNormal="90" zoomScalePageLayoutView="90" workbookViewId="0">
      <selection activeCell="B33" sqref="B33:D38"/>
    </sheetView>
  </sheetViews>
  <sheetFormatPr baseColWidth="10" defaultRowHeight="14" x14ac:dyDescent="0.75"/>
  <cols>
    <col min="3" max="3" width="15.1640625" customWidth="1"/>
    <col min="6" max="6" width="14.83203125" customWidth="1"/>
    <col min="7" max="7" width="17.33203125" customWidth="1"/>
    <col min="8" max="8" width="22.5" customWidth="1"/>
    <col min="9" max="9" width="12.1640625" bestFit="1" customWidth="1"/>
  </cols>
  <sheetData>
    <row r="1" spans="1:20">
      <c r="A1" t="s">
        <v>23</v>
      </c>
      <c r="B1" s="1">
        <v>0</v>
      </c>
      <c r="C1" t="s">
        <v>8</v>
      </c>
    </row>
    <row r="2" spans="1:20">
      <c r="A2" t="s">
        <v>24</v>
      </c>
      <c r="B2" s="1">
        <v>1.5E-3</v>
      </c>
      <c r="C2" t="s">
        <v>13</v>
      </c>
      <c r="F2" t="s">
        <v>34</v>
      </c>
      <c r="G2">
        <f>B9*(B5*C21+B7*C21^2)+B10*(B6*C22+B8*C22^2)</f>
        <v>2538054714.7756495</v>
      </c>
      <c r="L2" s="22"/>
      <c r="M2" s="22"/>
      <c r="N2" s="22"/>
      <c r="O2" s="22"/>
      <c r="P2" s="22"/>
      <c r="Q2" s="22"/>
      <c r="R2" s="22"/>
      <c r="S2" s="22"/>
      <c r="T2" s="22"/>
    </row>
    <row r="3" spans="1:20">
      <c r="A3" t="s">
        <v>25</v>
      </c>
      <c r="B3" s="1">
        <v>1E-8</v>
      </c>
      <c r="C3" t="s">
        <v>26</v>
      </c>
      <c r="F3" t="s">
        <v>41</v>
      </c>
      <c r="G3">
        <f>B9*(B11*C23-0.5*B12*C23^2)+B10*(B11*C24-0.5*B12*C24^2)</f>
        <v>54961298483.326492</v>
      </c>
      <c r="L3" s="22"/>
      <c r="M3" s="22"/>
      <c r="N3" s="22"/>
      <c r="O3" s="22"/>
      <c r="P3" s="22"/>
      <c r="Q3" s="22"/>
      <c r="R3" s="22"/>
      <c r="S3" s="22"/>
      <c r="T3" s="22"/>
    </row>
    <row r="4" spans="1:20">
      <c r="A4" t="s">
        <v>37</v>
      </c>
      <c r="B4">
        <v>1000</v>
      </c>
      <c r="C4" t="s">
        <v>93</v>
      </c>
      <c r="F4" t="s">
        <v>43</v>
      </c>
      <c r="G4">
        <f>(B13-B14*C28-B15*C28^2)*(B9+B10)/24</f>
        <v>-9451034533.2719631</v>
      </c>
      <c r="L4" s="22"/>
      <c r="M4" s="22"/>
      <c r="N4" s="22"/>
      <c r="O4" s="22"/>
      <c r="P4" s="22"/>
      <c r="Q4" s="22"/>
      <c r="R4" s="22"/>
      <c r="S4" s="22"/>
      <c r="T4" s="22"/>
    </row>
    <row r="5" spans="1:20">
      <c r="A5" t="s">
        <v>27</v>
      </c>
      <c r="B5">
        <v>60</v>
      </c>
      <c r="C5" t="s">
        <v>4</v>
      </c>
      <c r="F5" t="s">
        <v>45</v>
      </c>
      <c r="G5">
        <f>G2-G3+G4</f>
        <v>-61874278301.822807</v>
      </c>
      <c r="L5" s="22"/>
      <c r="M5" s="22"/>
      <c r="N5" s="22"/>
      <c r="O5" s="22"/>
      <c r="P5" s="22"/>
      <c r="Q5" s="22"/>
      <c r="R5" s="22"/>
      <c r="S5" s="22"/>
      <c r="T5" s="22"/>
    </row>
    <row r="6" spans="1:20">
      <c r="A6" t="s">
        <v>28</v>
      </c>
      <c r="B6">
        <v>80</v>
      </c>
      <c r="C6" t="s">
        <v>4</v>
      </c>
      <c r="L6" s="22"/>
      <c r="M6" s="22"/>
      <c r="N6" s="22"/>
      <c r="O6" s="22"/>
      <c r="P6" s="22"/>
      <c r="Q6" s="22"/>
      <c r="R6" s="22"/>
      <c r="S6" s="22"/>
      <c r="T6" s="22"/>
    </row>
    <row r="7" spans="1:20">
      <c r="A7" t="s">
        <v>38</v>
      </c>
      <c r="B7">
        <v>0.02</v>
      </c>
      <c r="C7" t="s">
        <v>33</v>
      </c>
      <c r="F7" t="s">
        <v>16</v>
      </c>
      <c r="G7">
        <f>C23+B19*C25^2-(C21+C25)</f>
        <v>-9.6588337328284979E-10</v>
      </c>
      <c r="L7" s="22"/>
      <c r="M7" s="22"/>
      <c r="N7" s="22"/>
      <c r="O7" s="22"/>
      <c r="P7" s="22"/>
      <c r="Q7" s="22"/>
      <c r="R7" s="22"/>
      <c r="S7" s="22"/>
      <c r="T7" s="22"/>
    </row>
    <row r="8" spans="1:20">
      <c r="A8" t="s">
        <v>39</v>
      </c>
      <c r="B8">
        <v>0.03</v>
      </c>
      <c r="C8" t="s">
        <v>33</v>
      </c>
      <c r="F8" t="s">
        <v>17</v>
      </c>
      <c r="G8">
        <f>C24+B19*C26^2-(C22+C26)</f>
        <v>0</v>
      </c>
      <c r="L8" s="22"/>
      <c r="M8" s="22"/>
      <c r="N8" s="22"/>
      <c r="O8" s="22"/>
      <c r="P8" s="22"/>
      <c r="Q8" s="22"/>
      <c r="R8" s="22"/>
      <c r="S8" s="22"/>
      <c r="T8" s="22"/>
    </row>
    <row r="9" spans="1:20">
      <c r="A9" t="s">
        <v>0</v>
      </c>
      <c r="B9">
        <f>8760/2</f>
        <v>4380</v>
      </c>
      <c r="C9" t="s">
        <v>5</v>
      </c>
      <c r="F9" s="3" t="s">
        <v>18</v>
      </c>
      <c r="G9">
        <f>C27-B16-(B17-C29-B1-B2*C25-B3*C25^2)*B9</f>
        <v>-7.0576788857579231E-9</v>
      </c>
      <c r="L9" s="22"/>
      <c r="M9" s="22"/>
      <c r="N9" s="22"/>
      <c r="O9" s="22"/>
      <c r="P9" s="22"/>
      <c r="Q9" s="22"/>
      <c r="R9" s="22"/>
      <c r="S9" s="22"/>
      <c r="T9" s="22"/>
    </row>
    <row r="10" spans="1:20">
      <c r="A10" t="s">
        <v>1</v>
      </c>
      <c r="B10">
        <f>B9</f>
        <v>4380</v>
      </c>
      <c r="C10" t="s">
        <v>5</v>
      </c>
      <c r="F10" s="3" t="s">
        <v>19</v>
      </c>
      <c r="G10">
        <f>C28-C27-(B18-C30--B1-B2*C26-B3*C26^2)*B10</f>
        <v>0</v>
      </c>
      <c r="L10" s="22"/>
      <c r="M10" s="22"/>
      <c r="N10" s="22"/>
      <c r="O10" s="22"/>
      <c r="P10" s="22"/>
      <c r="Q10" s="22"/>
      <c r="R10" s="22"/>
      <c r="S10" s="22"/>
      <c r="T10" s="22"/>
    </row>
    <row r="11" spans="1:20">
      <c r="A11" t="s">
        <v>31</v>
      </c>
      <c r="B11">
        <v>1000</v>
      </c>
      <c r="C11" t="s">
        <v>4</v>
      </c>
      <c r="F11" t="s">
        <v>138</v>
      </c>
      <c r="G11">
        <f>B5+2*B7*C21</f>
        <v>177.99034190326347</v>
      </c>
      <c r="L11" s="22"/>
      <c r="M11" s="22"/>
      <c r="N11" s="22"/>
      <c r="O11" s="22"/>
      <c r="P11" s="22"/>
      <c r="Q11" s="22"/>
      <c r="R11" s="22"/>
      <c r="S11" s="22"/>
      <c r="T11" s="22"/>
    </row>
    <row r="12" spans="1:20">
      <c r="A12" t="s">
        <v>32</v>
      </c>
      <c r="B12">
        <f>(B11-D20)/B20</f>
        <v>7.7083333333333337E-2</v>
      </c>
      <c r="C12" t="s">
        <v>33</v>
      </c>
      <c r="F12" t="s">
        <v>139</v>
      </c>
      <c r="G12">
        <f>B6+2*B8*C22</f>
        <v>183.88828917043855</v>
      </c>
      <c r="L12" s="22"/>
      <c r="M12" s="22"/>
      <c r="N12" s="22"/>
      <c r="O12" s="22"/>
      <c r="P12" s="22"/>
      <c r="Q12" s="22"/>
      <c r="R12" s="22"/>
      <c r="S12" s="22"/>
      <c r="T12" s="22"/>
    </row>
    <row r="13" spans="1:20">
      <c r="A13" t="s">
        <v>3</v>
      </c>
      <c r="B13" s="11">
        <f>10000*24</f>
        <v>240000</v>
      </c>
      <c r="C13" t="s">
        <v>96</v>
      </c>
      <c r="F13" t="s">
        <v>72</v>
      </c>
      <c r="G13" s="1">
        <f>$B$1+$B$2*C25+$B$3*C25^2</f>
        <v>12.820892037867049</v>
      </c>
      <c r="L13" s="22"/>
      <c r="M13" s="22"/>
      <c r="N13" s="22"/>
      <c r="O13" s="22"/>
      <c r="P13" s="22"/>
      <c r="Q13" s="22"/>
      <c r="R13" s="22"/>
      <c r="S13" s="22"/>
      <c r="T13" s="22"/>
    </row>
    <row r="14" spans="1:20">
      <c r="A14" t="s">
        <v>29</v>
      </c>
      <c r="B14" s="11">
        <f>10*24</f>
        <v>240</v>
      </c>
      <c r="C14" t="s">
        <v>94</v>
      </c>
      <c r="F14" t="s">
        <v>73</v>
      </c>
      <c r="G14" s="1">
        <f>$B$1+$B$2*C26+$B$3*C26^2</f>
        <v>14.957793332597191</v>
      </c>
      <c r="L14" s="22"/>
      <c r="M14" s="22"/>
      <c r="N14" s="22"/>
      <c r="O14" s="22"/>
      <c r="P14" s="22"/>
      <c r="Q14" s="22"/>
      <c r="R14" s="22"/>
      <c r="S14" s="22"/>
      <c r="T14" s="22"/>
    </row>
    <row r="15" spans="1:20">
      <c r="A15" t="s">
        <v>30</v>
      </c>
      <c r="B15" s="11">
        <f>0.000005*24</f>
        <v>1.2000000000000002E-4</v>
      </c>
      <c r="C15" t="s">
        <v>95</v>
      </c>
      <c r="F15" t="s">
        <v>142</v>
      </c>
      <c r="G15" s="1">
        <f>C21+C25-C23</f>
        <v>394.52552281520184</v>
      </c>
      <c r="H15">
        <f>100*G15/(C21+C23)</f>
        <v>2.8979629401445424</v>
      </c>
      <c r="L15" s="22"/>
      <c r="M15" s="22"/>
      <c r="N15" s="22"/>
      <c r="O15" s="22"/>
      <c r="P15" s="22"/>
      <c r="Q15" s="22"/>
      <c r="R15" s="22"/>
      <c r="S15" s="22"/>
      <c r="T15" s="22"/>
    </row>
    <row r="16" spans="1:20">
      <c r="A16" t="s">
        <v>7</v>
      </c>
      <c r="B16">
        <f>A28</f>
        <v>50000</v>
      </c>
      <c r="C16" t="s">
        <v>8</v>
      </c>
      <c r="F16" t="s">
        <v>143</v>
      </c>
      <c r="G16">
        <f>C22+C26-C24</f>
        <v>528.43672505327231</v>
      </c>
      <c r="H16">
        <f>100*G16/(C22+C24)</f>
        <v>4.2895319098404912</v>
      </c>
      <c r="L16" s="22"/>
      <c r="M16" s="22"/>
      <c r="N16" s="22"/>
      <c r="O16" s="22"/>
      <c r="P16" s="22"/>
      <c r="Q16" s="22"/>
      <c r="R16" s="22"/>
      <c r="S16" s="22"/>
      <c r="T16" s="22"/>
    </row>
    <row r="17" spans="1:20">
      <c r="A17" t="s">
        <v>9</v>
      </c>
      <c r="B17" s="2">
        <v>30</v>
      </c>
      <c r="C17" t="s">
        <v>10</v>
      </c>
      <c r="L17" s="22"/>
      <c r="M17" s="22"/>
      <c r="N17" s="22"/>
      <c r="O17" s="22"/>
      <c r="P17" s="22"/>
      <c r="Q17" s="22"/>
      <c r="R17" s="22"/>
      <c r="S17" s="22"/>
      <c r="T17" s="22"/>
    </row>
    <row r="18" spans="1:20">
      <c r="A18" t="s">
        <v>22</v>
      </c>
      <c r="B18">
        <v>10</v>
      </c>
      <c r="C18" t="s">
        <v>10</v>
      </c>
      <c r="L18" s="22"/>
      <c r="M18" s="22"/>
      <c r="N18" s="22"/>
      <c r="O18" s="22"/>
      <c r="P18" s="22"/>
      <c r="Q18" s="22"/>
      <c r="R18" s="22"/>
      <c r="S18" s="22"/>
      <c r="T18" s="22"/>
    </row>
    <row r="19" spans="1:20">
      <c r="A19" t="s">
        <v>40</v>
      </c>
      <c r="B19">
        <v>6.0000000000000002E-6</v>
      </c>
      <c r="L19" s="22"/>
      <c r="M19" s="22"/>
      <c r="N19" s="22"/>
      <c r="O19" s="22"/>
      <c r="P19" s="22"/>
      <c r="Q19" s="22"/>
      <c r="R19" s="22"/>
      <c r="S19" s="22"/>
      <c r="T19" s="22"/>
    </row>
    <row r="20" spans="1:20">
      <c r="A20" t="s">
        <v>74</v>
      </c>
      <c r="B20">
        <v>12000</v>
      </c>
      <c r="C20" t="s">
        <v>75</v>
      </c>
      <c r="D20">
        <v>75</v>
      </c>
      <c r="L20" s="22"/>
      <c r="M20" s="22"/>
      <c r="N20" s="22"/>
      <c r="O20" s="22"/>
      <c r="P20" s="22"/>
      <c r="Q20" s="22"/>
      <c r="R20" s="22"/>
      <c r="S20" s="22"/>
      <c r="T20" s="22"/>
    </row>
    <row r="21" spans="1:20">
      <c r="A21">
        <v>0</v>
      </c>
      <c r="B21" t="s">
        <v>35</v>
      </c>
      <c r="C21" s="12">
        <v>2949.7585475815863</v>
      </c>
      <c r="D21">
        <v>8000</v>
      </c>
      <c r="E21" t="s">
        <v>6</v>
      </c>
      <c r="F21" s="2"/>
      <c r="K21">
        <v>8000</v>
      </c>
      <c r="L21" s="22"/>
      <c r="M21" s="22"/>
      <c r="N21" s="22"/>
      <c r="O21" s="22"/>
      <c r="P21" s="22"/>
      <c r="Q21" s="22"/>
      <c r="R21" s="22"/>
      <c r="S21" s="22"/>
      <c r="T21" s="22"/>
    </row>
    <row r="22" spans="1:20">
      <c r="A22">
        <v>0</v>
      </c>
      <c r="B22" t="s">
        <v>36</v>
      </c>
      <c r="C22" s="12">
        <v>1731.4714861739762</v>
      </c>
      <c r="D22">
        <v>8000</v>
      </c>
      <c r="E22" t="s">
        <v>6</v>
      </c>
      <c r="F22" s="2"/>
      <c r="H22" t="s">
        <v>140</v>
      </c>
      <c r="I22" t="s">
        <v>141</v>
      </c>
      <c r="K22">
        <v>8000</v>
      </c>
      <c r="L22" s="22"/>
      <c r="M22" s="22"/>
      <c r="N22" s="22"/>
      <c r="O22" s="22"/>
      <c r="P22" s="22"/>
      <c r="Q22" s="22"/>
      <c r="R22" s="22"/>
      <c r="S22" s="22"/>
      <c r="T22" s="22"/>
    </row>
    <row r="23" spans="1:20">
      <c r="A23">
        <v>0</v>
      </c>
      <c r="B23" t="s">
        <v>2</v>
      </c>
      <c r="C23" s="12">
        <v>10664.132691328598</v>
      </c>
      <c r="D23">
        <v>12972.972972972972</v>
      </c>
      <c r="E23" t="s">
        <v>6</v>
      </c>
      <c r="G23" t="s">
        <v>44</v>
      </c>
      <c r="H23">
        <f>B11-B12*C23</f>
        <v>177.97310504342056</v>
      </c>
      <c r="I23">
        <f>H23*(1-2*$B$19*C25)</f>
        <v>160.65511241769693</v>
      </c>
      <c r="K23">
        <v>12972.972972972972</v>
      </c>
      <c r="L23" s="22"/>
      <c r="M23" s="22"/>
      <c r="N23" s="22"/>
      <c r="O23" s="22"/>
      <c r="P23" s="22"/>
      <c r="Q23" s="22"/>
      <c r="R23" s="22"/>
      <c r="S23" s="22"/>
      <c r="T23" s="22"/>
    </row>
    <row r="24" spans="1:20">
      <c r="A24">
        <v>0</v>
      </c>
      <c r="B24" t="s">
        <v>42</v>
      </c>
      <c r="C24" s="12">
        <v>10587.745066126308</v>
      </c>
      <c r="D24">
        <v>12972.972972972972</v>
      </c>
      <c r="E24" t="s">
        <v>6</v>
      </c>
      <c r="G24" t="s">
        <v>46</v>
      </c>
      <c r="H24">
        <f>B11-B12*C24</f>
        <v>183.86131781943038</v>
      </c>
      <c r="I24">
        <f>H24*(1-2*$B$19*C26)</f>
        <v>163.15549537104735</v>
      </c>
      <c r="K24">
        <v>12972.972972972972</v>
      </c>
      <c r="L24" s="22"/>
      <c r="M24" s="22"/>
      <c r="N24" s="22"/>
      <c r="O24" s="22"/>
      <c r="P24" s="22"/>
      <c r="Q24" s="22"/>
      <c r="R24" s="22"/>
      <c r="S24" s="22"/>
      <c r="T24" s="22"/>
    </row>
    <row r="25" spans="1:20">
      <c r="A25">
        <v>0</v>
      </c>
      <c r="B25" t="s">
        <v>14</v>
      </c>
      <c r="C25" s="12">
        <v>8108.8996665622135</v>
      </c>
      <c r="D25">
        <v>15000</v>
      </c>
      <c r="E25" t="s">
        <v>6</v>
      </c>
      <c r="F25" s="2"/>
      <c r="K25">
        <v>15000</v>
      </c>
      <c r="L25" s="22"/>
      <c r="M25" s="22"/>
      <c r="N25" s="22"/>
      <c r="O25" s="22"/>
      <c r="P25" s="22"/>
      <c r="Q25" s="22"/>
      <c r="R25" s="22"/>
      <c r="S25" s="22"/>
      <c r="T25" s="22"/>
    </row>
    <row r="26" spans="1:20">
      <c r="A26">
        <v>0</v>
      </c>
      <c r="B26" t="s">
        <v>15</v>
      </c>
      <c r="C26" s="12">
        <v>9384.7103050056048</v>
      </c>
      <c r="D26">
        <v>15000</v>
      </c>
      <c r="E26" t="s">
        <v>6</v>
      </c>
      <c r="F26" s="2"/>
      <c r="K26">
        <v>15000</v>
      </c>
      <c r="L26" s="22"/>
      <c r="M26" s="22"/>
      <c r="N26" s="22"/>
      <c r="O26" s="22"/>
      <c r="P26" s="22"/>
      <c r="Q26" s="22"/>
      <c r="R26" s="22"/>
      <c r="S26" s="22"/>
      <c r="T26" s="22"/>
    </row>
    <row r="27" spans="1:20">
      <c r="A27">
        <v>50000</v>
      </c>
      <c r="B27" t="s">
        <v>11</v>
      </c>
      <c r="C27" s="12">
        <v>125244.49287413528</v>
      </c>
      <c r="D27">
        <v>135000</v>
      </c>
      <c r="E27" t="s">
        <v>8</v>
      </c>
      <c r="F27" s="2"/>
      <c r="K27">
        <v>135000</v>
      </c>
      <c r="L27" s="22"/>
      <c r="M27" s="22"/>
      <c r="N27" s="22"/>
      <c r="O27" s="22"/>
      <c r="P27" s="22"/>
      <c r="Q27" s="22"/>
      <c r="R27" s="22"/>
      <c r="S27" s="22"/>
      <c r="T27" s="22"/>
    </row>
    <row r="28" spans="1:20">
      <c r="A28">
        <v>50000</v>
      </c>
      <c r="B28" t="s">
        <v>12</v>
      </c>
      <c r="C28" s="12">
        <v>103529.35807735957</v>
      </c>
      <c r="D28" s="11">
        <v>135000</v>
      </c>
      <c r="E28" t="s">
        <v>8</v>
      </c>
      <c r="F28" s="2"/>
      <c r="K28" s="11">
        <v>135000</v>
      </c>
      <c r="L28" s="22"/>
      <c r="M28" s="22"/>
      <c r="N28" s="22"/>
      <c r="O28" s="22"/>
      <c r="P28" s="22"/>
      <c r="Q28" s="22"/>
      <c r="R28" s="22"/>
      <c r="S28" s="22"/>
      <c r="T28" s="22"/>
    </row>
    <row r="29" spans="1:20">
      <c r="A29">
        <v>0</v>
      </c>
      <c r="B29" t="s">
        <v>20</v>
      </c>
      <c r="C29" s="12">
        <v>0</v>
      </c>
      <c r="D29" s="21"/>
      <c r="E29" t="s">
        <v>10</v>
      </c>
      <c r="F29" s="2"/>
      <c r="L29" s="22"/>
      <c r="M29" s="22"/>
      <c r="N29" s="22"/>
      <c r="O29" s="22"/>
      <c r="P29" s="22"/>
      <c r="Q29" s="22"/>
      <c r="R29" s="22"/>
      <c r="S29" s="22"/>
      <c r="T29" s="22"/>
    </row>
    <row r="30" spans="1:20">
      <c r="A30">
        <v>0</v>
      </c>
      <c r="B30" t="s">
        <v>21</v>
      </c>
      <c r="C30" s="12">
        <v>0</v>
      </c>
      <c r="E30" t="s">
        <v>10</v>
      </c>
      <c r="F30" s="2"/>
      <c r="L30" s="22"/>
      <c r="M30" s="22"/>
      <c r="N30" s="22"/>
      <c r="O30" s="22"/>
      <c r="P30" s="22"/>
      <c r="Q30" s="22"/>
      <c r="R30" s="22"/>
      <c r="S30" s="22"/>
      <c r="T30" s="22"/>
    </row>
    <row r="31" spans="1:20">
      <c r="L31" s="22"/>
      <c r="M31" s="22"/>
      <c r="N31" s="22"/>
      <c r="O31" s="22"/>
      <c r="P31" s="22"/>
      <c r="Q31" s="22"/>
      <c r="R31" s="22"/>
      <c r="S31" s="22"/>
      <c r="T31" s="22"/>
    </row>
    <row r="32" spans="1:20">
      <c r="L32" s="22"/>
      <c r="M32" s="22"/>
      <c r="N32" s="22"/>
      <c r="O32" s="22"/>
      <c r="P32" s="22"/>
      <c r="Q32" s="22"/>
      <c r="R32" s="22"/>
      <c r="S32" s="22"/>
      <c r="T32" s="22"/>
    </row>
    <row r="33" spans="2:20">
      <c r="B33">
        <v>1</v>
      </c>
      <c r="C33">
        <f>B5+2*B7*C21-H23*(1-0)</f>
        <v>1.7236859842910235E-2</v>
      </c>
      <c r="L33" s="22"/>
      <c r="M33" s="22"/>
      <c r="N33" s="22"/>
      <c r="O33" s="22"/>
      <c r="P33" s="22"/>
      <c r="Q33" s="22"/>
      <c r="R33" s="22"/>
      <c r="S33" s="22"/>
      <c r="T33" s="22"/>
    </row>
    <row r="34" spans="2:20">
      <c r="C34">
        <f>B6+2*B8*C22-H24*(1-0)</f>
        <v>2.6971351008171496E-2</v>
      </c>
      <c r="L34" s="22"/>
      <c r="M34" s="22"/>
      <c r="N34" s="22"/>
      <c r="O34" s="22"/>
      <c r="P34" s="22"/>
      <c r="Q34" s="22"/>
      <c r="R34" s="22"/>
      <c r="S34" s="22"/>
      <c r="T34" s="22"/>
    </row>
    <row r="35" spans="2:20">
      <c r="B35">
        <v>2</v>
      </c>
      <c r="C35">
        <f>H23-$B$11+$B$12*C23</f>
        <v>0</v>
      </c>
    </row>
    <row r="36" spans="2:20">
      <c r="C36">
        <f>H24-$B$11+$B$12*C24</f>
        <v>0</v>
      </c>
    </row>
    <row r="37" spans="2:20">
      <c r="B37">
        <v>3</v>
      </c>
      <c r="C37">
        <f>-'2'!E25-D37</f>
        <v>96662.752152721121</v>
      </c>
    </row>
    <row r="38" spans="2:20">
      <c r="C38">
        <f>-'2'!E26-D38</f>
        <v>18.6390699873009</v>
      </c>
      <c r="D38">
        <f>(B14+2*B15*C28)*2*B9/24</f>
        <v>96669.171767576699</v>
      </c>
    </row>
    <row r="1048574" spans="3:3">
      <c r="C1048574" t="s">
        <v>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R4</vt:lpstr>
      <vt:lpstr>R3</vt:lpstr>
      <vt:lpstr>R2</vt:lpstr>
      <vt:lpstr>4</vt:lpstr>
      <vt:lpstr>HTC CP4</vt:lpstr>
      <vt:lpstr>3</vt:lpstr>
      <vt:lpstr>HTC CP3</vt:lpstr>
      <vt:lpstr>2</vt:lpstr>
      <vt:lpstr>HTC CP2</vt:lpstr>
      <vt:lpstr>Informe de sensibilidad 2</vt:lpstr>
      <vt:lpstr>1</vt:lpstr>
      <vt:lpstr>HTC CP1</vt:lpstr>
      <vt:lpstr>ResumenGlobal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Paulo De Oliveira</cp:lastModifiedBy>
  <dcterms:created xsi:type="dcterms:W3CDTF">2017-08-09T14:49:00Z</dcterms:created>
  <dcterms:modified xsi:type="dcterms:W3CDTF">2019-03-20T21:53:23Z</dcterms:modified>
</cp:coreProperties>
</file>