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Docencia Uniandes/2020_10/IELE4109_2020_10/Taller/excel/"/>
    </mc:Choice>
  </mc:AlternateContent>
  <xr:revisionPtr revIDLastSave="0" documentId="13_ncr:1_{D48254BB-88D0-C54A-BCD9-30B70C632893}" xr6:coauthVersionLast="45" xr6:coauthVersionMax="45" xr10:uidLastSave="{00000000-0000-0000-0000-000000000000}"/>
  <bookViews>
    <workbookView xWindow="180" yWindow="720" windowWidth="33140" windowHeight="19620" activeTab="1" xr2:uid="{00000000-000D-0000-FFFF-FFFF00000000}"/>
  </bookViews>
  <sheets>
    <sheet name="Sensitivity Report 1" sheetId="39" r:id="rId1"/>
    <sheet name="OPF" sheetId="33" r:id="rId2"/>
    <sheet name="1" sheetId="34" r:id="rId3"/>
    <sheet name="2" sheetId="35" r:id="rId4"/>
  </sheets>
  <definedNames>
    <definedName name="_B11" localSheetId="1">OPF!$F$6</definedName>
    <definedName name="_B11">#REF!</definedName>
    <definedName name="_B12" localSheetId="1">OPF!$G$6</definedName>
    <definedName name="_B12">#REF!</definedName>
    <definedName name="_B13" localSheetId="1">OPF!$H$6</definedName>
    <definedName name="_B13">#REF!</definedName>
    <definedName name="_B21" localSheetId="1">OPF!$F$7</definedName>
    <definedName name="_B21">#REF!</definedName>
    <definedName name="_B22" localSheetId="1">OPF!$G$7</definedName>
    <definedName name="_B22">#REF!</definedName>
    <definedName name="_B23" localSheetId="1">OPF!$H$7</definedName>
    <definedName name="_B23">#REF!</definedName>
    <definedName name="_B31" localSheetId="1">OPF!$F$8</definedName>
    <definedName name="_B31">#REF!</definedName>
    <definedName name="_B32" localSheetId="1">OPF!$G$8</definedName>
    <definedName name="_B32">#REF!</definedName>
    <definedName name="_B33" localSheetId="1">OPF!$H$8</definedName>
    <definedName name="_B33">#REF!</definedName>
    <definedName name="_G11" localSheetId="1">OPF!$B$6</definedName>
    <definedName name="_G11">#REF!</definedName>
    <definedName name="_G12" localSheetId="1">OPF!$C$6</definedName>
    <definedName name="_G12">#REF!</definedName>
    <definedName name="_G13" localSheetId="1">OPF!$D$6</definedName>
    <definedName name="_G13">#REF!</definedName>
    <definedName name="_G21" localSheetId="1">OPF!$B$7</definedName>
    <definedName name="_G21">#REF!</definedName>
    <definedName name="_G22" localSheetId="1">OPF!$C$7</definedName>
    <definedName name="_G22">#REF!</definedName>
    <definedName name="_G23" localSheetId="1">OPF!$D$7</definedName>
    <definedName name="_G23">#REF!</definedName>
    <definedName name="_G31" localSheetId="1">OPF!$B$8</definedName>
    <definedName name="_G31">#REF!</definedName>
    <definedName name="_G32" localSheetId="1">OPF!$C$8</definedName>
    <definedName name="_G32">#REF!</definedName>
    <definedName name="_G33" localSheetId="1">OPF!$D$8</definedName>
    <definedName name="_G33">#REF!</definedName>
    <definedName name="_PD1" localSheetId="1">OPF!$H$11</definedName>
    <definedName name="_PD1">#REF!</definedName>
    <definedName name="_PD2" localSheetId="1">OPF!$H$12</definedName>
    <definedName name="_PD2">#REF!</definedName>
    <definedName name="_PD3" localSheetId="1">OPF!$H$13</definedName>
    <definedName name="_PD3">#REF!</definedName>
    <definedName name="_PG1" localSheetId="1">OPF!$F$11</definedName>
    <definedName name="_PG1">#REF!</definedName>
    <definedName name="_PG2" localSheetId="1">OPF!$F$12</definedName>
    <definedName name="_PG2">#REF!</definedName>
    <definedName name="_PG3" localSheetId="1">OPF!$F$13</definedName>
    <definedName name="_PG3">#REF!</definedName>
    <definedName name="_QD1" localSheetId="1">OPF!$H$14</definedName>
    <definedName name="_QD1">#REF!</definedName>
    <definedName name="_QD2" localSheetId="1">OPF!$H$15</definedName>
    <definedName name="_QD2">#REF!</definedName>
    <definedName name="_QD3" localSheetId="1">OPF!$H$16</definedName>
    <definedName name="_QD3">#REF!</definedName>
    <definedName name="_QG1" localSheetId="1">OPF!$F$14</definedName>
    <definedName name="_QG1">#REF!</definedName>
    <definedName name="_QG2" localSheetId="1">OPF!$F$15</definedName>
    <definedName name="_QG2">#REF!</definedName>
    <definedName name="_QG3" localSheetId="1">OPF!$F$16</definedName>
    <definedName name="_QG3">#REF!</definedName>
    <definedName name="_T1" localSheetId="1">OPF!$B$14</definedName>
    <definedName name="_T1">#REF!</definedName>
    <definedName name="_T2" localSheetId="1">OPF!$B$15</definedName>
    <definedName name="_T2">#REF!</definedName>
    <definedName name="_T3" localSheetId="1">OPF!$B$16</definedName>
    <definedName name="_T3">#REF!</definedName>
    <definedName name="_V1" localSheetId="1">OPF!$B$11</definedName>
    <definedName name="_V1">#REF!</definedName>
    <definedName name="_V2" localSheetId="1">OPF!$B$12</definedName>
    <definedName name="_V2">#REF!</definedName>
    <definedName name="_V3" localSheetId="1">OPF!$B$13</definedName>
    <definedName name="_V3">#REF!</definedName>
    <definedName name="Sb">OPF!$B$1</definedName>
    <definedName name="solver_adj" localSheetId="1" hidden="1">OPF!$B$12:$B$13,OPF!$B$15:$B$16,OPF!$F$12:$F$13,OPF!$H$12:$H$13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OPF!$D$12:$D$13</definedName>
    <definedName name="solver_lhs1" localSheetId="1" hidden="1">OPF!$D$12:$D$13</definedName>
    <definedName name="solver_lhs2" localSheetId="1" hidden="1">OPF!$D$15:$D$16</definedName>
    <definedName name="solver_lhs3" localSheetId="1" hidden="1">OPF!$F$12:$F$13</definedName>
    <definedName name="solver_lhs4" localSheetId="1" hidden="1">OPF!$F$12:$F$13</definedName>
    <definedName name="solver_lhs5" localSheetId="1" hidden="1">OPF!$H$48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0.0001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OPF!$C$38</definedName>
    <definedName name="solver_pre" localSheetId="1" hidden="1">0.000000001</definedName>
    <definedName name="solver_rbv" localSheetId="1" hidden="1">1</definedName>
    <definedName name="solver_rel0" localSheetId="1" hidden="1">2</definedName>
    <definedName name="solver_rel1" localSheetId="1" hidden="1">2</definedName>
    <definedName name="solver_rel2" localSheetId="1" hidden="1">2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hs0" localSheetId="1" hidden="1">OPF!#REF!</definedName>
    <definedName name="solver_rhs1" localSheetId="1" hidden="1">0</definedName>
    <definedName name="solver_rhs2" localSheetId="1" hidden="1">0</definedName>
    <definedName name="solver_rhs3" localSheetId="1" hidden="1">2</definedName>
    <definedName name="solver_rhs4" localSheetId="1" hidden="1">0</definedName>
    <definedName name="solver_rhs5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33" l="1"/>
  <c r="F36" i="33" s="1"/>
  <c r="C29" i="33" l="1"/>
  <c r="C28" i="33"/>
  <c r="F11" i="33"/>
  <c r="D30" i="33" l="1"/>
  <c r="D31" i="33" s="1"/>
  <c r="D29" i="33"/>
  <c r="D28" i="33"/>
  <c r="D27" i="33"/>
  <c r="C23" i="33"/>
  <c r="D23" i="33" s="1"/>
  <c r="C24" i="33"/>
  <c r="D24" i="33" s="1"/>
  <c r="C22" i="33"/>
  <c r="C27" i="33" s="1"/>
  <c r="C31" i="33" l="1"/>
  <c r="C30" i="33"/>
  <c r="O3" i="33"/>
  <c r="N3" i="33"/>
  <c r="P7" i="33"/>
  <c r="R12" i="33"/>
  <c r="Q12" i="33"/>
  <c r="N15" i="33"/>
  <c r="B3" i="33"/>
  <c r="C5" i="33" s="1"/>
  <c r="H15" i="33"/>
  <c r="Q7" i="33" s="1"/>
  <c r="H16" i="33"/>
  <c r="O15" i="33" s="1"/>
  <c r="C33" i="33" l="1"/>
  <c r="C35" i="33" s="1"/>
  <c r="C32" i="33"/>
  <c r="C34" i="33" s="1"/>
  <c r="J5" i="33"/>
  <c r="J4" i="33"/>
  <c r="J3" i="33"/>
  <c r="B5" i="33"/>
  <c r="H3" i="33" s="1"/>
  <c r="C36" i="33" l="1"/>
  <c r="F35" i="33"/>
  <c r="F37" i="33" s="1"/>
  <c r="H5" i="33"/>
  <c r="H4" i="33"/>
  <c r="D6" i="33" s="1"/>
  <c r="H8" i="33" l="1"/>
  <c r="H6" i="33"/>
  <c r="F8" i="33" s="1"/>
  <c r="B48" i="33"/>
  <c r="C48" i="33"/>
  <c r="B8" i="33"/>
  <c r="E48" i="33" s="1"/>
  <c r="D48" i="33"/>
  <c r="D8" i="33"/>
  <c r="D7" i="33"/>
  <c r="C7" i="33"/>
  <c r="C6" i="33"/>
  <c r="B6" i="33"/>
  <c r="D22" i="33" s="1"/>
  <c r="D25" i="33" s="1"/>
  <c r="C38" i="33" s="1"/>
  <c r="G6" i="33"/>
  <c r="F7" i="33" s="1"/>
  <c r="F6" i="33"/>
  <c r="F14" i="33" s="1"/>
  <c r="H7" i="33"/>
  <c r="G8" i="33" s="1"/>
  <c r="G7" i="33"/>
  <c r="D14" i="33" l="1"/>
  <c r="K7" i="33"/>
  <c r="H20" i="33"/>
  <c r="B49" i="33"/>
  <c r="C8" i="33"/>
  <c r="E49" i="33" s="1"/>
  <c r="C49" i="33"/>
  <c r="D49" i="33"/>
  <c r="K6" i="33"/>
  <c r="G20" i="33"/>
  <c r="D11" i="33"/>
  <c r="B47" i="33"/>
  <c r="B7" i="33"/>
  <c r="E47" i="33" s="1"/>
  <c r="D47" i="33"/>
  <c r="C47" i="33"/>
  <c r="D13" i="33"/>
  <c r="L48" i="33"/>
  <c r="G48" i="33"/>
  <c r="K48" i="33"/>
  <c r="F48" i="33"/>
  <c r="K47" i="33" l="1"/>
  <c r="F47" i="33"/>
  <c r="D15" i="33"/>
  <c r="L47" i="33"/>
  <c r="G47" i="33"/>
  <c r="K49" i="33"/>
  <c r="F49" i="33"/>
  <c r="H48" i="33"/>
  <c r="M11" i="33" s="1"/>
  <c r="D16" i="33"/>
  <c r="D12" i="33"/>
  <c r="L49" i="33"/>
  <c r="G49" i="33"/>
  <c r="H49" i="33" l="1"/>
  <c r="O10" i="33" s="1"/>
  <c r="L50" i="33"/>
  <c r="D17" i="33"/>
  <c r="H47" i="33"/>
  <c r="M6" i="33" s="1"/>
  <c r="K50" i="33"/>
</calcChain>
</file>

<file path=xl/sharedStrings.xml><?xml version="1.0" encoding="utf-8"?>
<sst xmlns="http://schemas.openxmlformats.org/spreadsheetml/2006/main" count="152" uniqueCount="117">
  <si>
    <t>Sbase</t>
  </si>
  <si>
    <t>Vbase</t>
  </si>
  <si>
    <t>kV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</si>
  <si>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</si>
  <si>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</si>
  <si>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</si>
  <si>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</si>
  <si>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</si>
  <si>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</si>
  <si>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</si>
  <si>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</si>
  <si>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</si>
  <si>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</si>
  <si>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</si>
  <si>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</si>
  <si>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</si>
  <si>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</si>
  <si>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</si>
  <si>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</si>
  <si>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</si>
  <si>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</si>
  <si>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</si>
  <si>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</si>
  <si>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</si>
  <si>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</si>
  <si>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Losses</t>
  </si>
  <si>
    <t>Real (pu)</t>
  </si>
  <si>
    <t>Reactive (pu)</t>
  </si>
  <si>
    <t>P2-PG2+PD2=0 -&gt;</t>
  </si>
  <si>
    <t>P3-PG3+PD3=0 -&gt;</t>
  </si>
  <si>
    <t>Q2-QG2+QD2=0 -&gt;</t>
  </si>
  <si>
    <t>Q3-QG3+QD3=0 -&gt;</t>
  </si>
  <si>
    <t>L12 (km)=</t>
  </si>
  <si>
    <t>L13 (km)=</t>
  </si>
  <si>
    <t>L23 (km)=</t>
  </si>
  <si>
    <t>z12 (pu)=</t>
  </si>
  <si>
    <t>z13 (pu)=</t>
  </si>
  <si>
    <t>z23 (pu)=</t>
  </si>
  <si>
    <t>Smax</t>
  </si>
  <si>
    <t>&lt;</t>
  </si>
  <si>
    <t>Equilibrium equations</t>
  </si>
  <si>
    <t>z (pu/km)=</t>
  </si>
  <si>
    <t>Ybus=</t>
  </si>
  <si>
    <t>State Variables</t>
  </si>
  <si>
    <t>v1=</t>
  </si>
  <si>
    <t>v3=</t>
  </si>
  <si>
    <t>theta1=</t>
  </si>
  <si>
    <t>v2=</t>
  </si>
  <si>
    <t>theta2=</t>
  </si>
  <si>
    <t>theta3=</t>
  </si>
  <si>
    <t>PG1-&gt;</t>
  </si>
  <si>
    <t>QG1 -&gt;</t>
  </si>
  <si>
    <t>MW</t>
  </si>
  <si>
    <t>mvar</t>
  </si>
  <si>
    <t>Zbase</t>
  </si>
  <si>
    <t>ohms</t>
  </si>
  <si>
    <t>z (ohm/km)=</t>
  </si>
  <si>
    <t>Demand (pu)</t>
  </si>
  <si>
    <t>Generation (pu)</t>
  </si>
  <si>
    <t>Line Flows all in pu:</t>
  </si>
  <si>
    <t>Load 3</t>
  </si>
  <si>
    <t>Load 2</t>
  </si>
  <si>
    <t>EV aggregator</t>
  </si>
  <si>
    <t>PV producer</t>
  </si>
  <si>
    <t>a1</t>
  </si>
  <si>
    <t>a2</t>
  </si>
  <si>
    <t>a3</t>
  </si>
  <si>
    <t>$/MWh</t>
  </si>
  <si>
    <t>Total production cost</t>
  </si>
  <si>
    <t>$/h</t>
  </si>
  <si>
    <t>$/pu.h</t>
  </si>
  <si>
    <t>Microsoft Excel 16.36 Sensitivity Report</t>
  </si>
  <si>
    <t>Worksheet: [Taller IELE4109 max SW.xlsx]OPF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</si>
  <si>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</si>
  <si>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</si>
  <si>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</si>
  <si>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</si>
  <si>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</si>
  <si>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</si>
  <si>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</si>
  <si>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</si>
  <si>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</si>
  <si>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</si>
  <si>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$B$12</t>
  </si>
  <si>
    <t>_V2</t>
  </si>
  <si>
    <t>$B$13</t>
  </si>
  <si>
    <t>_V3</t>
  </si>
  <si>
    <t>$B$15</t>
  </si>
  <si>
    <t>_T2</t>
  </si>
  <si>
    <t>$B$16</t>
  </si>
  <si>
    <t>_T3</t>
  </si>
  <si>
    <t>$F$12</t>
  </si>
  <si>
    <t>_PG2</t>
  </si>
  <si>
    <t>$F$13</t>
  </si>
  <si>
    <t>_PG3</t>
  </si>
  <si>
    <t>$D$12</t>
  </si>
  <si>
    <t>P2-PG2+PD2=0 -&gt; L23 (km)=</t>
  </si>
  <si>
    <t>$D$13</t>
  </si>
  <si>
    <t>P3-PG3+PD3=0 -&gt; L23 (km)=</t>
  </si>
  <si>
    <t>$D$15</t>
  </si>
  <si>
    <t>Q2-QG2+QD2=0 -&gt; L23 (km)=</t>
  </si>
  <si>
    <t>$D$16</t>
  </si>
  <si>
    <t>Q3-QG3+QD3=0 -&gt; L23 (km)=</t>
  </si>
  <si>
    <t>LMP2</t>
  </si>
  <si>
    <t>LMP3</t>
  </si>
  <si>
    <t>LMP1</t>
  </si>
  <si>
    <t>LMAX2</t>
  </si>
  <si>
    <t>LMAX3</t>
  </si>
  <si>
    <t>N</t>
  </si>
  <si>
    <t>m2</t>
  </si>
  <si>
    <t>m3</t>
  </si>
  <si>
    <t>$/pu2.h</t>
  </si>
  <si>
    <t>U2</t>
  </si>
  <si>
    <t>U3</t>
  </si>
  <si>
    <t>Total Benefit</t>
  </si>
  <si>
    <t>SW</t>
  </si>
  <si>
    <t>Report Created: 4/15/20 1:33:23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</si>
</sst>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  <numFmt numFmtId="168" formatCode="0.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0" fontId="0" fillId="5" borderId="0" xfId="0" applyFill="1"/>
    <xf numFmtId="166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5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166" fontId="0" fillId="4" borderId="3" xfId="0" applyNumberFormat="1" applyFill="1" applyBorder="1"/>
    <xf numFmtId="166" fontId="0" fillId="3" borderId="3" xfId="0" applyNumberFormat="1" applyFill="1" applyBorder="1"/>
    <xf numFmtId="0" fontId="7" fillId="0" borderId="4" xfId="0" applyFont="1" applyBorder="1" applyAlignment="1">
      <alignment horizontal="right"/>
    </xf>
    <xf numFmtId="166" fontId="0" fillId="3" borderId="5" xfId="0" applyNumberFormat="1" applyFill="1" applyBorder="1"/>
    <xf numFmtId="166" fontId="0" fillId="0" borderId="6" xfId="0" applyNumberFormat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left"/>
    </xf>
    <xf numFmtId="2" fontId="0" fillId="5" borderId="0" xfId="0" applyNumberForma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2" fontId="0" fillId="5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166" fontId="0" fillId="2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0" applyBorder="1"/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0" fillId="5" borderId="0" xfId="0" applyNumberFormat="1" applyFill="1"/>
    <xf numFmtId="0" fontId="0" fillId="0" borderId="3" xfId="0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166" fontId="1" fillId="0" borderId="3" xfId="0" applyNumberFormat="1" applyFont="1" applyFill="1" applyBorder="1"/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2" borderId="0" xfId="0" applyNumberFormat="1" applyFont="1" applyFill="1"/>
    <xf numFmtId="166" fontId="0" fillId="0" borderId="0" xfId="11" applyNumberFormat="1" applyFont="1"/>
    <xf numFmtId="166" fontId="1" fillId="2" borderId="3" xfId="0" applyNumberFormat="1" applyFont="1" applyFill="1" applyBorder="1" applyAlignment="1">
      <alignment horizontal="left"/>
    </xf>
    <xf numFmtId="166" fontId="0" fillId="6" borderId="3" xfId="0" applyNumberFormat="1" applyFill="1" applyBorder="1" applyAlignment="1">
      <alignment horizontal="left"/>
    </xf>
    <xf numFmtId="166" fontId="0" fillId="6" borderId="5" xfId="0" applyNumberFormat="1" applyFill="1" applyBorder="1" applyAlignment="1">
      <alignment horizontal="left"/>
    </xf>
    <xf numFmtId="166" fontId="1" fillId="7" borderId="3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2" fontId="1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6" fillId="0" borderId="7" xfId="0" applyFont="1" applyBorder="1" applyAlignment="1"/>
    <xf numFmtId="0" fontId="0" fillId="2" borderId="0" xfId="0" applyFill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3" fillId="0" borderId="1" xfId="0" applyFont="1" applyBorder="1"/>
    <xf numFmtId="0" fontId="1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2" borderId="5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10" xfId="0" applyFill="1" applyBorder="1" applyAlignment="1">
      <alignment horizontal="center"/>
    </xf>
    <xf numFmtId="167" fontId="0" fillId="6" borderId="0" xfId="0" applyNumberFormat="1" applyFill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0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tif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3.tiff"/><Relationship Id="rId6" Type="http://schemas.openxmlformats.org/officeDocument/2006/relationships/customXml" Target="../ink/ink3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14979</xdr:colOff>
      <xdr:row>4</xdr:row>
      <xdr:rowOff>78153</xdr:rowOff>
    </xdr:from>
    <xdr:to>
      <xdr:col>11</xdr:col>
      <xdr:colOff>376440</xdr:colOff>
      <xdr:row>6</xdr:row>
      <xdr:rowOff>117230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20629" y="459153"/>
          <a:ext cx="361461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38426</xdr:colOff>
      <xdr:row>5</xdr:row>
      <xdr:rowOff>100296</xdr:rowOff>
    </xdr:from>
    <xdr:to>
      <xdr:col>13</xdr:col>
      <xdr:colOff>83364</xdr:colOff>
      <xdr:row>7</xdr:row>
      <xdr:rowOff>80757</xdr:rowOff>
    </xdr:to>
    <xdr:sp macro="" textlink="">
      <xdr:nvSpPr>
        <xdr:cNvPr id="3" name="Rectángul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401376" y="6717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50150</xdr:colOff>
      <xdr:row>3</xdr:row>
      <xdr:rowOff>104857</xdr:rowOff>
    </xdr:from>
    <xdr:to>
      <xdr:col>14</xdr:col>
      <xdr:colOff>412914</xdr:colOff>
      <xdr:row>5</xdr:row>
      <xdr:rowOff>143934</xdr:rowOff>
    </xdr:to>
    <xdr:sp macro="" textlink="">
      <xdr:nvSpPr>
        <xdr:cNvPr id="4" name="Elips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956025" y="295357"/>
          <a:ext cx="362764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670169</xdr:colOff>
      <xdr:row>5</xdr:row>
      <xdr:rowOff>103555</xdr:rowOff>
    </xdr:from>
    <xdr:to>
      <xdr:col>11</xdr:col>
      <xdr:colOff>728784</xdr:colOff>
      <xdr:row>7</xdr:row>
      <xdr:rowOff>84016</xdr:rowOff>
    </xdr:to>
    <xdr:sp macro="" textlink="">
      <xdr:nvSpPr>
        <xdr:cNvPr id="5" name="Rectángulo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75819" y="675055"/>
          <a:ext cx="4909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728784</xdr:colOff>
      <xdr:row>6</xdr:row>
      <xdr:rowOff>90527</xdr:rowOff>
    </xdr:from>
    <xdr:to>
      <xdr:col>13</xdr:col>
      <xdr:colOff>38426</xdr:colOff>
      <xdr:row>6</xdr:row>
      <xdr:rowOff>93786</xdr:rowOff>
    </xdr:to>
    <xdr:cxnSp macro="">
      <xdr:nvCxnSpPr>
        <xdr:cNvPr id="6" name="Conector recto de flecha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7824909" y="852527"/>
          <a:ext cx="576467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44612</xdr:colOff>
      <xdr:row>11</xdr:row>
      <xdr:rowOff>101601</xdr:rowOff>
    </xdr:from>
    <xdr:to>
      <xdr:col>15</xdr:col>
      <xdr:colOff>74245</xdr:colOff>
      <xdr:row>11</xdr:row>
      <xdr:rowOff>167056</xdr:rowOff>
    </xdr:to>
    <xdr:sp macro="" textlink="">
      <xdr:nvSpPr>
        <xdr:cNvPr id="7" name="Rectángulo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9261188" y="1400625"/>
          <a:ext cx="65455" cy="68685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83364</xdr:colOff>
      <xdr:row>6</xdr:row>
      <xdr:rowOff>90527</xdr:rowOff>
    </xdr:from>
    <xdr:to>
      <xdr:col>14</xdr:col>
      <xdr:colOff>271095</xdr:colOff>
      <xdr:row>11</xdr:row>
      <xdr:rowOff>101602</xdr:rowOff>
    </xdr:to>
    <xdr:cxnSp macro="">
      <xdr:nvCxnSpPr>
        <xdr:cNvPr id="8" name="Conector recto de flecha 2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3" idx="3"/>
          <a:endCxn id="7" idx="1"/>
        </xdr:cNvCxnSpPr>
      </xdr:nvCxnSpPr>
      <xdr:spPr>
        <a:xfrm>
          <a:off x="8446314" y="852527"/>
          <a:ext cx="730656" cy="858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270933</xdr:colOff>
      <xdr:row>11</xdr:row>
      <xdr:rowOff>167057</xdr:rowOff>
    </xdr:from>
    <xdr:to>
      <xdr:col>14</xdr:col>
      <xdr:colOff>271095</xdr:colOff>
      <xdr:row>13</xdr:row>
      <xdr:rowOff>33867</xdr:rowOff>
    </xdr:to>
    <xdr:cxnSp macro="">
      <xdr:nvCxnSpPr>
        <xdr:cNvPr id="9" name="Conector recto de flecha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7" idx="3"/>
        </xdr:cNvCxnSpPr>
      </xdr:nvCxnSpPr>
      <xdr:spPr>
        <a:xfrm flipH="1">
          <a:off x="9176808" y="1776782"/>
          <a:ext cx="162" cy="247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135466</xdr:colOff>
      <xdr:row>6</xdr:row>
      <xdr:rowOff>88900</xdr:rowOff>
    </xdr:from>
    <xdr:to>
      <xdr:col>14</xdr:col>
      <xdr:colOff>736600</xdr:colOff>
      <xdr:row>6</xdr:row>
      <xdr:rowOff>101601</xdr:rowOff>
    </xdr:to>
    <xdr:cxnSp macro="">
      <xdr:nvCxnSpPr>
        <xdr:cNvPr id="10" name="Conector recto de flecha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9736666" y="1155700"/>
          <a:ext cx="1223434" cy="1270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376440</xdr:colOff>
      <xdr:row>5</xdr:row>
      <xdr:rowOff>97692</xdr:rowOff>
    </xdr:from>
    <xdr:to>
      <xdr:col>11</xdr:col>
      <xdr:colOff>670169</xdr:colOff>
      <xdr:row>6</xdr:row>
      <xdr:rowOff>93786</xdr:rowOff>
    </xdr:to>
    <xdr:cxnSp macro="">
      <xdr:nvCxnSpPr>
        <xdr:cNvPr id="11" name="Conector recto de flecha 2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6"/>
          <a:endCxn id="5" idx="1"/>
        </xdr:cNvCxnSpPr>
      </xdr:nvCxnSpPr>
      <xdr:spPr>
        <a:xfrm>
          <a:off x="7482090" y="669192"/>
          <a:ext cx="293729" cy="186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83364</xdr:colOff>
      <xdr:row>4</xdr:row>
      <xdr:rowOff>124396</xdr:rowOff>
    </xdr:from>
    <xdr:to>
      <xdr:col>14</xdr:col>
      <xdr:colOff>50150</xdr:colOff>
      <xdr:row>6</xdr:row>
      <xdr:rowOff>90527</xdr:rowOff>
    </xdr:to>
    <xdr:cxnSp macro="">
      <xdr:nvCxnSpPr>
        <xdr:cNvPr id="12" name="Conector recto de flecha 3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3" idx="3"/>
        </xdr:cNvCxnSpPr>
      </xdr:nvCxnSpPr>
      <xdr:spPr>
        <a:xfrm flipH="1">
          <a:off x="8446314" y="505396"/>
          <a:ext cx="509711" cy="34713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728784</xdr:colOff>
      <xdr:row>6</xdr:row>
      <xdr:rowOff>93786</xdr:rowOff>
    </xdr:from>
    <xdr:to>
      <xdr:col>14</xdr:col>
      <xdr:colOff>44612</xdr:colOff>
      <xdr:row>11</xdr:row>
      <xdr:rowOff>134330</xdr:rowOff>
    </xdr:to>
    <xdr:cxnSp macro="">
      <xdr:nvCxnSpPr>
        <xdr:cNvPr id="13" name="Conector recto 4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5" idx="3"/>
          <a:endCxn id="7" idx="2"/>
        </xdr:cNvCxnSpPr>
      </xdr:nvCxnSpPr>
      <xdr:spPr>
        <a:xfrm>
          <a:off x="7824909" y="855786"/>
          <a:ext cx="1125578" cy="888269"/>
        </a:xfrm>
        <a:prstGeom prst="line">
          <a:avLst/>
        </a:prstGeom>
        <a:ln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553029</xdr:colOff>
      <xdr:row>8</xdr:row>
      <xdr:rowOff>23212</xdr:rowOff>
    </xdr:from>
    <xdr:to>
      <xdr:col>15</xdr:col>
      <xdr:colOff>647633</xdr:colOff>
      <xdr:row>11</xdr:row>
      <xdr:rowOff>54430</xdr:rowOff>
    </xdr:to>
    <xdr:pic>
      <xdr:nvPicPr>
        <xdr:cNvPr id="14" name="Imagen 5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5600" y="1547212"/>
          <a:ext cx="847533" cy="502932"/>
        </a:xfrm>
        <a:prstGeom prst="rect">
          <a:avLst/>
        </a:prstGeom>
      </xdr:spPr>
    </xdr:pic>
    <xdr:clientData/>
  </xdr:twoCellAnchor>
  <xdr:oneCellAnchor>
    <xdr:from>
      <xdr:col>11</xdr:col>
      <xdr:colOff>541866</xdr:colOff>
      <xdr:row>4</xdr:row>
      <xdr:rowOff>42334</xdr:rowOff>
    </xdr:from>
    <xdr:ext cx="256162" cy="261610"/>
    <xdr:sp macro="" textlink="">
      <xdr:nvSpPr>
        <xdr:cNvPr id="15" name="CuadroTexto 5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647516" y="42333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12</xdr:col>
      <xdr:colOff>575732</xdr:colOff>
      <xdr:row>4</xdr:row>
      <xdr:rowOff>33867</xdr:rowOff>
    </xdr:from>
    <xdr:ext cx="256162" cy="261610"/>
    <xdr:sp macro="" textlink="">
      <xdr:nvSpPr>
        <xdr:cNvPr id="16" name="CuadroTexto 5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8367182" y="414867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13</xdr:col>
      <xdr:colOff>508000</xdr:colOff>
      <xdr:row>11</xdr:row>
      <xdr:rowOff>110067</xdr:rowOff>
    </xdr:from>
    <xdr:ext cx="256162" cy="261610"/>
    <xdr:sp macro="" textlink="">
      <xdr:nvSpPr>
        <xdr:cNvPr id="17" name="CuadroTexto 5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870950" y="171979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15</xdr:col>
      <xdr:colOff>169333</xdr:colOff>
      <xdr:row>0</xdr:row>
      <xdr:rowOff>63500</xdr:rowOff>
    </xdr:from>
    <xdr:to>
      <xdr:col>16</xdr:col>
      <xdr:colOff>575733</xdr:colOff>
      <xdr:row>3</xdr:row>
      <xdr:rowOff>86750</xdr:rowOff>
    </xdr:to>
    <xdr:pic>
      <xdr:nvPicPr>
        <xdr:cNvPr id="18" name="Imagen 19" descr="pannel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2133" y="63500"/>
          <a:ext cx="1231900" cy="556650"/>
        </a:xfrm>
        <a:prstGeom prst="rect">
          <a:avLst/>
        </a:prstGeom>
      </xdr:spPr>
    </xdr:pic>
    <xdr:clientData/>
  </xdr:twoCellAnchor>
  <xdr:twoCellAnchor>
    <xdr:from>
      <xdr:col>15</xdr:col>
      <xdr:colOff>126351</xdr:colOff>
      <xdr:row>11</xdr:row>
      <xdr:rowOff>108857</xdr:rowOff>
    </xdr:from>
    <xdr:to>
      <xdr:col>15</xdr:col>
      <xdr:colOff>789214</xdr:colOff>
      <xdr:row>11</xdr:row>
      <xdr:rowOff>127653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11111851" y="2104571"/>
          <a:ext cx="662863" cy="1879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0</xdr:row>
      <xdr:rowOff>101600</xdr:rowOff>
    </xdr:from>
    <xdr:to>
      <xdr:col>49</xdr:col>
      <xdr:colOff>109682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22404-4C65-4143-84A6-E460F9B6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01600"/>
          <a:ext cx="2522682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105777</xdr:colOff>
      <xdr:row>0</xdr:row>
      <xdr:rowOff>132346</xdr:rowOff>
    </xdr:from>
    <xdr:to>
      <xdr:col>39</xdr:col>
      <xdr:colOff>23813</xdr:colOff>
      <xdr:row>33</xdr:row>
      <xdr:rowOff>189768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6C030789-FF9B-6A4B-A05B-73FEF6CAB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55334" y="-1179086"/>
          <a:ext cx="6343922" cy="8966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0</xdr:row>
      <xdr:rowOff>101600</xdr:rowOff>
    </xdr:from>
    <xdr:to>
      <xdr:col>49</xdr:col>
      <xdr:colOff>109682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54C15-38FB-9344-90AC-61B3B696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01600"/>
          <a:ext cx="2522682" cy="1206500"/>
        </a:xfrm>
        <a:prstGeom prst="rect">
          <a:avLst/>
        </a:prstGeom>
      </xdr:spPr>
    </xdr:pic>
    <xdr:clientData/>
  </xdr:twoCellAnchor>
  <xdr:twoCellAnchor editAs="oneCell">
    <xdr:from>
      <xdr:col>3</xdr:col>
      <xdr:colOff>231705</xdr:colOff>
      <xdr:row>2</xdr:row>
      <xdr:rowOff>600</xdr:rowOff>
    </xdr:from>
    <xdr:to>
      <xdr:col>5</xdr:col>
      <xdr:colOff>182055</xdr:colOff>
      <xdr:row>3</xdr:row>
      <xdr:rowOff>26820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AFB156-FB32-D94F-AB63-3F1A1E90FA00}"/>
                </a:ext>
              </a:extLst>
            </xdr14:cNvPr>
            <xdr14:cNvContentPartPr/>
          </xdr14:nvContentPartPr>
          <xdr14:nvPr macro=""/>
          <xdr14:xfrm>
            <a:off x="946080" y="381600"/>
            <a:ext cx="426600" cy="216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AFB156-FB32-D94F-AB63-3F1A1E90FA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0600" y="366480"/>
              <a:ext cx="4568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73170</xdr:colOff>
      <xdr:row>2</xdr:row>
      <xdr:rowOff>12840</xdr:rowOff>
    </xdr:from>
    <xdr:to>
      <xdr:col>6</xdr:col>
      <xdr:colOff>91890</xdr:colOff>
      <xdr:row>3</xdr:row>
      <xdr:rowOff>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1B79BA8-04A0-9D43-96E9-4FCFC5BFA771}"/>
                </a:ext>
              </a:extLst>
            </xdr14:cNvPr>
            <xdr14:cNvContentPartPr/>
          </xdr14:nvContentPartPr>
          <xdr14:nvPr macro=""/>
          <xdr14:xfrm>
            <a:off x="1501920" y="393840"/>
            <a:ext cx="18720" cy="185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1B79BA8-04A0-9D43-96E9-4FCFC5BFA77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86440" y="378720"/>
              <a:ext cx="493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23490</xdr:colOff>
      <xdr:row>1</xdr:row>
      <xdr:rowOff>80220</xdr:rowOff>
    </xdr:from>
    <xdr:to>
      <xdr:col>6</xdr:col>
      <xdr:colOff>42570</xdr:colOff>
      <xdr:row>1</xdr:row>
      <xdr:rowOff>111180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9226F81-C89F-A84E-B0B5-9541F801C9C3}"/>
                </a:ext>
              </a:extLst>
            </xdr14:cNvPr>
            <xdr14:cNvContentPartPr/>
          </xdr14:nvContentPartPr>
          <xdr14:nvPr macro=""/>
          <xdr14:xfrm>
            <a:off x="1452240" y="270720"/>
            <a:ext cx="19080" cy="30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9226F81-C89F-A84E-B0B5-9541F801C9C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36760" y="255600"/>
              <a:ext cx="4968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13965</xdr:colOff>
      <xdr:row>2</xdr:row>
      <xdr:rowOff>37680</xdr:rowOff>
    </xdr:from>
    <xdr:to>
      <xdr:col>7</xdr:col>
      <xdr:colOff>193245</xdr:colOff>
      <xdr:row>3</xdr:row>
      <xdr:rowOff>63540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922F5DC8-82D7-E249-AB5D-EFD446446B3D}"/>
                </a:ext>
              </a:extLst>
            </xdr14:cNvPr>
            <xdr14:cNvContentPartPr/>
          </xdr14:nvContentPartPr>
          <xdr14:nvPr macro=""/>
          <xdr14:xfrm>
            <a:off x="1680840" y="418680"/>
            <a:ext cx="179280" cy="216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922F5DC8-82D7-E249-AB5D-EFD446446B3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65720" y="403560"/>
              <a:ext cx="20988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22725</xdr:colOff>
      <xdr:row>1</xdr:row>
      <xdr:rowOff>30540</xdr:rowOff>
    </xdr:from>
    <xdr:to>
      <xdr:col>19</xdr:col>
      <xdr:colOff>218985</xdr:colOff>
      <xdr:row>2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4DBF1C0-7538-E141-88EA-5F7316B6675D}"/>
                </a:ext>
              </a:extLst>
            </xdr14:cNvPr>
            <xdr14:cNvContentPartPr/>
          </xdr14:nvContentPartPr>
          <xdr14:nvPr macro=""/>
          <xdr14:xfrm>
            <a:off x="3594600" y="221040"/>
            <a:ext cx="1148760" cy="312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4DBF1C0-7538-E141-88EA-5F7316B6675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9120" y="205920"/>
              <a:ext cx="117936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195600</xdr:colOff>
      <xdr:row>1</xdr:row>
      <xdr:rowOff>67620</xdr:rowOff>
    </xdr:from>
    <xdr:to>
      <xdr:col>13</xdr:col>
      <xdr:colOff>67335</xdr:colOff>
      <xdr:row>3</xdr:row>
      <xdr:rowOff>38700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521539E-EB1A-A345-885E-D3EB1B43A52D}"/>
                </a:ext>
              </a:extLst>
            </xdr14:cNvPr>
            <xdr14:cNvContentPartPr/>
          </xdr14:nvContentPartPr>
          <xdr14:nvPr macro=""/>
          <xdr14:xfrm>
            <a:off x="2100600" y="258120"/>
            <a:ext cx="1062360" cy="3520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521539E-EB1A-A345-885E-D3EB1B43A52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85115" y="242656"/>
              <a:ext cx="1092970" cy="3826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27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0 224 7533,'0'-19'0,"0"-4"0,0 21 0,0-13-360,0 5 270,0 1 90,0-14-90,8 19 450,9-26-270,-5 18 270,26-13-181,-17 8-89,13 0 0,-9 7-3392,0 3 3482,-6 7-180,13 0 180,3 23-360,-7-10 270,5 58 0,-16-29-45,-11 13 0,-3 2-135,5-4 180,-8-1 0,0-1-270,0-11 0,7 25 180,-5-36 3572,6 3-3572,-8-22 90,0-3-90,0-7 90,-8-15-90,6 3 90,-5-12-180,-1-1 90,6-2 0,-5-23 0,7 5-90,0-30 90,7 28-90,10-33 180,3 48-90,27-24-90,-24 45 90,40-4 360,-33 15-270,12 7 0,-17 3 0,0 22-90,-6-3 90,-2 35-90,-2-31 0,-13 45 90,5-45-90,-7 39 90,0-41-270,-7 23 180,5-40-90,-6 16 90,8-28-90,-7 6 180,5-16-180,-6-9 90,8-10 0,8-22 0,1 18 0,16-39 0,-6 37 0,-1-24-90,-3 31 0,-6-7 90,46-8-540,-13 18 540,17-8 0,-18 31 0,-15 8 629,8 17-629,-14-4 360,-5 26 0,-9 5 0,-5 1-450,-6 0-159,9 3 1,-3-11 338,-8-35-90,7 5 0,0-13 0,0 6-1979,0-16 1619,7-2-1259,18-22 1619,-4 11 0,19-19 0,-13 13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6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19 7533,'0'-10'-90,"0"2"90,0 8 539,0 0-359,0 8 0,8 1 0,-6 1 270,13 13-90,-13 4-90,13 8-91,-13 8 361,5 6-450,-7-11 270,0 27-360,0-27-180,0 19 90,0-28-180,0 11 180,0-29-539,0 12 629,0-21-900,0 6 810,0-8-809,0-15 449,0 11 450,0-27 0,-7 12 0,-3-15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88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86 7533,'0'-38'629,"8"0"-809,-6 36 180,6-5 0,-8 7 0,0 0 90,8 0 0,-6 0-719,5 0 629,-7 0 0,8 7 0,1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1.73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86 6363,'-10'-7'-90,"3"5"180,-1-6 0,6 8-90,-5 0 180,7 0 0,0 0 0,0-7-90,0 5 0,0-6 90,0 1-270,0-3 270,7 1-90,3 1 90,7 0-90,0 6-1,-8-5 1,14 7 180,-4 7-270,0 3 90,-4 7 90,-7 16-90,-6-12-270,5 18 270,1-4-180,-6 16 0,5-13 90,-7 10 0,0-21 0,0 0 0,-7-3-90,5-7-90,-6-7 180,8-2 0,0-8-90,-7-8 90,5-2 0,-6 1 0,8-14-90,24-35 90,-11 15-89,42-37 89,-17 51 179,6 4 1,-12 18 360,1 30-270,-12-10 0,4 19-270,-18-15 90,-7 0 0,8 16 0,-6 11 0,5 1-180,-7 13 90,0-30 0,0 12 90,0-13-90,0-1 0,0-1-90,0-8 90,8-7-540,-7 5 540,7-13-90,0 6 90,-7-8 0,7 0 0,0-8 0,2-1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5.7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35 207 7533,'-9'-8'0,"-7"6"0,14-6 0,-6 8 0,8 0 180,0 0 89,16 16-359,-12-12 180,19 19 0,-14-6 180,0 2 360,14 44-540,-19-29 90,19 54 0,-21-56 269,6 46-359,-8-53-989,-8 38 809,6-43-450,-14 13 540,15-16-809,-7-7 629,8-3 180,0-7 0,16 0 0,3 0 0</inkml:trace>
  <inkml:trace contextRef="#ctx0" brushRef="#br0" timeOffset="961">497 670 5914,'0'-10'0,"0"3"269,0 7 451,0 0-450,8 7-180,-6-5-90,13 13 270,-13-5-90,14-1-1,-14 7 91,13 1-180,-6 2 90,1-2-180,28 6 0,-23-19 270,33 18-180,-21-20-180,7-2 0,-15-2 90,11-20 0,-18 18 0,13-34-270,-15 24 0,-3-10 90,-7 8 1,0 7 179,0-8-180,-7-15 180,-3 11-360,-15-35 360,6 41-270,-21-31 360,19 42 0,-19-19-90,21 21-90,-14-13 90,14 13-90,2-13 90,2 13 90,5-21-90,-7 19 0,0-26 0,7 19 0,-13-14 90,12 8-90,-13-1 0,7 2 90,7-2-90,3 9 0,-1-7 180,6 15-90,-6-15 0,8 15 90,8-15-180,-6 15 269,21-15-269,-19 14 90,18-6 180,-5 1 0,17 5-180,-5-6 270,11 1-270,-21 5 270,28-13-270,-15 13-450,17-5 450,-30 7 0,4 0 0,-21 0-1710,5 0 1620,-7 0 0,0 0 0,0 0 0</inkml:trace>
  <inkml:trace contextRef="#ctx0" brushRef="#br0" timeOffset="1464">995 224 7263,'17'-9'180,"23"1"0,-9 8-180,18 0 269,1 0-89,-12 0-180,12 0 360,-8 0-270,-14 0 270,12 8-450,-29 1 450,4 23-540,-22-18 270,-10 39-180,-2-38 0,-29 40-90,26-26 0,-34 28 180,35-19-180,-11 20 0,22-30-90,-5 20 181,13-28 178,-5 21-89,7-30 270,7 19-90,-5-18 0,21 13 0,-12-16 0,29-1-180,-19-8 180,35 0-270,-26 0 180,35 0-270,-35 0 0,25-8-270,-33 6-89,10-13-1,-22 13 540,5-6 0,-13 8 0,5 0 0</inkml:trace>
  <inkml:trace contextRef="#ctx0" brushRef="#br0" timeOffset="2078">1904 378 7257,'0'-9'0,"0"-6"137,0 5-137,0 0-314,0 2 134,0 8 114,0 0 425,7 0-199,-5 0 379,14 23-449,-7-9 360,1 48-270,-2-29 0,-8 40-270,0-35 180,-8 27-90,-2-35-90,-7 18 90,7-37 0,3 4 0,7-7 270,0-6-180,0-10-90,7-3 0,-5-14 90,21 8 0,-4-8-90,16-1 90,-1-1 0,15-21-270,-10 10 90,18-13 180,-29 16-90,12 10 0,-21 16 0,14-7 0,-14 15 0,-2-7 0,-10 8-90,-14 8-720,-10 1-539,-18 16 1079,-1-6 270,2 6 0,-6-8 0,3 1 0</inkml:trace>
  <inkml:trace contextRef="#ctx0" brushRef="#br0" timeOffset="2313">2024 618 7533,'43'34'854,"0"-1"1,33 28-945,-67-59 0,1 5 270,5-7-90,-5 0-990,7 0 450,-7 0-539,5 0 539,-13 0 450,13 0 0,-13 0 0,5 0 0</inkml:trace>
  <inkml:trace contextRef="#ctx0" brushRef="#br0" timeOffset="3057">2504 412 7533,'0'-25'-1350,"0"7"1081,0 1 269,0 1 0,0 7 0,0-1 539,0 2-359,0 8 450,0-7-270,0 5-360,0 10 180,0-5 269,0 50-179,0-28 270,0 56-540,-7-41 0,5 40-180,-6-48 270,8 39-270,8-56 180,9 30-90,2-41 90,21 11 0,-19-15 90,34 0-90,-32-7-90,32-18 90,-41 12-270,16-33 270,-28 25-180,6-20 90,-8 21 0,0-2 180,0 20-180,7 2 180,-5 9-90,13 31 90,-13-17 90,21 40 90,-19-33-270,34 27 90,-24-36 180,41 9-90,-33-20 90,42 0-180,-42-10 89,41-17-179,-47-3 180,29-19-180,-41 10 180,11-28-90,-15 19-450,-15-49 180,3 35 225,-6-5 0,-3 1-45,-8 5 0,-6-14 270,11 25 180,6 4-450,9 0 270,1 3-180,1 17 270,5-10-360,-6 15 269,1-20-179,-2 27 0,-1-18-90,-5 20-989,13-14 89,-7 14 900,2-13 0,-2 13 0,-8-5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2.7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52 173 7533,'0'-92'-90,"8"27"-2407,-6 49 3306,20 24 96,-10 2-815,4 15 90,-8-6 341,0 13 19,-6 56-361,-2-31-44,-6 12 0,-5 5-450,-5-16 1,-2-2 269,-1 8 0,1-2 1123,-8 33-1078,10-39 90,16-39 17,0 0 73,0 0-180,0 0 179,0-7-89,8-2 0,-6-8 246,13 0-156,2 0-180,3 0 180,12 0-180,-6 0 0,24 0-3392,-19 0 3302,8 0 180,-14 0-270,10 0 180,-7 0-90,5 0-269,-16 7 89,7-5 0,-12 6 3122,11-1-3392,-21-5-179,13 6 179,-13-8 540,6 0 0,-1-8 0,3-1 0</inkml:trace>
  <inkml:trace contextRef="#ctx0" brushRef="#br0" timeOffset="515">875 532 7533,'-36'-55'-360,"11"15"540,17 33 0,1 7-270,5 0 180,-13 0 0,13 0 90,-21 7-91,19 3 1,-19 15 0,14-7-90,-1 15 90,-5 16 0,13-1 0,-6 3-180,8 12 180,0-30 0,0 24-180,23-23 90,-2-14 90,14-5-90,5-23 180,-12-9-270,14-10 180,-15-23 0,-3 20-90,-14-26-90,-2 36 90,-8-43 0,-8 23 0,-2-19 0,-7 17 0,0 16-90,-7-15 180,-3 13-90,8 1-450,3 4 360,16 21-269,0-5-1,0 14-180,8-5 540,2 6 0,7-1 0,0 3 0</inkml:trace>
  <inkml:trace contextRef="#ctx0" brushRef="#br0" timeOffset="1032">1081 686 7533,'-10'27'-90,"10"-2"0,10-16 270,7 7-90,0-6 269,15 15-89,4 1-180,1-7-90,3 4 90,10-13-90,-11-1 270,19-1-180,-32-8 270,22-8-270,-33-1-540,23-9 360,-36 1-270,6-8 450,-8 7-360,-15-15 180,3 14 0,-51-29-89,29 18 89,-46-20 90,42 16 179,-19 0 451,5-31-630,21 31 90,1-22 0,30 47-90,8-7-90,16 7 90,-2-1 90,25-5-90,-26 13-540,27-13 540,-27 13 0,19-6 0,-21 0 0,6-1 0</inkml:trace>
  <inkml:trace contextRef="#ctx0" brushRef="#br0" timeOffset="1532">1681 807 7533,'0'34'-360,"0"-15"450,0 12 90,8-20 0,-6 14-90,5-15-90,1 5 90,1-13 269,9 13-179,-1-14 270,31 7-360,-24-8 90,39-15-180,-42 11-90,11-26 0,-15 18 90,-7-20-180,-2 5 0,-24-14 180,5 4-90,-37-12-90,18 12 0,-12 3 180,9 9 0,7 8-90,-24-15 180,20 18-90,-10-31 0,30 24 0,2-6 0,8-3 0,0 18 0,8-12 0,2 14 0,7-5 0,0 5 0,0 0-449,8-5 449,-13 13-90,18-5 90,-26 7 0,19 0 0,-14 0 0,8 0 0</inkml:trace>
  <inkml:trace contextRef="#ctx0" brushRef="#br0" timeOffset="1949">2007 532 7533,'72'-3'-23,"1"0"1,-1 0-1,30-3 1,-27-3 22,-58-1 0,-7-7 90,-3 8-270,-7-14 180,0 11 0,-7-12-270,-49-9 270,21 20 0,-30-10 0,32 23-90,15 0 90,-8 7 0,10 3 0,-2 15-90,9-6 180,-7 44 1889,7 2-2084,-1 7 195,3-15 78,7-17-78,0-20 180,15 36-90,-4-41-450,52 31 180,-36-42-899,44 12 809,-50-24-1170,41-9 1171,-36-2 179,21 2 0,-22-7 0,1 5 0</inkml:trace>
  <inkml:trace contextRef="#ctx0" brushRef="#br0" timeOffset="2399">2590 807 7533,'76'20'269,"1"0"1,-4 5 0,-17-14 90,-39-26-270,2 5 0,-2 1-90,-9 1 90,-1 0-270,-5-1-90,6 0 0,-39-22 90,8 17-89,-48-34 269,30 28-90,-16-20 90,7 13-90,13-7 0,-13 0 270,23-16-90,10 20-90,9-18 0,8 37 449,16-27-449,-12 32 360,34-33-360,-17 36 450,36-20-360,-27 13-90,25 1 0,-34 1-450,4 8 360,-10 0-719,-13 0 809,6 0 0,-1 0 0,3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FE5A-AF5B-D748-8EC1-3549AC79E404}">
  <dimension ref="A1:E22"/>
  <sheetViews>
    <sheetView showGridLines="0" workbookViewId="0">
      <selection activeCell="E19" sqref="E19:E20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22.83203125" bestFit="1" customWidth="1"/>
    <col min="4" max="4" width="12.33203125" bestFit="1" customWidth="1"/>
    <col min="5" max="5" width="12.6640625" bestFit="1" customWidth="1"/>
  </cols>
  <sheetData>
    <row r="1" spans="1:5" x14ac:dyDescent="0.2">
      <c r="A1" s="3" t="s">
        <v>71</v>
      </c>
    </row>
    <row r="2" spans="1:5" x14ac:dyDescent="0.2">
      <c r="A2" s="3" t="s">
        <v>72</v>
      </c>
    </row>
    <row r="3" spans="1:5" x14ac:dyDescent="0.2">
      <c r="A3" s="3" t="s">
        <v>116</v>
      </c>
    </row>
    <row r="6" spans="1:5" ht="16" thickBot="1" x14ac:dyDescent="0.25">
      <c r="A6" t="s">
        <v>73</v>
      </c>
    </row>
    <row r="7" spans="1:5" x14ac:dyDescent="0.2">
      <c r="B7" s="83"/>
      <c r="C7" s="83"/>
      <c r="D7" s="83" t="s">
        <v>76</v>
      </c>
      <c r="E7" s="83" t="s">
        <v>78</v>
      </c>
    </row>
    <row r="8" spans="1:5" ht="16" thickBot="1" x14ac:dyDescent="0.25">
      <c r="B8" s="84" t="s">
        <v>74</v>
      </c>
      <c r="C8" s="84" t="s">
        <v>75</v>
      </c>
      <c r="D8" s="84" t="s">
        <v>77</v>
      </c>
      <c r="E8" s="84" t="s">
        <v>79</v>
      </c>
    </row>
    <row r="9" spans="1:5" x14ac:dyDescent="0.2">
      <c r="B9" s="81" t="s">
        <v>83</v>
      </c>
      <c r="C9" s="81" t="s">
        <v>84</v>
      </c>
      <c r="D9" s="81">
        <v>0.98600867507997103</v>
      </c>
      <c r="E9" s="81">
        <v>0</v>
      </c>
    </row>
    <row r="10" spans="1:5" x14ac:dyDescent="0.2">
      <c r="B10" s="81" t="s">
        <v>85</v>
      </c>
      <c r="C10" s="81" t="s">
        <v>86</v>
      </c>
      <c r="D10" s="81">
        <v>0.97354185470577548</v>
      </c>
      <c r="E10" s="81">
        <v>0</v>
      </c>
    </row>
    <row r="11" spans="1:5" x14ac:dyDescent="0.2">
      <c r="B11" s="81" t="s">
        <v>87</v>
      </c>
      <c r="C11" s="81" t="s">
        <v>88</v>
      </c>
      <c r="D11" s="81">
        <v>2.2568868421091445E-2</v>
      </c>
      <c r="E11" s="81">
        <v>0</v>
      </c>
    </row>
    <row r="12" spans="1:5" x14ac:dyDescent="0.2">
      <c r="B12" s="81" t="s">
        <v>89</v>
      </c>
      <c r="C12" s="81" t="s">
        <v>90</v>
      </c>
      <c r="D12" s="81">
        <v>7.7890920927109848E-3</v>
      </c>
      <c r="E12" s="81">
        <v>0</v>
      </c>
    </row>
    <row r="13" spans="1:5" x14ac:dyDescent="0.2">
      <c r="B13" s="81" t="s">
        <v>91</v>
      </c>
      <c r="C13" s="81" t="s">
        <v>92</v>
      </c>
      <c r="D13" s="81">
        <v>2</v>
      </c>
      <c r="E13" s="81">
        <v>-987.42232963326262</v>
      </c>
    </row>
    <row r="14" spans="1:5" ht="16" thickBot="1" x14ac:dyDescent="0.25">
      <c r="B14" s="82" t="s">
        <v>93</v>
      </c>
      <c r="C14" s="82" t="s">
        <v>94</v>
      </c>
      <c r="D14" s="82">
        <v>2</v>
      </c>
      <c r="E14" s="82">
        <v>-1004.9262952283009</v>
      </c>
    </row>
    <row r="16" spans="1:5" ht="16" thickBot="1" x14ac:dyDescent="0.25">
      <c r="A16" t="s">
        <v>80</v>
      </c>
    </row>
    <row r="17" spans="2:5" x14ac:dyDescent="0.2">
      <c r="B17" s="83"/>
      <c r="C17" s="83"/>
      <c r="D17" s="83" t="s">
        <v>76</v>
      </c>
      <c r="E17" s="83" t="s">
        <v>81</v>
      </c>
    </row>
    <row r="18" spans="2:5" ht="16" thickBot="1" x14ac:dyDescent="0.25">
      <c r="B18" s="84" t="s">
        <v>74</v>
      </c>
      <c r="C18" s="84" t="s">
        <v>75</v>
      </c>
      <c r="D18" s="84" t="s">
        <v>77</v>
      </c>
      <c r="E18" s="84" t="s">
        <v>82</v>
      </c>
    </row>
    <row r="19" spans="2:5" x14ac:dyDescent="0.2">
      <c r="B19" s="81" t="s">
        <v>95</v>
      </c>
      <c r="C19" s="81" t="s">
        <v>96</v>
      </c>
      <c r="D19" s="81">
        <v>-1.8667556389573292E-7</v>
      </c>
      <c r="E19" s="81">
        <v>987.42232963326262</v>
      </c>
    </row>
    <row r="20" spans="2:5" x14ac:dyDescent="0.2">
      <c r="B20" s="81" t="s">
        <v>97</v>
      </c>
      <c r="C20" s="81" t="s">
        <v>98</v>
      </c>
      <c r="D20" s="81">
        <v>4.7542265235733794E-8</v>
      </c>
      <c r="E20" s="81">
        <v>1004.9262952283009</v>
      </c>
    </row>
    <row r="21" spans="2:5" x14ac:dyDescent="0.2">
      <c r="B21" s="81" t="s">
        <v>99</v>
      </c>
      <c r="C21" s="81" t="s">
        <v>100</v>
      </c>
      <c r="D21" s="81">
        <v>-4.9914483213342464E-8</v>
      </c>
      <c r="E21" s="81">
        <v>21.222288865997356</v>
      </c>
    </row>
    <row r="22" spans="2:5" ht="16" thickBot="1" x14ac:dyDescent="0.25">
      <c r="B22" s="82" t="s">
        <v>101</v>
      </c>
      <c r="C22" s="82" t="s">
        <v>102</v>
      </c>
      <c r="D22" s="82">
        <v>-6.5772219670634513E-8</v>
      </c>
      <c r="E22" s="82">
        <v>25.681387932345668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showGridLines="0" tabSelected="1" zoomScale="210" zoomScaleNormal="210" workbookViewId="0">
      <selection activeCell="H12" sqref="H12:H13"/>
    </sheetView>
  </sheetViews>
  <sheetFormatPr baseColWidth="10" defaultRowHeight="15" x14ac:dyDescent="0.2"/>
  <cols>
    <col min="1" max="1" width="9.5" customWidth="1"/>
    <col min="2" max="2" width="7.6640625" customWidth="1"/>
    <col min="3" max="3" width="13.83203125" customWidth="1"/>
    <col min="4" max="4" width="10.6640625" customWidth="1"/>
    <col min="5" max="5" width="14.5" customWidth="1"/>
    <col min="6" max="6" width="11" customWidth="1"/>
    <col min="7" max="7" width="7.83203125" customWidth="1"/>
    <col min="8" max="8" width="13.6640625" customWidth="1"/>
    <col min="9" max="9" width="2.33203125" customWidth="1"/>
    <col min="10" max="10" width="8.1640625" customWidth="1"/>
    <col min="11" max="11" width="8" customWidth="1"/>
    <col min="12" max="12" width="10.83203125" customWidth="1"/>
    <col min="13" max="13" width="8" customWidth="1"/>
    <col min="14" max="14" width="8.1640625" customWidth="1"/>
    <col min="15" max="15" width="9.83203125" customWidth="1"/>
    <col min="16" max="17" width="10.83203125" customWidth="1"/>
  </cols>
  <sheetData>
    <row r="1" spans="1:18" x14ac:dyDescent="0.2">
      <c r="A1" s="3" t="s">
        <v>0</v>
      </c>
      <c r="B1" s="3">
        <v>10</v>
      </c>
      <c r="C1" s="3" t="s">
        <v>3</v>
      </c>
      <c r="N1" s="92" t="s">
        <v>63</v>
      </c>
      <c r="O1" s="92"/>
    </row>
    <row r="2" spans="1:18" x14ac:dyDescent="0.2">
      <c r="A2" s="3" t="s">
        <v>1</v>
      </c>
      <c r="B2" s="3">
        <v>69</v>
      </c>
      <c r="C2" s="3" t="s">
        <v>2</v>
      </c>
      <c r="N2" s="65" t="s">
        <v>52</v>
      </c>
      <c r="O2" s="66" t="s">
        <v>53</v>
      </c>
    </row>
    <row r="3" spans="1:18" x14ac:dyDescent="0.2">
      <c r="A3" t="s">
        <v>54</v>
      </c>
      <c r="B3">
        <f>B2^2/B1</f>
        <v>476.1</v>
      </c>
      <c r="C3" t="s">
        <v>55</v>
      </c>
      <c r="D3" t="s">
        <v>32</v>
      </c>
      <c r="E3" s="49">
        <v>30</v>
      </c>
      <c r="G3" t="s">
        <v>35</v>
      </c>
      <c r="H3" s="9">
        <f>$B$5*E3</f>
        <v>1.4999999999999999E-2</v>
      </c>
      <c r="I3" s="1" t="s">
        <v>4</v>
      </c>
      <c r="J3" s="7">
        <f>E3*$C$5</f>
        <v>0.03</v>
      </c>
      <c r="N3" s="64">
        <f>_PG2*Sb</f>
        <v>17.479787407782442</v>
      </c>
      <c r="O3" s="74">
        <f>_QG2*Sb</f>
        <v>0</v>
      </c>
    </row>
    <row r="4" spans="1:18" x14ac:dyDescent="0.2">
      <c r="A4" t="s">
        <v>56</v>
      </c>
      <c r="B4" s="58">
        <v>0.23805000000000001</v>
      </c>
      <c r="C4" s="58">
        <v>0.47610000000000002</v>
      </c>
      <c r="D4" t="s">
        <v>33</v>
      </c>
      <c r="E4" s="49">
        <v>10</v>
      </c>
      <c r="G4" t="s">
        <v>36</v>
      </c>
      <c r="H4" s="50">
        <f>$B$5*E4</f>
        <v>5.0000000000000001E-3</v>
      </c>
      <c r="I4" s="1" t="s">
        <v>4</v>
      </c>
      <c r="J4" s="7">
        <f>E4*$C$5</f>
        <v>0.01</v>
      </c>
    </row>
    <row r="5" spans="1:18" x14ac:dyDescent="0.2">
      <c r="A5" t="s">
        <v>41</v>
      </c>
      <c r="B5" s="63">
        <f>B4/$B$3</f>
        <v>5.0000000000000001E-4</v>
      </c>
      <c r="C5" s="63">
        <f>C4/$B$3</f>
        <v>1E-3</v>
      </c>
      <c r="D5" t="s">
        <v>34</v>
      </c>
      <c r="E5" s="49">
        <v>15</v>
      </c>
      <c r="G5" t="s">
        <v>37</v>
      </c>
      <c r="H5" s="9">
        <f>$B$5*E5</f>
        <v>7.4999999999999997E-3</v>
      </c>
      <c r="I5" s="1" t="s">
        <v>4</v>
      </c>
      <c r="J5" s="7">
        <f>E5*$C$5</f>
        <v>1.4999999999999999E-2</v>
      </c>
      <c r="K5" s="5"/>
      <c r="L5" s="5"/>
      <c r="M5" s="55" t="s">
        <v>3</v>
      </c>
      <c r="N5" s="5"/>
      <c r="O5" s="5"/>
      <c r="P5" s="92" t="s">
        <v>61</v>
      </c>
      <c r="Q5" s="92"/>
    </row>
    <row r="6" spans="1:18" x14ac:dyDescent="0.2">
      <c r="A6" s="2" t="s">
        <v>42</v>
      </c>
      <c r="B6" s="12">
        <f>H3/(H3*H3+J3*J3)+H4/(H4*H4+J4*J4)</f>
        <v>53.333333333333336</v>
      </c>
      <c r="C6" s="11">
        <f>-H3/(H3*H3+J3*J3)</f>
        <v>-13.333333333333334</v>
      </c>
      <c r="D6" s="11">
        <f>-H4/(H4*H4+J4*J4)</f>
        <v>-40</v>
      </c>
      <c r="F6" s="11">
        <f>-J3/(H3*H3+J3*J3)-J4/(J4*J4+H4*H4)</f>
        <v>-106.66666666666667</v>
      </c>
      <c r="G6" s="11">
        <f>J3/(J3*J3+H3*H3)</f>
        <v>26.666666666666668</v>
      </c>
      <c r="H6" s="11">
        <f>J4/(J4*J4+H4*H4)</f>
        <v>80</v>
      </c>
      <c r="K6" s="43">
        <f>_PG1*Sb</f>
        <v>-3.5118478739206438</v>
      </c>
      <c r="L6" s="5"/>
      <c r="M6" s="19">
        <f>H47*Sb</f>
        <v>7.0530795658315579</v>
      </c>
      <c r="N6" s="5"/>
      <c r="O6" s="5"/>
      <c r="P6" s="65" t="s">
        <v>52</v>
      </c>
      <c r="Q6" s="67" t="s">
        <v>53</v>
      </c>
    </row>
    <row r="7" spans="1:18" x14ac:dyDescent="0.2">
      <c r="A7" s="2" t="s">
        <v>12</v>
      </c>
      <c r="B7" s="11">
        <f>_G12</f>
        <v>-13.333333333333334</v>
      </c>
      <c r="C7" s="11">
        <f>H3/(H3*H3+J3*J3)+H5/(H5*H5+J5*J5)</f>
        <v>40</v>
      </c>
      <c r="D7" s="11">
        <f>-H5/(H5*H5+J5*J5)</f>
        <v>-26.666666666666668</v>
      </c>
      <c r="E7" s="1" t="s">
        <v>4</v>
      </c>
      <c r="F7" s="11">
        <f>_B12</f>
        <v>26.666666666666668</v>
      </c>
      <c r="G7" s="11">
        <f>-J3/(J3*J3+H3*H3)-J5/(J5*J5+H5*H5)</f>
        <v>-80</v>
      </c>
      <c r="H7" s="11">
        <f>J5/(J5*J5+H5*H5)</f>
        <v>53.333333333333336</v>
      </c>
      <c r="K7" s="57">
        <f>_QG1*Sb</f>
        <v>25.903276789627085</v>
      </c>
      <c r="L7" s="5"/>
      <c r="M7" s="5"/>
      <c r="N7" s="5"/>
      <c r="O7" s="5"/>
      <c r="P7" s="64">
        <f>_PD2*Sb</f>
        <v>4.4578451260854557</v>
      </c>
      <c r="Q7" s="67">
        <f>_QD2*Sb</f>
        <v>3.3433838445640918</v>
      </c>
    </row>
    <row r="8" spans="1:18" x14ac:dyDescent="0.2">
      <c r="B8" s="11">
        <f>D6</f>
        <v>-40</v>
      </c>
      <c r="C8" s="11">
        <f>D7</f>
        <v>-26.666666666666668</v>
      </c>
      <c r="D8" s="11">
        <f>H5/(H5*H5+J5*J5)+H4/(H4*H4+J4*J4)</f>
        <v>66.666666666666671</v>
      </c>
      <c r="E8" s="8"/>
      <c r="F8" s="11">
        <f>_B13</f>
        <v>80</v>
      </c>
      <c r="G8" s="11">
        <f>_B23</f>
        <v>53.333333333333336</v>
      </c>
      <c r="H8" s="11">
        <f>-J4/(J4*J4+H4*H4)-J5/(J5*J5+H5*H5)</f>
        <v>-133.33333333333334</v>
      </c>
      <c r="K8" s="5"/>
      <c r="L8" s="5"/>
      <c r="M8" s="5"/>
      <c r="N8" s="5"/>
      <c r="O8" s="5"/>
      <c r="P8" s="5"/>
    </row>
    <row r="9" spans="1:18" s="22" customFormat="1" ht="7" customHeight="1" x14ac:dyDescent="0.2">
      <c r="B9" s="21"/>
      <c r="C9" s="24"/>
      <c r="D9" s="24"/>
      <c r="F9" s="25"/>
      <c r="G9" s="26"/>
      <c r="H9" s="26"/>
      <c r="J9"/>
      <c r="K9" s="23"/>
      <c r="L9" s="23"/>
      <c r="M9" s="23"/>
      <c r="N9" s="23"/>
      <c r="O9" s="23"/>
      <c r="P9" s="23"/>
    </row>
    <row r="10" spans="1:18" s="4" customFormat="1" x14ac:dyDescent="0.2">
      <c r="A10" s="95" t="s">
        <v>43</v>
      </c>
      <c r="B10" s="95"/>
      <c r="C10" s="95" t="s">
        <v>40</v>
      </c>
      <c r="D10" s="95"/>
      <c r="E10" s="95" t="s">
        <v>58</v>
      </c>
      <c r="F10" s="95"/>
      <c r="G10" s="95" t="s">
        <v>57</v>
      </c>
      <c r="H10" s="95"/>
      <c r="J10"/>
      <c r="K10" s="5"/>
      <c r="L10" s="5"/>
      <c r="M10" s="5"/>
      <c r="N10" s="5"/>
      <c r="O10" s="20">
        <f>H49*Sb</f>
        <v>8.9698177836140509</v>
      </c>
      <c r="P10" s="5"/>
    </row>
    <row r="11" spans="1:18" x14ac:dyDescent="0.2">
      <c r="A11" s="27" t="s">
        <v>44</v>
      </c>
      <c r="B11" s="51">
        <v>1</v>
      </c>
      <c r="C11" s="13" t="s">
        <v>50</v>
      </c>
      <c r="D11" s="46">
        <f>_PG1-_PD1</f>
        <v>-0.35118478739206438</v>
      </c>
      <c r="E11" s="45" t="s">
        <v>13</v>
      </c>
      <c r="F11" s="54">
        <f>_V1*_V1*_G11+_V1*_V2*(_G12*COS(_T1-_T2)+_B12*SIN(_T1-_T2))+_V1*_V3*(_G13*COS(_T1-_T3)+_B13*SIN(_T1-_T3))</f>
        <v>-0.35118478739206438</v>
      </c>
      <c r="G11" s="60" t="s">
        <v>19</v>
      </c>
      <c r="H11" s="88">
        <v>0</v>
      </c>
      <c r="K11" s="5"/>
      <c r="L11" s="5"/>
      <c r="M11" s="43">
        <f>H48*Sb</f>
        <v>20.000000028673067</v>
      </c>
      <c r="N11" s="5"/>
      <c r="O11" s="5"/>
      <c r="P11" s="5"/>
    </row>
    <row r="12" spans="1:18" x14ac:dyDescent="0.2">
      <c r="A12" s="27" t="s">
        <v>47</v>
      </c>
      <c r="B12" s="52">
        <v>0.98941416103794821</v>
      </c>
      <c r="C12" s="13" t="s">
        <v>28</v>
      </c>
      <c r="D12" s="14">
        <f>_PG2-_PD2-(_V2*_V2*_G22+_V2*_V1*(_G21*COS(_T2-_T1)+_B21*SIN(_T2-_T1))+_V2*_V3*(_G23*COS(_T2-_T3)+_B23*SIN(_T2-_T3)))</f>
        <v>-4.7237391775922788E-10</v>
      </c>
      <c r="E12" s="27" t="s">
        <v>14</v>
      </c>
      <c r="F12" s="52">
        <v>1.7479787407782441</v>
      </c>
      <c r="G12" s="27" t="s">
        <v>20</v>
      </c>
      <c r="H12" s="89">
        <v>0.44578451260854557</v>
      </c>
      <c r="K12" s="5"/>
      <c r="L12" s="5"/>
      <c r="M12" s="56" t="s">
        <v>3</v>
      </c>
      <c r="N12" s="5"/>
      <c r="O12" s="5"/>
      <c r="P12" s="5"/>
      <c r="Q12" s="73">
        <f>_PG3*Sb</f>
        <v>20</v>
      </c>
      <c r="R12" s="74">
        <f>_QG3*Sb</f>
        <v>0</v>
      </c>
    </row>
    <row r="13" spans="1:18" x14ac:dyDescent="0.2">
      <c r="A13" s="27" t="s">
        <v>45</v>
      </c>
      <c r="B13" s="52">
        <v>0.97950198920221543</v>
      </c>
      <c r="C13" s="13" t="s">
        <v>29</v>
      </c>
      <c r="D13" s="14">
        <f>_PG3-_PD3-(_V3*_V3*_G33+_V3*_V1*(_G31*COS(_T3-_T1)+_B31*SIN(_T3-_T1))+_V3*_V2*(_G32*COS(_T3-_T2)+_B32*SIN(_T3-_T2)))</f>
        <v>1.0940270911419248E-10</v>
      </c>
      <c r="E13" s="27" t="s">
        <v>15</v>
      </c>
      <c r="F13" s="52">
        <v>2</v>
      </c>
      <c r="G13" s="27" t="s">
        <v>21</v>
      </c>
      <c r="H13" s="89">
        <v>2.9168236699828891</v>
      </c>
      <c r="K13" s="5"/>
      <c r="L13" s="5"/>
      <c r="M13" s="5"/>
      <c r="N13" s="5"/>
      <c r="O13" s="5"/>
      <c r="P13" s="5"/>
      <c r="Q13" s="65" t="s">
        <v>52</v>
      </c>
      <c r="R13" s="66" t="s">
        <v>53</v>
      </c>
    </row>
    <row r="14" spans="1:18" x14ac:dyDescent="0.2">
      <c r="A14" s="27" t="s">
        <v>46</v>
      </c>
      <c r="B14" s="51">
        <v>0</v>
      </c>
      <c r="C14" s="13" t="s">
        <v>51</v>
      </c>
      <c r="D14" s="46">
        <f>_QG1-_QD1</f>
        <v>2.5903276789627085</v>
      </c>
      <c r="E14" s="45" t="s">
        <v>16</v>
      </c>
      <c r="F14" s="54">
        <f>-_V1*_V1*_B11+_V1*_V2*(_G12*SIN(_T1-_T2)-_B12*COS(_T1-_T2))+_V1*_V3*(_G13*SIN(_T1-_T3)-_B13*COS(_T1-_T3))</f>
        <v>2.5903276789627085</v>
      </c>
      <c r="G14" s="27" t="s">
        <v>22</v>
      </c>
      <c r="H14" s="44">
        <v>0</v>
      </c>
      <c r="K14" s="5"/>
      <c r="L14" s="5"/>
      <c r="M14" s="5"/>
      <c r="P14" s="5"/>
      <c r="Q14" s="92" t="s">
        <v>62</v>
      </c>
      <c r="R14" s="92"/>
    </row>
    <row r="15" spans="1:18" x14ac:dyDescent="0.2">
      <c r="A15" s="27" t="s">
        <v>48</v>
      </c>
      <c r="B15" s="52">
        <v>2.141235731808501E-2</v>
      </c>
      <c r="C15" s="13" t="s">
        <v>30</v>
      </c>
      <c r="D15" s="15">
        <f>_QG2-_QD2-(-_V2*_V2*_B22+_V2*_V1*(_G21*SIN(_T2-_T1)-_B21*COS(_T2-_T1))+_V2*_V3*(_G23*SIN(_T2-_T3)-_B23*COS(_T2-_T3)))</f>
        <v>-1.2634204793471326E-10</v>
      </c>
      <c r="E15" s="27" t="s">
        <v>17</v>
      </c>
      <c r="F15" s="28">
        <v>0</v>
      </c>
      <c r="G15" s="27" t="s">
        <v>23</v>
      </c>
      <c r="H15" s="44">
        <f>0.75*_PD2</f>
        <v>0.33433838445640918</v>
      </c>
      <c r="N15" s="68">
        <f>_PD3*Sb</f>
        <v>29.168236699828892</v>
      </c>
      <c r="O15" s="69">
        <f>_QD3*Sb</f>
        <v>21.876177524871668</v>
      </c>
    </row>
    <row r="16" spans="1:18" x14ac:dyDescent="0.2">
      <c r="A16" s="29" t="s">
        <v>49</v>
      </c>
      <c r="B16" s="53">
        <v>9.5990348827215497E-3</v>
      </c>
      <c r="C16" s="16" t="s">
        <v>31</v>
      </c>
      <c r="D16" s="17">
        <f>_QG3-_QD3-(-_V3*_V3*_B33+_V3*_V1*(_G31*SIN(_T3-_T1)-_B31*COS(_T3-_T1))+_V3*_V2*(_G32*SIN(_T3-_T2)-_B32*COS(_T3-_T2)))</f>
        <v>-1.6993650930885451E-10</v>
      </c>
      <c r="E16" s="29" t="s">
        <v>18</v>
      </c>
      <c r="F16" s="78">
        <v>0</v>
      </c>
      <c r="G16" s="29" t="s">
        <v>24</v>
      </c>
      <c r="H16" s="61">
        <f>0.75*_PD3</f>
        <v>2.1876177524871667</v>
      </c>
      <c r="L16" s="8"/>
      <c r="N16" s="70" t="s">
        <v>52</v>
      </c>
      <c r="O16" s="71" t="s">
        <v>53</v>
      </c>
    </row>
    <row r="17" spans="1:15" x14ac:dyDescent="0.2">
      <c r="B17" s="9"/>
      <c r="C17" s="62"/>
      <c r="D17" s="59">
        <f>SUM(D12:D13,D15:D16)</f>
        <v>-6.5924976588860318E-10</v>
      </c>
      <c r="E17" s="72"/>
      <c r="F17" s="72"/>
      <c r="L17" s="8"/>
      <c r="N17" s="90" t="s">
        <v>60</v>
      </c>
      <c r="O17" s="91"/>
    </row>
    <row r="18" spans="1:15" x14ac:dyDescent="0.2">
      <c r="B18" s="9"/>
      <c r="C18" s="2"/>
      <c r="G18" s="96" t="s">
        <v>25</v>
      </c>
      <c r="H18" s="96"/>
      <c r="K18" s="93"/>
      <c r="L18" s="93"/>
      <c r="M18" s="8"/>
    </row>
    <row r="19" spans="1:15" x14ac:dyDescent="0.2">
      <c r="B19" s="9"/>
      <c r="C19" s="2"/>
      <c r="G19" s="47" t="s">
        <v>26</v>
      </c>
      <c r="H19" s="47" t="s">
        <v>27</v>
      </c>
      <c r="K19" s="93"/>
      <c r="L19" s="93"/>
      <c r="M19" s="8"/>
    </row>
    <row r="20" spans="1:15" x14ac:dyDescent="0.2">
      <c r="B20" s="9"/>
      <c r="C20" s="9"/>
      <c r="D20" s="9"/>
      <c r="E20" s="9"/>
      <c r="G20" s="79">
        <f>_PG1+_PG2+_PG3-_PD1-_PD2-_PD3</f>
        <v>3.418577079474483E-2</v>
      </c>
      <c r="H20" s="10">
        <f>_QG1+_QG2+_QG3-_QD1-_QD2-_QD3</f>
        <v>6.8371542019132647E-2</v>
      </c>
      <c r="K20" s="4"/>
    </row>
    <row r="21" spans="1:15" s="76" customFormat="1" x14ac:dyDescent="0.2">
      <c r="B21" s="76" t="s">
        <v>67</v>
      </c>
      <c r="C21" s="76" t="s">
        <v>70</v>
      </c>
      <c r="D21" s="76" t="s">
        <v>69</v>
      </c>
    </row>
    <row r="22" spans="1:15" s="76" customFormat="1" x14ac:dyDescent="0.2">
      <c r="A22" s="76" t="s">
        <v>64</v>
      </c>
      <c r="B22" s="76">
        <v>100</v>
      </c>
      <c r="C22" s="76">
        <f>B22*Sb</f>
        <v>1000</v>
      </c>
      <c r="D22" s="76">
        <f>C22*_PG1</f>
        <v>-351.18478739206438</v>
      </c>
      <c r="G22" s="76" t="s">
        <v>20</v>
      </c>
      <c r="H22" s="76">
        <v>0.5</v>
      </c>
    </row>
    <row r="23" spans="1:15" s="76" customFormat="1" x14ac:dyDescent="0.2">
      <c r="A23" s="76" t="s">
        <v>65</v>
      </c>
      <c r="B23" s="76">
        <v>101</v>
      </c>
      <c r="C23" s="76">
        <f>B23*Sb</f>
        <v>1010</v>
      </c>
      <c r="D23" s="76">
        <f>C23*_PG2</f>
        <v>1765.4585281860266</v>
      </c>
      <c r="G23" s="76" t="s">
        <v>21</v>
      </c>
      <c r="H23" s="76">
        <v>3.5</v>
      </c>
    </row>
    <row r="24" spans="1:15" s="76" customFormat="1" x14ac:dyDescent="0.2">
      <c r="A24" s="76" t="s">
        <v>66</v>
      </c>
      <c r="B24" s="76">
        <v>102</v>
      </c>
      <c r="C24" s="76">
        <f>B24*Sb</f>
        <v>1020</v>
      </c>
      <c r="D24" s="77">
        <f>C24*_PG3</f>
        <v>2040</v>
      </c>
      <c r="G24" s="76" t="s">
        <v>108</v>
      </c>
      <c r="H24" s="76">
        <v>20</v>
      </c>
    </row>
    <row r="25" spans="1:15" s="76" customFormat="1" x14ac:dyDescent="0.2">
      <c r="B25" s="76" t="s">
        <v>68</v>
      </c>
      <c r="D25" s="87">
        <f>SUM(D22:D24)</f>
        <v>3454.2737407939621</v>
      </c>
    </row>
    <row r="26" spans="1:15" s="76" customFormat="1" x14ac:dyDescent="0.2"/>
    <row r="27" spans="1:15" s="76" customFormat="1" x14ac:dyDescent="0.2">
      <c r="B27" s="85" t="s">
        <v>105</v>
      </c>
      <c r="C27" s="85">
        <f>C22</f>
        <v>1000</v>
      </c>
      <c r="D27" s="76" t="str">
        <f>C21</f>
        <v>$/pu.h</v>
      </c>
    </row>
    <row r="28" spans="1:15" s="76" customFormat="1" x14ac:dyDescent="0.2">
      <c r="B28" s="85" t="s">
        <v>103</v>
      </c>
      <c r="C28" s="86">
        <f>C23</f>
        <v>1010</v>
      </c>
      <c r="D28" s="76" t="str">
        <f>D27</f>
        <v>$/pu.h</v>
      </c>
    </row>
    <row r="29" spans="1:15" s="76" customFormat="1" x14ac:dyDescent="0.2">
      <c r="B29" s="85" t="s">
        <v>104</v>
      </c>
      <c r="C29" s="86">
        <f>C24</f>
        <v>1020</v>
      </c>
      <c r="D29" s="76" t="str">
        <f>D28</f>
        <v>$/pu.h</v>
      </c>
    </row>
    <row r="30" spans="1:15" s="76" customFormat="1" x14ac:dyDescent="0.2">
      <c r="B30" s="76" t="s">
        <v>106</v>
      </c>
      <c r="C30" s="76">
        <f>$H$24*C28</f>
        <v>20200</v>
      </c>
      <c r="D30" s="76" t="str">
        <f t="shared" ref="D30:D31" si="0">D29</f>
        <v>$/pu.h</v>
      </c>
    </row>
    <row r="31" spans="1:15" s="76" customFormat="1" x14ac:dyDescent="0.2">
      <c r="B31" s="76" t="s">
        <v>107</v>
      </c>
      <c r="C31" s="76">
        <f>$H$24*C29</f>
        <v>20400</v>
      </c>
      <c r="D31" s="76" t="str">
        <f t="shared" si="0"/>
        <v>$/pu.h</v>
      </c>
    </row>
    <row r="32" spans="1:15" s="76" customFormat="1" x14ac:dyDescent="0.2">
      <c r="B32" s="76" t="s">
        <v>109</v>
      </c>
      <c r="C32" s="76">
        <f>(C30-C28)/H22</f>
        <v>38380</v>
      </c>
      <c r="D32" s="76" t="s">
        <v>111</v>
      </c>
    </row>
    <row r="33" spans="1:12" s="76" customFormat="1" x14ac:dyDescent="0.2">
      <c r="B33" s="76" t="s">
        <v>110</v>
      </c>
      <c r="C33" s="76">
        <f>(C31-C29)/H23</f>
        <v>5537.1428571428569</v>
      </c>
      <c r="D33" s="76" t="s">
        <v>111</v>
      </c>
    </row>
    <row r="34" spans="1:12" s="76" customFormat="1" x14ac:dyDescent="0.2">
      <c r="B34" s="76" t="s">
        <v>112</v>
      </c>
      <c r="C34" s="76">
        <f>C30*_PD2-0.5*C32*_PD2^2</f>
        <v>5191.3368247219787</v>
      </c>
      <c r="D34" s="76" t="s">
        <v>69</v>
      </c>
      <c r="E34" s="76" t="s">
        <v>103</v>
      </c>
      <c r="F34" s="76">
        <f>C30-C32*_PD2</f>
        <v>3090.7904060840228</v>
      </c>
      <c r="G34" s="76" t="s">
        <v>70</v>
      </c>
    </row>
    <row r="35" spans="1:12" s="76" customFormat="1" x14ac:dyDescent="0.2">
      <c r="B35" s="76" t="s">
        <v>113</v>
      </c>
      <c r="C35" s="76">
        <f>C31*_PD3-0.5*C33*_PD3^2</f>
        <v>35948.58386251521</v>
      </c>
      <c r="D35" s="76" t="s">
        <v>69</v>
      </c>
      <c r="E35" s="76" t="s">
        <v>104</v>
      </c>
      <c r="F35" s="76">
        <f>C31-C33*_PD3</f>
        <v>4249.130650209032</v>
      </c>
      <c r="G35" s="76" t="s">
        <v>70</v>
      </c>
    </row>
    <row r="36" spans="1:12" s="76" customFormat="1" x14ac:dyDescent="0.2">
      <c r="B36" s="76" t="s">
        <v>114</v>
      </c>
      <c r="C36" s="76">
        <f>C35+C34</f>
        <v>41139.920687237187</v>
      </c>
      <c r="D36" s="76" t="s">
        <v>69</v>
      </c>
      <c r="E36" s="76" t="s">
        <v>103</v>
      </c>
      <c r="F36" s="76">
        <f>F34/Sb</f>
        <v>309.07904060840229</v>
      </c>
      <c r="G36" s="76" t="s">
        <v>67</v>
      </c>
    </row>
    <row r="37" spans="1:12" s="76" customFormat="1" x14ac:dyDescent="0.2">
      <c r="E37" s="76" t="s">
        <v>104</v>
      </c>
      <c r="F37" s="76">
        <f>F35/Sb</f>
        <v>424.91306502090322</v>
      </c>
      <c r="G37" s="76" t="s">
        <v>67</v>
      </c>
    </row>
    <row r="38" spans="1:12" s="75" customFormat="1" x14ac:dyDescent="0.2">
      <c r="B38" s="75" t="s">
        <v>115</v>
      </c>
      <c r="C38" s="80">
        <f>C36-D25</f>
        <v>37685.646946443223</v>
      </c>
      <c r="D38" s="76" t="s">
        <v>69</v>
      </c>
    </row>
    <row r="39" spans="1:12" s="75" customFormat="1" x14ac:dyDescent="0.2"/>
    <row r="40" spans="1:12" s="75" customFormat="1" hidden="1" x14ac:dyDescent="0.2"/>
    <row r="41" spans="1:12" s="75" customFormat="1" hidden="1" x14ac:dyDescent="0.2"/>
    <row r="42" spans="1:12" s="75" customFormat="1" hidden="1" x14ac:dyDescent="0.2"/>
    <row r="43" spans="1:12" s="75" customFormat="1" hidden="1" x14ac:dyDescent="0.2"/>
    <row r="44" spans="1:12" s="75" customFormat="1" x14ac:dyDescent="0.2"/>
    <row r="45" spans="1:12" x14ac:dyDescent="0.2">
      <c r="A45" t="s">
        <v>59</v>
      </c>
      <c r="B45" s="48"/>
      <c r="C45" s="48"/>
      <c r="D45" s="48"/>
      <c r="E45" s="48"/>
      <c r="F45" s="48"/>
      <c r="G45" s="48"/>
      <c r="H45" s="48"/>
      <c r="K45" s="94" t="s">
        <v>25</v>
      </c>
      <c r="L45" s="94"/>
    </row>
    <row r="46" spans="1:12" x14ac:dyDescent="0.2">
      <c r="A46" s="30"/>
      <c r="B46" s="31" t="s">
        <v>5</v>
      </c>
      <c r="C46" s="31" t="s">
        <v>6</v>
      </c>
      <c r="D46" s="31" t="s">
        <v>7</v>
      </c>
      <c r="E46" s="31" t="s">
        <v>8</v>
      </c>
      <c r="F46" s="31" t="s">
        <v>9</v>
      </c>
      <c r="G46" s="31" t="s">
        <v>10</v>
      </c>
      <c r="H46" s="31" t="s">
        <v>11</v>
      </c>
      <c r="I46" s="32"/>
      <c r="J46" s="33" t="s">
        <v>38</v>
      </c>
      <c r="K46" s="34" t="s">
        <v>26</v>
      </c>
      <c r="L46" s="34" t="s">
        <v>27</v>
      </c>
    </row>
    <row r="47" spans="1:12" x14ac:dyDescent="0.2">
      <c r="A47" s="35">
        <v>12</v>
      </c>
      <c r="B47" s="36">
        <f>_V1*_V2*(_G12*COS(_T1-_T2)+_B12*SIN(_T1-_T2))-_G12*_V1*_V1</f>
        <v>-0.4207399106939409</v>
      </c>
      <c r="C47" s="36">
        <f>_V1*_V2*(_G12*COS(_T2-_T1)+_B12*SIN(_T2-_T1))-_G12*_V2*_V2</f>
        <v>0.42828228681743852</v>
      </c>
      <c r="D47" s="36">
        <f>_V1*_V2*(_G12*SIN(_T1-_T2)-_B12*COS(_T1-_T2))+(_B12)*_V1*_V1</f>
        <v>0.57079155779422308</v>
      </c>
      <c r="E47" s="36">
        <f>_V2*_V1*(_G21*SIN(_T2-_T1)-_B21*COS(_T2-_T1))+(_B21)*_V2*_V2</f>
        <v>-0.5557068055472314</v>
      </c>
      <c r="F47" s="36">
        <f>ABS(B47-C47)/2</f>
        <v>0.42451109875568971</v>
      </c>
      <c r="G47" s="36">
        <f>ABS(D47-E47)/2</f>
        <v>0.56324918167072724</v>
      </c>
      <c r="H47" s="36">
        <f>(F47*F47+G47*G47)^0.5</f>
        <v>0.70530795658315582</v>
      </c>
      <c r="I47" s="35" t="s">
        <v>39</v>
      </c>
      <c r="J47" s="37">
        <v>2</v>
      </c>
      <c r="K47" s="6">
        <f>B47+C47</f>
        <v>7.5423761234976183E-3</v>
      </c>
      <c r="L47" s="6">
        <f>D47+E47</f>
        <v>1.5084752246991684E-2</v>
      </c>
    </row>
    <row r="48" spans="1:12" x14ac:dyDescent="0.2">
      <c r="A48" s="22">
        <v>13</v>
      </c>
      <c r="B48" s="38">
        <f>_V1*_V3*(_G13*COS(_T1-_T3)+_B13*SIN(_T1-_T3))-_G13*_V1*_V1</f>
        <v>6.9555123301874744E-2</v>
      </c>
      <c r="C48" s="38">
        <f>_V3*_V1*(_G13*COS(_T3-_T1)+_B13*SIN(_T3-_T1))-_G13*_V3*_V3</f>
        <v>-4.9138303002457917E-2</v>
      </c>
      <c r="D48" s="38">
        <f>_V1*_V3*(_G13*SIN(_T1-_T3)-_B13*COS(_T1-_T3))+(_B13)*_V1*_V1</f>
        <v>2.0195361211684855</v>
      </c>
      <c r="E48" s="38">
        <f>_V3*_V1*(_G31*SIN(_T3-_T1)-_B31*COS(_T3-_T1))+(_B31)*_V3*_V3</f>
        <v>-1.978702480569666</v>
      </c>
      <c r="F48" s="38">
        <f t="shared" ref="F48:F49" si="1">ABS(B48-C48)/2</f>
        <v>5.934671315216633E-2</v>
      </c>
      <c r="G48" s="38">
        <f t="shared" ref="G48:G49" si="2">ABS(D48-E48)/2</f>
        <v>1.9991193008690757</v>
      </c>
      <c r="H48" s="38">
        <f t="shared" ref="H48:H49" si="3">(F48*F48+G48*G48)^0.5</f>
        <v>2.0000000028673068</v>
      </c>
      <c r="I48" s="22" t="s">
        <v>39</v>
      </c>
      <c r="J48" s="39">
        <v>2</v>
      </c>
      <c r="K48" s="6">
        <f>B48+C48</f>
        <v>2.0416820299416827E-2</v>
      </c>
      <c r="L48" s="6">
        <f>D48+E48</f>
        <v>4.0833640598819443E-2</v>
      </c>
    </row>
    <row r="49" spans="1:12" x14ac:dyDescent="0.2">
      <c r="A49" s="40">
        <v>23</v>
      </c>
      <c r="B49" s="41">
        <f>_V2*_V3*(_G23*COS(_T2-_T3)+_B23*SIN(_T2-_T3))-_G23*_V2*_V2</f>
        <v>0.87391194182463749</v>
      </c>
      <c r="C49" s="41">
        <f>_V3*_V2*(_G23*COS(_T3-_T2)+_B23*SIN(_T3-_T2))-_G23*_V3*_V3</f>
        <v>-0.86768536708984456</v>
      </c>
      <c r="D49" s="41">
        <f>_V2*_V3*(_G23*SIN(_T2-_T3)-_B23*COS(_T2-_T3))+(_B23)*_V2*_V2</f>
        <v>0.22136842121717137</v>
      </c>
      <c r="E49" s="41">
        <f>_V3*_V2*(_G32*SIN(_T3-_T2)-_B32*COS(_T3-_T2))+(_B32)*_V3*_V3</f>
        <v>-0.20891527174758551</v>
      </c>
      <c r="F49" s="41">
        <f t="shared" si="1"/>
        <v>0.87079865445724103</v>
      </c>
      <c r="G49" s="41">
        <f t="shared" si="2"/>
        <v>0.21514184648237844</v>
      </c>
      <c r="H49" s="41">
        <f t="shared" si="3"/>
        <v>0.89698177836140502</v>
      </c>
      <c r="I49" s="40" t="s">
        <v>39</v>
      </c>
      <c r="J49" s="42">
        <v>2</v>
      </c>
      <c r="K49" s="18">
        <f>B49+C49</f>
        <v>6.2265747347929334E-3</v>
      </c>
      <c r="L49" s="18">
        <f>D49+E49</f>
        <v>1.2453149469585867E-2</v>
      </c>
    </row>
    <row r="50" spans="1:12" x14ac:dyDescent="0.2">
      <c r="B50" s="7"/>
      <c r="C50" s="7"/>
      <c r="D50" s="7"/>
      <c r="E50" s="7"/>
      <c r="K50" s="6">
        <f>SUM(K47:K49)</f>
        <v>3.4185771157707379E-2</v>
      </c>
      <c r="L50" s="6">
        <f>SUM(L47:L49)</f>
        <v>6.8371542315396994E-2</v>
      </c>
    </row>
  </sheetData>
  <mergeCells count="12">
    <mergeCell ref="K19:L19"/>
    <mergeCell ref="K45:L45"/>
    <mergeCell ref="A10:B10"/>
    <mergeCell ref="C10:D10"/>
    <mergeCell ref="E10:F10"/>
    <mergeCell ref="G10:H10"/>
    <mergeCell ref="G18:H18"/>
    <mergeCell ref="N17:O17"/>
    <mergeCell ref="P5:Q5"/>
    <mergeCell ref="Q14:R14"/>
    <mergeCell ref="N1:O1"/>
    <mergeCell ref="K18:L18"/>
  </mergeCells>
  <phoneticPr fontId="1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0490-868D-3A4D-AE02-30CEA2DDE092}">
  <dimension ref="A1"/>
  <sheetViews>
    <sheetView zoomScale="160" zoomScaleNormal="160" workbookViewId="0">
      <selection activeCell="AN15" sqref="AN15"/>
    </sheetView>
  </sheetViews>
  <sheetFormatPr baseColWidth="10" defaultRowHeight="15" x14ac:dyDescent="0.2"/>
  <cols>
    <col min="1" max="53" width="3.16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5F26-A8C8-9441-B26D-956E5C154C86}">
  <dimension ref="A1"/>
  <sheetViews>
    <sheetView zoomScale="160" zoomScaleNormal="160" workbookViewId="0">
      <selection activeCell="AN15" sqref="AN15"/>
    </sheetView>
  </sheetViews>
  <sheetFormatPr baseColWidth="10" defaultRowHeight="15" x14ac:dyDescent="0.2"/>
  <cols>
    <col min="1" max="53" width="3.1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Sensitivity Report 1</vt:lpstr>
      <vt:lpstr>OPF</vt:lpstr>
      <vt:lpstr>1</vt:lpstr>
      <vt:lpstr>2</vt:lpstr>
      <vt:lpstr>OPF!_B11</vt:lpstr>
      <vt:lpstr>OPF!_B12</vt:lpstr>
      <vt:lpstr>OPF!_B13</vt:lpstr>
      <vt:lpstr>OPF!_B21</vt:lpstr>
      <vt:lpstr>OPF!_B22</vt:lpstr>
      <vt:lpstr>OPF!_B23</vt:lpstr>
      <vt:lpstr>OPF!_B31</vt:lpstr>
      <vt:lpstr>OPF!_B32</vt:lpstr>
      <vt:lpstr>OPF!_B33</vt:lpstr>
      <vt:lpstr>OPF!_G11</vt:lpstr>
      <vt:lpstr>OPF!_G12</vt:lpstr>
      <vt:lpstr>OPF!_G13</vt:lpstr>
      <vt:lpstr>OPF!_G21</vt:lpstr>
      <vt:lpstr>OPF!_G22</vt:lpstr>
      <vt:lpstr>OPF!_G23</vt:lpstr>
      <vt:lpstr>OPF!_G31</vt:lpstr>
      <vt:lpstr>OPF!_G32</vt:lpstr>
      <vt:lpstr>OPF!_G33</vt:lpstr>
      <vt:lpstr>OPF!_PD1</vt:lpstr>
      <vt:lpstr>OPF!_PD2</vt:lpstr>
      <vt:lpstr>OPF!_PD3</vt:lpstr>
      <vt:lpstr>OPF!_PG1</vt:lpstr>
      <vt:lpstr>OPF!_PG2</vt:lpstr>
      <vt:lpstr>OPF!_PG3</vt:lpstr>
      <vt:lpstr>OPF!_QD1</vt:lpstr>
      <vt:lpstr>OPF!_QD2</vt:lpstr>
      <vt:lpstr>OPF!_QD3</vt:lpstr>
      <vt:lpstr>OPF!_QG1</vt:lpstr>
      <vt:lpstr>OPF!_QG2</vt:lpstr>
      <vt:lpstr>OPF!_QG3</vt:lpstr>
      <vt:lpstr>OPF!_T1</vt:lpstr>
      <vt:lpstr>OPF!_T2</vt:lpstr>
      <vt:lpstr>OPF!_T3</vt:lpstr>
      <vt:lpstr>OPF!_V1</vt:lpstr>
      <vt:lpstr>OPF!_V2</vt:lpstr>
      <vt:lpstr>OPF!_V3</vt:lpstr>
      <vt:lpstr>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Microsoft Office User</cp:lastModifiedBy>
  <dcterms:created xsi:type="dcterms:W3CDTF">2017-09-02T16:46:35Z</dcterms:created>
  <dcterms:modified xsi:type="dcterms:W3CDTF">2020-04-15T20:36:56Z</dcterms:modified>
</cp:coreProperties>
</file>