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m.deoliveiradejes/OneDrive - Universidad de Los Andes/MASEP-OPE/SCOPF/"/>
    </mc:Choice>
  </mc:AlternateContent>
  <xr:revisionPtr revIDLastSave="0" documentId="13_ncr:1_{C0288B41-4323-104D-BC76-0C25FEEA6175}" xr6:coauthVersionLast="46" xr6:coauthVersionMax="46" xr10:uidLastSave="{00000000-0000-0000-0000-000000000000}"/>
  <bookViews>
    <workbookView xWindow="36060" yWindow="1760" windowWidth="34460" windowHeight="19200" activeTab="6" xr2:uid="{00000000-000D-0000-FFFF-FFFF00000000}"/>
  </bookViews>
  <sheets>
    <sheet name="Database" sheetId="33" r:id="rId1"/>
    <sheet name="Sensitivity Report 2" sheetId="36" state="hidden" r:id="rId2"/>
    <sheet name="Sensitivity Report 3" sheetId="38" r:id="rId3"/>
    <sheet name="OPF (a)" sheetId="21" r:id="rId4"/>
    <sheet name="PF (b) " sheetId="39" r:id="rId5"/>
    <sheet name="PF (c)" sheetId="41" r:id="rId6"/>
    <sheet name="PF (d)" sheetId="42" r:id="rId7"/>
  </sheets>
  <definedNames>
    <definedName name="_B11" localSheetId="3">'OPF (a)'!$K$8</definedName>
    <definedName name="_B11" localSheetId="4">'PF (b) '!$K$8</definedName>
    <definedName name="_B11" localSheetId="5">'PF (c)'!$K$8</definedName>
    <definedName name="_B11" localSheetId="6">'PF (d)'!$K$8</definedName>
    <definedName name="_B11">#REF!</definedName>
    <definedName name="_B12" localSheetId="3">'OPF (a)'!$L$8</definedName>
    <definedName name="_B12" localSheetId="4">'PF (b) '!$L$8</definedName>
    <definedName name="_B12" localSheetId="5">'PF (c)'!$L$8</definedName>
    <definedName name="_B12" localSheetId="6">'PF (d)'!$L$8</definedName>
    <definedName name="_B12">#REF!</definedName>
    <definedName name="_B13" localSheetId="3">'OPF (a)'!$M$8</definedName>
    <definedName name="_B13" localSheetId="4">'PF (b) '!$M$8</definedName>
    <definedName name="_B13" localSheetId="5">'PF (c)'!$M$8</definedName>
    <definedName name="_B13" localSheetId="6">'PF (d)'!$M$8</definedName>
    <definedName name="_B13">#REF!</definedName>
    <definedName name="_B21" localSheetId="3">'OPF (a)'!$K$9</definedName>
    <definedName name="_B21" localSheetId="4">'PF (b) '!$K$9</definedName>
    <definedName name="_B21" localSheetId="5">'PF (c)'!$K$9</definedName>
    <definedName name="_B21" localSheetId="6">'PF (d)'!$K$9</definedName>
    <definedName name="_B21">#REF!</definedName>
    <definedName name="_B22" localSheetId="3">'OPF (a)'!$L$9</definedName>
    <definedName name="_B22" localSheetId="4">'PF (b) '!$L$9</definedName>
    <definedName name="_B22" localSheetId="5">'PF (c)'!$L$9</definedName>
    <definedName name="_B22" localSheetId="6">'PF (d)'!$L$9</definedName>
    <definedName name="_B22">#REF!</definedName>
    <definedName name="_B23" localSheetId="3">'OPF (a)'!$M$9</definedName>
    <definedName name="_B23" localSheetId="4">'PF (b) '!$M$9</definedName>
    <definedName name="_B23" localSheetId="5">'PF (c)'!$M$9</definedName>
    <definedName name="_B23" localSheetId="6">'PF (d)'!$M$9</definedName>
    <definedName name="_B23">#REF!</definedName>
    <definedName name="_B31" localSheetId="3">'OPF (a)'!$K$10</definedName>
    <definedName name="_B31" localSheetId="4">'PF (b) '!$K$10</definedName>
    <definedName name="_B31" localSheetId="5">'PF (c)'!$K$10</definedName>
    <definedName name="_B31" localSheetId="6">'PF (d)'!$K$10</definedName>
    <definedName name="_B31">#REF!</definedName>
    <definedName name="_B32" localSheetId="3">'OPF (a)'!$L$10</definedName>
    <definedName name="_B32" localSheetId="4">'PF (b) '!$L$10</definedName>
    <definedName name="_B32" localSheetId="5">'PF (c)'!$L$10</definedName>
    <definedName name="_B32" localSheetId="6">'PF (d)'!$L$10</definedName>
    <definedName name="_B32">#REF!</definedName>
    <definedName name="_B33" localSheetId="3">'OPF (a)'!$M$10</definedName>
    <definedName name="_B33" localSheetId="4">'PF (b) '!$M$10</definedName>
    <definedName name="_B33" localSheetId="5">'PF (c)'!$M$10</definedName>
    <definedName name="_B33" localSheetId="6">'PF (d)'!$M$10</definedName>
    <definedName name="_B33">#REF!</definedName>
    <definedName name="_G11" localSheetId="3">'OPF (a)'!$G$8</definedName>
    <definedName name="_G11" localSheetId="4">'PF (b) '!$G$8</definedName>
    <definedName name="_G11" localSheetId="5">'PF (c)'!$G$8</definedName>
    <definedName name="_G11" localSheetId="6">'PF (d)'!$G$8</definedName>
    <definedName name="_G11">#REF!</definedName>
    <definedName name="_G12" localSheetId="3">'OPF (a)'!$H$8</definedName>
    <definedName name="_G12" localSheetId="4">'PF (b) '!$H$8</definedName>
    <definedName name="_G12" localSheetId="5">'PF (c)'!$H$8</definedName>
    <definedName name="_G12" localSheetId="6">'PF (d)'!$H$8</definedName>
    <definedName name="_G12">#REF!</definedName>
    <definedName name="_G13" localSheetId="3">'OPF (a)'!$I$8</definedName>
    <definedName name="_G13" localSheetId="4">'PF (b) '!$I$8</definedName>
    <definedName name="_G13" localSheetId="5">'PF (c)'!$I$8</definedName>
    <definedName name="_G13" localSheetId="6">'PF (d)'!$I$8</definedName>
    <definedName name="_G13">#REF!</definedName>
    <definedName name="_G21" localSheetId="3">'OPF (a)'!$G$9</definedName>
    <definedName name="_G21" localSheetId="4">'PF (b) '!$G$9</definedName>
    <definedName name="_G21" localSheetId="5">'PF (c)'!$G$9</definedName>
    <definedName name="_G21" localSheetId="6">'PF (d)'!$G$9</definedName>
    <definedName name="_G21">#REF!</definedName>
    <definedName name="_G22" localSheetId="3">'OPF (a)'!$H$9</definedName>
    <definedName name="_G22" localSheetId="4">'PF (b) '!$H$9</definedName>
    <definedName name="_G22" localSheetId="5">'PF (c)'!$H$9</definedName>
    <definedName name="_G22" localSheetId="6">'PF (d)'!$H$9</definedName>
    <definedName name="_G22">#REF!</definedName>
    <definedName name="_G23" localSheetId="3">'OPF (a)'!$I$9</definedName>
    <definedName name="_G23" localSheetId="4">'PF (b) '!$I$9</definedName>
    <definedName name="_G23" localSheetId="5">'PF (c)'!$I$9</definedName>
    <definedName name="_G23" localSheetId="6">'PF (d)'!$I$9</definedName>
    <definedName name="_G23">#REF!</definedName>
    <definedName name="_G31" localSheetId="3">'OPF (a)'!$G$10</definedName>
    <definedName name="_G31" localSheetId="4">'PF (b) '!$G$10</definedName>
    <definedName name="_G31" localSheetId="5">'PF (c)'!$G$10</definedName>
    <definedName name="_G31" localSheetId="6">'PF (d)'!$G$10</definedName>
    <definedName name="_G31">#REF!</definedName>
    <definedName name="_G32" localSheetId="3">'OPF (a)'!$H$10</definedName>
    <definedName name="_G32" localSheetId="4">'PF (b) '!$H$10</definedName>
    <definedName name="_G32" localSheetId="5">'PF (c)'!$H$10</definedName>
    <definedName name="_G32" localSheetId="6">'PF (d)'!$H$10</definedName>
    <definedName name="_G32">#REF!</definedName>
    <definedName name="_G33" localSheetId="3">'OPF (a)'!$I$10</definedName>
    <definedName name="_G33" localSheetId="4">'PF (b) '!$I$10</definedName>
    <definedName name="_G33" localSheetId="5">'PF (c)'!$I$10</definedName>
    <definedName name="_G33" localSheetId="6">'PF (d)'!$I$10</definedName>
    <definedName name="_G33">#REF!</definedName>
    <definedName name="_PD1" localSheetId="3">'OPF (a)'!$B$13</definedName>
    <definedName name="_PD1" localSheetId="4">'PF (b) '!$B$13</definedName>
    <definedName name="_PD1" localSheetId="5">'PF (c)'!$B$13</definedName>
    <definedName name="_PD1" localSheetId="6">'PF (d)'!$B$13</definedName>
    <definedName name="_PD1">#REF!</definedName>
    <definedName name="_PD2" localSheetId="3">'OPF (a)'!$B$14</definedName>
    <definedName name="_PD2" localSheetId="4">'PF (b) '!$B$14</definedName>
    <definedName name="_PD2" localSheetId="5">'PF (c)'!$B$14</definedName>
    <definedName name="_PD2" localSheetId="6">'PF (d)'!$B$14</definedName>
    <definedName name="_PD2">#REF!</definedName>
    <definedName name="_PD3" localSheetId="3">'OPF (a)'!$B$15</definedName>
    <definedName name="_PD3" localSheetId="4">'PF (b) '!$B$15</definedName>
    <definedName name="_PD3" localSheetId="5">'PF (c)'!$B$15</definedName>
    <definedName name="_PD3" localSheetId="6">'PF (d)'!$B$15</definedName>
    <definedName name="_PD3">#REF!</definedName>
    <definedName name="_PG1" localSheetId="3">'OPF (a)'!$D$13</definedName>
    <definedName name="_PG1" localSheetId="4">'PF (b) '!$D$13</definedName>
    <definedName name="_PG1" localSheetId="5">'PF (c)'!$D$13</definedName>
    <definedName name="_PG1" localSheetId="6">'PF (d)'!$D$13</definedName>
    <definedName name="_PG1">#REF!</definedName>
    <definedName name="_PG2" localSheetId="3">'OPF (a)'!$D$14</definedName>
    <definedName name="_PG2" localSheetId="4">'PF (b) '!$D$14</definedName>
    <definedName name="_PG2" localSheetId="5">'PF (c)'!$D$14</definedName>
    <definedName name="_PG2" localSheetId="6">'PF (d)'!$D$14</definedName>
    <definedName name="_PG2">#REF!</definedName>
    <definedName name="_PG3" localSheetId="3">'OPF (a)'!$B$19</definedName>
    <definedName name="_PG3" localSheetId="4">'PF (b) '!$B$19</definedName>
    <definedName name="_PG3" localSheetId="5">'PF (c)'!$B$19</definedName>
    <definedName name="_PG3" localSheetId="6">'PF (d)'!$B$19</definedName>
    <definedName name="_PG3">#REF!</definedName>
    <definedName name="_QD1" localSheetId="3">'OPF (a)'!$B$16</definedName>
    <definedName name="_QD1" localSheetId="4">'PF (b) '!$B$16</definedName>
    <definedName name="_QD1" localSheetId="5">'PF (c)'!$B$16</definedName>
    <definedName name="_QD1" localSheetId="6">'PF (d)'!$B$16</definedName>
    <definedName name="_QD1">#REF!</definedName>
    <definedName name="_QD2" localSheetId="3">'OPF (a)'!$B$17</definedName>
    <definedName name="_QD2" localSheetId="4">'PF (b) '!$B$17</definedName>
    <definedName name="_QD2" localSheetId="5">'PF (c)'!$B$17</definedName>
    <definedName name="_QD2" localSheetId="6">'PF (d)'!$B$17</definedName>
    <definedName name="_QD2">#REF!</definedName>
    <definedName name="_QD3" localSheetId="3">'OPF (a)'!$B$18</definedName>
    <definedName name="_QD3" localSheetId="4">'PF (b) '!$B$18</definedName>
    <definedName name="_QD3" localSheetId="5">'PF (c)'!$B$18</definedName>
    <definedName name="_QD3" localSheetId="6">'PF (d)'!$B$18</definedName>
    <definedName name="_QD3">#REF!</definedName>
    <definedName name="_QG1" localSheetId="3">'OPF (a)'!$D$15</definedName>
    <definedName name="_QG1" localSheetId="4">'PF (b) '!$D$15</definedName>
    <definedName name="_QG1" localSheetId="5">'PF (c)'!$D$15</definedName>
    <definedName name="_QG1" localSheetId="6">'PF (d)'!$D$15</definedName>
    <definedName name="_QG1">#REF!</definedName>
    <definedName name="_QG2" localSheetId="3">'OPF (a)'!$D$16</definedName>
    <definedName name="_QG2" localSheetId="4">'PF (b) '!$D$16</definedName>
    <definedName name="_QG2" localSheetId="5">'PF (c)'!$D$16</definedName>
    <definedName name="_QG2" localSheetId="6">'PF (d)'!$D$16</definedName>
    <definedName name="_QG2">#REF!</definedName>
    <definedName name="_QG3" localSheetId="3">'OPF (a)'!$B$20</definedName>
    <definedName name="_QG3" localSheetId="4">'PF (b) '!$B$20</definedName>
    <definedName name="_QG3" localSheetId="5">'PF (c)'!$B$20</definedName>
    <definedName name="_QG3" localSheetId="6">'PF (d)'!$B$20</definedName>
    <definedName name="_QG3">#REF!</definedName>
    <definedName name="_T1" localSheetId="3">'OPF (a)'!$B$10</definedName>
    <definedName name="_T1" localSheetId="4">'PF (b) '!$B$10</definedName>
    <definedName name="_T1" localSheetId="5">'PF (c)'!$B$10</definedName>
    <definedName name="_T1" localSheetId="6">'PF (d)'!$B$10</definedName>
    <definedName name="_T1">#REF!</definedName>
    <definedName name="_T2" localSheetId="3">'OPF (a)'!$D$11</definedName>
    <definedName name="_T2" localSheetId="4">'PF (b) '!$D$11</definedName>
    <definedName name="_T2" localSheetId="5">'PF (c)'!$D$11</definedName>
    <definedName name="_T2" localSheetId="6">'PF (d)'!$D$11</definedName>
    <definedName name="_T2">#REF!</definedName>
    <definedName name="_T3" localSheetId="3">'OPF (a)'!$D$12</definedName>
    <definedName name="_T3" localSheetId="4">'PF (b) '!$D$12</definedName>
    <definedName name="_T3" localSheetId="5">'PF (c)'!$D$12</definedName>
    <definedName name="_T3" localSheetId="6">'PF (d)'!$D$12</definedName>
    <definedName name="_T3">#REF!</definedName>
    <definedName name="_V1" localSheetId="3">'OPF (a)'!$B$11</definedName>
    <definedName name="_V1" localSheetId="4">'PF (b) '!$B$11</definedName>
    <definedName name="_V1" localSheetId="5">'PF (c)'!$B$11</definedName>
    <definedName name="_V1" localSheetId="6">'PF (d)'!$B$11</definedName>
    <definedName name="_V1">#REF!</definedName>
    <definedName name="_V2" localSheetId="3">'OPF (a)'!$B$12</definedName>
    <definedName name="_V2" localSheetId="4">'PF (b) '!$B$12</definedName>
    <definedName name="_V2" localSheetId="5">'PF (c)'!$B$12</definedName>
    <definedName name="_V2" localSheetId="6">'PF (d)'!$B$12</definedName>
    <definedName name="_V2">#REF!</definedName>
    <definedName name="_V3" localSheetId="3">'OPF (a)'!$D$10</definedName>
    <definedName name="_V3" localSheetId="4">'PF (b) '!$D$10</definedName>
    <definedName name="_V3" localSheetId="5">'PF (c)'!$D$10</definedName>
    <definedName name="_V3" localSheetId="6">'PF (d)'!$D$10</definedName>
    <definedName name="_V3">#REF!</definedName>
    <definedName name="Sbase" localSheetId="4">'PF (b) '!$B$7</definedName>
    <definedName name="Sbase" localSheetId="5">'PF (c)'!$B$7</definedName>
    <definedName name="Sbase" localSheetId="6">'PF (d)'!$B$7</definedName>
    <definedName name="Sbase">'OPF (a)'!$B$7</definedName>
    <definedName name="solver_adj" localSheetId="3" hidden="1">'OPF (a)'!$D$10,'OPF (a)'!$D$11,'OPF (a)'!$D$12,'OPF (a)'!$D$13,'OPF (a)'!$D$14,'OPF (a)'!$D$15,'OPF (a)'!$D$16</definedName>
    <definedName name="solver_adj" localSheetId="4" hidden="1">'PF (b) '!$D$10:$D$12</definedName>
    <definedName name="solver_adj" localSheetId="5" hidden="1">'PF (c)'!$D$10:$D$12</definedName>
    <definedName name="solver_adj" localSheetId="6" hidden="1">'PF (d)'!$D$10:$D$12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lhs0" localSheetId="3" hidden="1">'OPF (a)'!$C$30:$C$31</definedName>
    <definedName name="solver_lhs0" localSheetId="4" hidden="1">'PF (b) '!$C$30:$C$31</definedName>
    <definedName name="solver_lhs0" localSheetId="5" hidden="1">'PF (c)'!$C$30:$C$31</definedName>
    <definedName name="solver_lhs0" localSheetId="6" hidden="1">'PF (d)'!$C$30:$C$31</definedName>
    <definedName name="solver_lhs1" localSheetId="3" hidden="1">'OPF (a)'!$C$29:$C$34</definedName>
    <definedName name="solver_lhs1" localSheetId="4" hidden="1">'PF (b) '!$C$30:$C$31</definedName>
    <definedName name="solver_lhs1" localSheetId="5" hidden="1">'PF (c)'!$C$30:$C$31</definedName>
    <definedName name="solver_lhs1" localSheetId="6" hidden="1">'PF (d)'!$C$30:$C$31</definedName>
    <definedName name="solver_lhs2" localSheetId="3" hidden="1">'OPF (a)'!$E$13:$E$14</definedName>
    <definedName name="solver_lhs2" localSheetId="4" hidden="1">'PF (b) '!$C$34</definedName>
    <definedName name="solver_lhs2" localSheetId="5" hidden="1">'PF (c)'!$C$34</definedName>
    <definedName name="solver_lhs2" localSheetId="6" hidden="1">'PF (d)'!$C$34</definedName>
    <definedName name="solver_lhs3" localSheetId="3" hidden="1">'OPF (a)'!$E$13:$E$14</definedName>
    <definedName name="solver_lhs3" localSheetId="4" hidden="1">'PF (b) '!$E$30:$E$34</definedName>
    <definedName name="solver_lhs3" localSheetId="5" hidden="1">'PF (c)'!$E$30:$E$34</definedName>
    <definedName name="solver_lhs3" localSheetId="6" hidden="1">'PF (d)'!$E$30:$E$34</definedName>
    <definedName name="solver_lhs4" localSheetId="3" hidden="1">'OPF (a)'!$E$15:$E$16</definedName>
    <definedName name="solver_lhs4" localSheetId="4" hidden="1">'PF (b) '!$E$15:$E$16</definedName>
    <definedName name="solver_lhs4" localSheetId="5" hidden="1">'PF (c)'!$E$15:$E$16</definedName>
    <definedName name="solver_lhs4" localSheetId="6" hidden="1">'PF (d)'!$E$15:$E$16</definedName>
    <definedName name="solver_lhs5" localSheetId="3" hidden="1">'OPF (a)'!$E$15:$E$16</definedName>
    <definedName name="solver_lhs5" localSheetId="4" hidden="1">'PF (b) '!$E$15:$E$16</definedName>
    <definedName name="solver_lhs5" localSheetId="5" hidden="1">'PF (c)'!$E$15:$E$16</definedName>
    <definedName name="solver_lhs5" localSheetId="6" hidden="1">'PF (d)'!$E$15:$E$16</definedName>
    <definedName name="solver_lhs6" localSheetId="3" hidden="1">'OPF (a)'!$H$45:$H$47</definedName>
    <definedName name="solver_lhs6" localSheetId="4" hidden="1">'PF (b) '!$H$45:$H$47</definedName>
    <definedName name="solver_lhs6" localSheetId="5" hidden="1">'PF (c)'!$H$45:$H$47</definedName>
    <definedName name="solver_lhs6" localSheetId="6" hidden="1">'PF (d)'!$H$45:$H$47</definedName>
    <definedName name="solver_lhs7" localSheetId="3" hidden="1">'OPF (a)'!$D$10</definedName>
    <definedName name="solver_lhs7" localSheetId="4" hidden="1">'PF (b) '!$D$10</definedName>
    <definedName name="solver_lhs7" localSheetId="5" hidden="1">'PF (c)'!$D$10</definedName>
    <definedName name="solver_lhs7" localSheetId="6" hidden="1">'PF (d)'!$D$10</definedName>
    <definedName name="solver_lhs8" localSheetId="3" hidden="1">'OPF (a)'!$D$10</definedName>
    <definedName name="solver_lhs8" localSheetId="4" hidden="1">'PF (b) '!$D$10</definedName>
    <definedName name="solver_lhs8" localSheetId="5" hidden="1">'PF (c)'!$D$10</definedName>
    <definedName name="solver_lhs8" localSheetId="6" hidden="1">'PF (d)'!$D$10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3" hidden="1">0.0001</definedName>
    <definedName name="solver_mrt" localSheetId="4" hidden="1">0.0001</definedName>
    <definedName name="solver_mrt" localSheetId="5" hidden="1">0.0001</definedName>
    <definedName name="solver_mrt" localSheetId="6" hidden="1">0.0001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3" hidden="1">8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3" hidden="1">'OPF (a)'!$D$27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el0" localSheetId="3" hidden="1">2</definedName>
    <definedName name="solver_rel0" localSheetId="4" hidden="1">2</definedName>
    <definedName name="solver_rel0" localSheetId="5" hidden="1">2</definedName>
    <definedName name="solver_rel0" localSheetId="6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2" localSheetId="3" hidden="1">1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1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el5" localSheetId="6" hidden="1">3</definedName>
    <definedName name="solver_rel6" localSheetId="3" hidden="1">1</definedName>
    <definedName name="solver_rel6" localSheetId="4" hidden="1">1</definedName>
    <definedName name="solver_rel6" localSheetId="5" hidden="1">1</definedName>
    <definedName name="solver_rel6" localSheetId="6" hidden="1">1</definedName>
    <definedName name="solver_rel7" localSheetId="3" hidden="1">1</definedName>
    <definedName name="solver_rel7" localSheetId="4" hidden="1">1</definedName>
    <definedName name="solver_rel7" localSheetId="5" hidden="1">1</definedName>
    <definedName name="solver_rel7" localSheetId="6" hidden="1">1</definedName>
    <definedName name="solver_rel8" localSheetId="3" hidden="1">3</definedName>
    <definedName name="solver_rel8" localSheetId="4" hidden="1">3</definedName>
    <definedName name="solver_rel8" localSheetId="5" hidden="1">3</definedName>
    <definedName name="solver_rel8" localSheetId="6" hidden="1">3</definedName>
    <definedName name="solver_rhs0" localSheetId="3" hidden="1">'OPF (a)'!#REF!</definedName>
    <definedName name="solver_rhs0" localSheetId="4" hidden="1">'PF (b) '!#REF!</definedName>
    <definedName name="solver_rhs0" localSheetId="5" hidden="1">'PF (c)'!#REF!</definedName>
    <definedName name="solver_rhs0" localSheetId="6" hidden="1">'PF (d)'!#REF!</definedName>
    <definedName name="solver_rhs1" localSheetId="3" hidden="1">'OPF (a)'!$D$29:$D$34</definedName>
    <definedName name="solver_rhs1" localSheetId="4" hidden="1">'PF (b) '!$D$30:$D$31</definedName>
    <definedName name="solver_rhs1" localSheetId="5" hidden="1">'PF (c)'!$D$30:$D$31</definedName>
    <definedName name="solver_rhs1" localSheetId="6" hidden="1">'PF (d)'!$D$30:$D$31</definedName>
    <definedName name="solver_rhs2" localSheetId="3" hidden="1">'OPF (a)'!$I$13:$I$14</definedName>
    <definedName name="solver_rhs2" localSheetId="4" hidden="1">'PF (b) '!$D$34</definedName>
    <definedName name="solver_rhs2" localSheetId="5" hidden="1">'PF (c)'!$D$34</definedName>
    <definedName name="solver_rhs2" localSheetId="6" hidden="1">'PF (d)'!$D$34</definedName>
    <definedName name="solver_rhs3" localSheetId="3" hidden="1">'OPF (a)'!$G$13:$G$14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4" localSheetId="3" hidden="1">'OPF (a)'!$I$15:$I$16</definedName>
    <definedName name="solver_rhs4" localSheetId="4" hidden="1">'PF (b) '!$I$15:$I$16</definedName>
    <definedName name="solver_rhs4" localSheetId="5" hidden="1">'PF (c)'!$I$15:$I$16</definedName>
    <definedName name="solver_rhs4" localSheetId="6" hidden="1">'PF (d)'!$I$15:$I$16</definedName>
    <definedName name="solver_rhs5" localSheetId="3" hidden="1">'OPF (a)'!$G$15:$G$16</definedName>
    <definedName name="solver_rhs5" localSheetId="4" hidden="1">'PF (b) '!$G$15:$G$16</definedName>
    <definedName name="solver_rhs5" localSheetId="5" hidden="1">'PF (c)'!$G$15:$G$16</definedName>
    <definedName name="solver_rhs5" localSheetId="6" hidden="1">'PF (d)'!$G$15:$G$16</definedName>
    <definedName name="solver_rhs6" localSheetId="3" hidden="1">'OPF (a)'!$J$45:$J$47</definedName>
    <definedName name="solver_rhs6" localSheetId="4" hidden="1">'PF (b) '!$J$45:$J$47</definedName>
    <definedName name="solver_rhs6" localSheetId="5" hidden="1">'PF (c)'!$J$45:$J$47</definedName>
    <definedName name="solver_rhs6" localSheetId="6" hidden="1">'PF (d)'!$J$45:$J$47</definedName>
    <definedName name="solver_rhs7" localSheetId="3" hidden="1">'OPF (a)'!$I$17</definedName>
    <definedName name="solver_rhs7" localSheetId="4" hidden="1">'PF (b) '!$I$17</definedName>
    <definedName name="solver_rhs7" localSheetId="5" hidden="1">'PF (c)'!$I$17</definedName>
    <definedName name="solver_rhs7" localSheetId="6" hidden="1">'PF (d)'!$I$17</definedName>
    <definedName name="solver_rhs8" localSheetId="3" hidden="1">'OPF (a)'!$G$17</definedName>
    <definedName name="solver_rhs8" localSheetId="4" hidden="1">'PF (b) '!$G$17</definedName>
    <definedName name="solver_rhs8" localSheetId="5" hidden="1">'PF (c)'!$G$17</definedName>
    <definedName name="solver_rhs8" localSheetId="6" hidden="1">'PF (d)'!$G$17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yp" localSheetId="3" hidden="1">2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5" hidden="1">2</definedName>
    <definedName name="solver_ver" localSheetId="6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21" l="1"/>
  <c r="Y9" i="21"/>
  <c r="W10" i="21"/>
  <c r="Y10" i="21"/>
  <c r="B10" i="42"/>
  <c r="B13" i="42"/>
  <c r="B14" i="42"/>
  <c r="M17" i="33"/>
  <c r="B7" i="42"/>
  <c r="B15" i="42"/>
  <c r="B16" i="42"/>
  <c r="B17" i="42"/>
  <c r="B19" i="42"/>
  <c r="E14" i="42"/>
  <c r="D53" i="42"/>
  <c r="D54" i="42"/>
  <c r="D55" i="42"/>
  <c r="H53" i="42"/>
  <c r="H8" i="42"/>
  <c r="L8" i="42"/>
  <c r="D45" i="42"/>
  <c r="G9" i="42"/>
  <c r="K9" i="42"/>
  <c r="E45" i="42"/>
  <c r="M45" i="42"/>
  <c r="I8" i="42"/>
  <c r="M8" i="42"/>
  <c r="D46" i="42"/>
  <c r="G10" i="42"/>
  <c r="K10" i="42"/>
  <c r="E46" i="42"/>
  <c r="M46" i="42"/>
  <c r="I9" i="42"/>
  <c r="M9" i="42"/>
  <c r="D47" i="42"/>
  <c r="H10" i="42"/>
  <c r="L10" i="42"/>
  <c r="E47" i="42"/>
  <c r="M47" i="42"/>
  <c r="M48" i="42"/>
  <c r="M49" i="42"/>
  <c r="L49" i="42"/>
  <c r="B45" i="42"/>
  <c r="C45" i="42"/>
  <c r="L45" i="42"/>
  <c r="B46" i="42"/>
  <c r="C46" i="42"/>
  <c r="L46" i="42"/>
  <c r="B47" i="42"/>
  <c r="C47" i="42"/>
  <c r="L47" i="42"/>
  <c r="L48" i="42"/>
  <c r="J47" i="42"/>
  <c r="AA47" i="42"/>
  <c r="F47" i="42"/>
  <c r="H47" i="42"/>
  <c r="G47" i="42"/>
  <c r="J46" i="42"/>
  <c r="AA46" i="42"/>
  <c r="F46" i="42"/>
  <c r="H46" i="42"/>
  <c r="G46" i="42"/>
  <c r="J45" i="42"/>
  <c r="AA45" i="42"/>
  <c r="F45" i="42"/>
  <c r="H45" i="42"/>
  <c r="G45" i="42"/>
  <c r="H26" i="42"/>
  <c r="G37" i="42"/>
  <c r="G39" i="42"/>
  <c r="E13" i="42"/>
  <c r="H24" i="42"/>
  <c r="B37" i="42"/>
  <c r="H25" i="42"/>
  <c r="B38" i="42"/>
  <c r="B39" i="42"/>
  <c r="K39" i="42"/>
  <c r="B24" i="42"/>
  <c r="C24" i="42"/>
  <c r="D24" i="42"/>
  <c r="C37" i="42"/>
  <c r="C25" i="42"/>
  <c r="D25" i="42"/>
  <c r="C38" i="42"/>
  <c r="C39" i="42"/>
  <c r="D39" i="42"/>
  <c r="D38" i="42"/>
  <c r="K37" i="42"/>
  <c r="D37" i="42"/>
  <c r="M10" i="42"/>
  <c r="D34" i="42"/>
  <c r="C34" i="42"/>
  <c r="L9" i="42"/>
  <c r="D33" i="42"/>
  <c r="K8" i="42"/>
  <c r="D32" i="42"/>
  <c r="C32" i="42"/>
  <c r="I10" i="42"/>
  <c r="D31" i="42"/>
  <c r="C31" i="42"/>
  <c r="H9" i="42"/>
  <c r="D30" i="42"/>
  <c r="C30" i="42"/>
  <c r="H29" i="42"/>
  <c r="G8" i="42"/>
  <c r="D29" i="42"/>
  <c r="H28" i="42"/>
  <c r="Z27" i="42"/>
  <c r="D27" i="42"/>
  <c r="Z26" i="42"/>
  <c r="W25" i="42"/>
  <c r="F25" i="42"/>
  <c r="F24" i="42"/>
  <c r="W23" i="42"/>
  <c r="W21" i="42"/>
  <c r="W20" i="42"/>
  <c r="AB19" i="42"/>
  <c r="AB18" i="42"/>
  <c r="I17" i="42"/>
  <c r="G17" i="42"/>
  <c r="Y16" i="42"/>
  <c r="I16" i="42"/>
  <c r="G16" i="42"/>
  <c r="E16" i="42"/>
  <c r="I15" i="42"/>
  <c r="G15" i="42"/>
  <c r="E15" i="42"/>
  <c r="I14" i="42"/>
  <c r="G14" i="42"/>
  <c r="I13" i="42"/>
  <c r="G13" i="42"/>
  <c r="I9" i="41"/>
  <c r="M9" i="41"/>
  <c r="B47" i="41"/>
  <c r="C47" i="41"/>
  <c r="F47" i="41"/>
  <c r="B7" i="41"/>
  <c r="H47" i="41"/>
  <c r="AA22" i="41"/>
  <c r="E14" i="41"/>
  <c r="D53" i="41"/>
  <c r="B15" i="41"/>
  <c r="D54" i="41"/>
  <c r="D55" i="41"/>
  <c r="H53" i="41"/>
  <c r="H8" i="41"/>
  <c r="B10" i="41"/>
  <c r="L8" i="41"/>
  <c r="D45" i="41"/>
  <c r="G9" i="41"/>
  <c r="K9" i="41"/>
  <c r="E45" i="41"/>
  <c r="M45" i="41"/>
  <c r="I8" i="41"/>
  <c r="M8" i="41"/>
  <c r="D46" i="41"/>
  <c r="G10" i="41"/>
  <c r="K10" i="41"/>
  <c r="E46" i="41"/>
  <c r="M46" i="41"/>
  <c r="D47" i="41"/>
  <c r="H10" i="41"/>
  <c r="L10" i="41"/>
  <c r="E47" i="41"/>
  <c r="M47" i="41"/>
  <c r="M48" i="41"/>
  <c r="M49" i="41"/>
  <c r="B19" i="41"/>
  <c r="B13" i="41"/>
  <c r="B14" i="41"/>
  <c r="L49" i="41"/>
  <c r="B45" i="41"/>
  <c r="C45" i="41"/>
  <c r="L45" i="41"/>
  <c r="B46" i="41"/>
  <c r="C46" i="41"/>
  <c r="L46" i="41"/>
  <c r="L47" i="41"/>
  <c r="L48" i="41"/>
  <c r="J47" i="41"/>
  <c r="AA47" i="41"/>
  <c r="G47" i="41"/>
  <c r="J46" i="41"/>
  <c r="AA46" i="41"/>
  <c r="F46" i="41"/>
  <c r="H46" i="41"/>
  <c r="G46" i="41"/>
  <c r="J45" i="41"/>
  <c r="AA45" i="41"/>
  <c r="F45" i="41"/>
  <c r="H45" i="41"/>
  <c r="G45" i="41"/>
  <c r="H26" i="41"/>
  <c r="G37" i="41"/>
  <c r="G39" i="41"/>
  <c r="E13" i="41"/>
  <c r="H24" i="41"/>
  <c r="B37" i="41"/>
  <c r="H25" i="41"/>
  <c r="B38" i="41"/>
  <c r="B39" i="41"/>
  <c r="K39" i="41"/>
  <c r="B24" i="41"/>
  <c r="C24" i="41"/>
  <c r="D24" i="41"/>
  <c r="C37" i="41"/>
  <c r="C25" i="41"/>
  <c r="D25" i="41"/>
  <c r="C38" i="41"/>
  <c r="C39" i="41"/>
  <c r="D39" i="41"/>
  <c r="D38" i="41"/>
  <c r="K37" i="41"/>
  <c r="D37" i="41"/>
  <c r="M10" i="41"/>
  <c r="D34" i="41"/>
  <c r="C34" i="41"/>
  <c r="L9" i="41"/>
  <c r="D33" i="41"/>
  <c r="K8" i="41"/>
  <c r="D32" i="41"/>
  <c r="B16" i="41"/>
  <c r="C32" i="41"/>
  <c r="I10" i="41"/>
  <c r="D31" i="41"/>
  <c r="C31" i="41"/>
  <c r="H9" i="41"/>
  <c r="D30" i="41"/>
  <c r="C30" i="41"/>
  <c r="H29" i="41"/>
  <c r="G8" i="41"/>
  <c r="D29" i="41"/>
  <c r="H28" i="41"/>
  <c r="Z27" i="41"/>
  <c r="D27" i="41"/>
  <c r="Z26" i="41"/>
  <c r="W25" i="41"/>
  <c r="F25" i="41"/>
  <c r="F24" i="41"/>
  <c r="W23" i="41"/>
  <c r="W21" i="41"/>
  <c r="W20" i="41"/>
  <c r="AB19" i="41"/>
  <c r="AB18" i="41"/>
  <c r="I17" i="41"/>
  <c r="G17" i="41"/>
  <c r="B17" i="41"/>
  <c r="Y16" i="41"/>
  <c r="I16" i="41"/>
  <c r="G16" i="41"/>
  <c r="E16" i="41"/>
  <c r="I15" i="41"/>
  <c r="G15" i="41"/>
  <c r="E15" i="41"/>
  <c r="I14" i="41"/>
  <c r="G14" i="41"/>
  <c r="I13" i="41"/>
  <c r="G13" i="41"/>
  <c r="B7" i="21"/>
  <c r="B15" i="21"/>
  <c r="I10" i="21"/>
  <c r="B11" i="21"/>
  <c r="I8" i="21"/>
  <c r="G10" i="21"/>
  <c r="B10" i="21"/>
  <c r="M8" i="21"/>
  <c r="K10" i="21"/>
  <c r="B12" i="21"/>
  <c r="I9" i="21"/>
  <c r="H10" i="21"/>
  <c r="M9" i="21"/>
  <c r="L10" i="21"/>
  <c r="D31" i="21"/>
  <c r="W8" i="21"/>
  <c r="Y8" i="21"/>
  <c r="B11" i="39"/>
  <c r="B12" i="39"/>
  <c r="H8" i="39"/>
  <c r="B10" i="39"/>
  <c r="L8" i="39"/>
  <c r="D45" i="39"/>
  <c r="G9" i="39"/>
  <c r="K9" i="39"/>
  <c r="E45" i="39"/>
  <c r="M45" i="39"/>
  <c r="I8" i="39"/>
  <c r="M8" i="39"/>
  <c r="D46" i="39"/>
  <c r="K10" i="39"/>
  <c r="G10" i="39"/>
  <c r="E46" i="39"/>
  <c r="M46" i="39"/>
  <c r="I9" i="39"/>
  <c r="M9" i="39"/>
  <c r="D47" i="39"/>
  <c r="L10" i="39"/>
  <c r="H10" i="39"/>
  <c r="E47" i="39"/>
  <c r="M47" i="39"/>
  <c r="M48" i="39"/>
  <c r="B7" i="39"/>
  <c r="M49" i="39"/>
  <c r="K8" i="39"/>
  <c r="D32" i="39"/>
  <c r="W21" i="39"/>
  <c r="L9" i="39"/>
  <c r="D33" i="39"/>
  <c r="AB19" i="39"/>
  <c r="M10" i="39"/>
  <c r="D34" i="39"/>
  <c r="C34" i="39"/>
  <c r="I10" i="39"/>
  <c r="D31" i="39"/>
  <c r="B19" i="39"/>
  <c r="B15" i="39"/>
  <c r="C31" i="39"/>
  <c r="H9" i="39"/>
  <c r="D30" i="39"/>
  <c r="B14" i="39"/>
  <c r="C30" i="39"/>
  <c r="E14" i="39"/>
  <c r="D53" i="39"/>
  <c r="D54" i="39"/>
  <c r="D55" i="39"/>
  <c r="H53" i="39"/>
  <c r="B16" i="39"/>
  <c r="B17" i="39"/>
  <c r="B13" i="39"/>
  <c r="L49" i="39"/>
  <c r="B45" i="39"/>
  <c r="C45" i="39"/>
  <c r="L45" i="39"/>
  <c r="B46" i="39"/>
  <c r="C46" i="39"/>
  <c r="L46" i="39"/>
  <c r="B47" i="39"/>
  <c r="C47" i="39"/>
  <c r="L47" i="39"/>
  <c r="L48" i="39"/>
  <c r="J47" i="39"/>
  <c r="AA47" i="39"/>
  <c r="F47" i="39"/>
  <c r="H47" i="39"/>
  <c r="G47" i="39"/>
  <c r="J46" i="39"/>
  <c r="AA46" i="39"/>
  <c r="F46" i="39"/>
  <c r="H46" i="39"/>
  <c r="G46" i="39"/>
  <c r="J45" i="39"/>
  <c r="AA45" i="39"/>
  <c r="F45" i="39"/>
  <c r="H45" i="39"/>
  <c r="G45" i="39"/>
  <c r="H26" i="39"/>
  <c r="G37" i="39"/>
  <c r="G39" i="39"/>
  <c r="E13" i="39"/>
  <c r="H24" i="39"/>
  <c r="B37" i="39"/>
  <c r="H25" i="39"/>
  <c r="B38" i="39"/>
  <c r="B39" i="39"/>
  <c r="K39" i="39"/>
  <c r="B24" i="39"/>
  <c r="C24" i="39"/>
  <c r="D24" i="39"/>
  <c r="C37" i="39"/>
  <c r="C25" i="39"/>
  <c r="D25" i="39"/>
  <c r="C38" i="39"/>
  <c r="C39" i="39"/>
  <c r="D39" i="39"/>
  <c r="D38" i="39"/>
  <c r="K37" i="39"/>
  <c r="D37" i="39"/>
  <c r="C32" i="39"/>
  <c r="H29" i="39"/>
  <c r="G8" i="39"/>
  <c r="D29" i="39"/>
  <c r="H28" i="39"/>
  <c r="Z27" i="39"/>
  <c r="D27" i="39"/>
  <c r="Z26" i="39"/>
  <c r="W25" i="39"/>
  <c r="F25" i="39"/>
  <c r="F24" i="39"/>
  <c r="W23" i="39"/>
  <c r="W20" i="39"/>
  <c r="AB18" i="39"/>
  <c r="I17" i="39"/>
  <c r="G17" i="39"/>
  <c r="Y16" i="39"/>
  <c r="I16" i="39"/>
  <c r="G16" i="39"/>
  <c r="E16" i="39"/>
  <c r="I15" i="39"/>
  <c r="G15" i="39"/>
  <c r="E15" i="39"/>
  <c r="I14" i="39"/>
  <c r="G14" i="39"/>
  <c r="I13" i="39"/>
  <c r="G13" i="39"/>
  <c r="H8" i="21"/>
  <c r="L8" i="21"/>
  <c r="B45" i="21"/>
  <c r="C45" i="21"/>
  <c r="F45" i="21"/>
  <c r="H45" i="21"/>
  <c r="W25" i="21"/>
  <c r="G26" i="33"/>
  <c r="J47" i="21"/>
  <c r="AA47" i="21"/>
  <c r="J46" i="21"/>
  <c r="AA46" i="21"/>
  <c r="J45" i="21"/>
  <c r="AA45" i="21"/>
  <c r="H25" i="21"/>
  <c r="H26" i="21"/>
  <c r="H24" i="21"/>
  <c r="B46" i="21"/>
  <c r="C46" i="21"/>
  <c r="F46" i="21"/>
  <c r="H46" i="21"/>
  <c r="W23" i="21"/>
  <c r="I17" i="21"/>
  <c r="G17" i="21"/>
  <c r="G16" i="21"/>
  <c r="G15" i="21"/>
  <c r="I16" i="21"/>
  <c r="I15" i="21"/>
  <c r="G14" i="21"/>
  <c r="G13" i="21"/>
  <c r="E14" i="21"/>
  <c r="E13" i="21"/>
  <c r="C25" i="21"/>
  <c r="D25" i="21"/>
  <c r="B24" i="21"/>
  <c r="C24" i="21"/>
  <c r="D24" i="21"/>
  <c r="G26" i="36"/>
  <c r="G21" i="36"/>
  <c r="G22" i="36"/>
  <c r="G23" i="36"/>
  <c r="G24" i="36"/>
  <c r="G25" i="36"/>
  <c r="G20" i="36"/>
  <c r="D27" i="21"/>
  <c r="H28" i="21"/>
  <c r="D53" i="21"/>
  <c r="H53" i="21"/>
  <c r="H29" i="21"/>
  <c r="D54" i="21"/>
  <c r="B47" i="21"/>
  <c r="C47" i="21"/>
  <c r="F47" i="21"/>
  <c r="H47" i="21"/>
  <c r="D45" i="21"/>
  <c r="G9" i="21"/>
  <c r="K9" i="21"/>
  <c r="E45" i="21"/>
  <c r="G45" i="21"/>
  <c r="D46" i="21"/>
  <c r="E46" i="21"/>
  <c r="G46" i="21"/>
  <c r="D47" i="21"/>
  <c r="E47" i="21"/>
  <c r="G47" i="21"/>
  <c r="G37" i="21"/>
  <c r="G39" i="21"/>
  <c r="B37" i="21"/>
  <c r="B38" i="21"/>
  <c r="B39" i="21"/>
  <c r="K39" i="21"/>
  <c r="B13" i="21"/>
  <c r="B14" i="21"/>
  <c r="B19" i="21"/>
  <c r="L49" i="21"/>
  <c r="D55" i="21"/>
  <c r="K37" i="21"/>
  <c r="B16" i="21"/>
  <c r="B17" i="21"/>
  <c r="B20" i="21"/>
  <c r="M49" i="21"/>
  <c r="C38" i="21"/>
  <c r="D38" i="21"/>
  <c r="C37" i="21"/>
  <c r="C39" i="21"/>
  <c r="D39" i="21"/>
  <c r="D37" i="21"/>
  <c r="AA22" i="21"/>
  <c r="Y16" i="21"/>
  <c r="Z27" i="21"/>
  <c r="Z26" i="21"/>
  <c r="AB19" i="21"/>
  <c r="AB18" i="21"/>
  <c r="W21" i="21"/>
  <c r="W20" i="21"/>
  <c r="F25" i="21"/>
  <c r="F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I14" i="21"/>
  <c r="I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<sst xmlns="http://schemas.openxmlformats.org/spreadsheetml/2006/main" count="773" uniqueCount="183">
  <si>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</si>
  <si>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</si>
  <si>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</si>
  <si>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</si>
  <si>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</si>
  <si>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</si>
  <si>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</si>
  <si>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</si>
  <si>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</si>
  <si>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</si>
  <si>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</si>
  <si>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</si>
  <si>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</si>
  <si>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</si>
  <si>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</si>
  <si>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</si>
  <si>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</si>
  <si>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</si>
  <si>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</si>
  <si>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</si>
  <si>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</si>
  <si>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</si>
  <si>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</si>
  <si>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</si>
  <si>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</si>
  <si>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</si>
  <si>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</si>
  <si>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</si>
  <si>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</si>
  <si>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</si>
  <si>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</si>
  <si>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</si>
  <si>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</si>
  <si>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</si>
  <si>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</si>
  <si>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</si>
  <si>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</si>
  <si>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LMPs</t>
  </si>
  <si>
    <t>Operación Económica de Sistemas de Potencia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</si>
  <si>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</si>
  <si>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</si>
  <si>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</si>
  <si>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</si>
  <si>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</si>
  <si>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</si>
  <si>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</si>
  <si>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</si>
  <si>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</si>
  <si>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</si>
  <si>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</si>
  <si>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</si>
  <si>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</si>
  <si>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</si>
  <si>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</si>
  <si>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</si>
  <si>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</si>
  <si>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</si>
  <si>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</si>
  <si>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</si>
  <si>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</si>
  <si>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</si>
  <si>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</si>
  <si>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</si>
  <si>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</si>
  <si>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</si>
  <si>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</si>
  <si>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</si>
  <si>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</si>
  <si>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</si>
  <si>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</si>
  <si>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</si>
  <si>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</si>
  <si>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</si>
  <si>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</si>
  <si>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</si>
  <si>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</si>
  <si>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</si>
  <si>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</si>
  <si>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</si>
  <si>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</si>
  <si>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</si>
  <si>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</si>
  <si>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</si>
  <si>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</si>
  <si>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</si>
  <si>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</si>
  <si>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</si>
  <si>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</si>
  <si>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</si>
  <si>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</si>
  <si>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</si>
  <si>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</si>
  <si>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</si>
  <si>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</si>
  <si>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</si>
  <si>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</si>
  <si>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</si>
  <si>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</si>
  <si>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</si>
  <si>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</si>
  <si>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</si>
  <si>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</si>
  <si>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</si>
  <si>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</si>
  <si>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</si>
  <si>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</si>
  <si>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</si>
  <si>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</si>
  <si>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</si>
  <si>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</si>
  <si>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</si>
  <si>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</si>
  <si>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</si>
  <si>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</si>
  <si>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</si>
  <si>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</si>
  <si>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</si>
  <si>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</si>
  <si>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</si>
  <si>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</si>
  <si>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</si>
  <si>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</si>
  <si>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</si>
  <si>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</si>
  <si>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</si>
  <si>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</si>
  <si>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</si>
  <si>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</si>
  <si>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</si>
  <si>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</si>
  <si>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</si>
  <si>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</si>
  <si>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</si>
  <si>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max</t>
  </si>
  <si>
    <t>min</t>
  </si>
  <si>
    <t>Worksheet: [Despacho_Economico_Basico_RedCongest.xlsx]DE Básico + Red</t>
  </si>
  <si>
    <t>$H$46</t>
  </si>
  <si>
    <t>Report Created: 30/03/2021 9:43:22 a. m.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</si>
  <si>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</si>
  <si>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</si>
  <si>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Reparto de  cargos de congestion</t>
  </si>
  <si>
    <t>G1 paga porcongestion</t>
  </si>
  <si>
    <t>Demandas pagan por congestion</t>
  </si>
  <si>
    <t>La red recibe ingresos por congestion</t>
  </si>
  <si>
    <t xml:space="preserve">realmente recibe </t>
  </si>
  <si>
    <t>por elivio de congestion</t>
  </si>
  <si>
    <t>Caso de Estudio 2</t>
  </si>
  <si>
    <t>Control pu</t>
  </si>
  <si>
    <t>Incógnitas pu</t>
  </si>
  <si>
    <t>C0</t>
  </si>
  <si>
    <r>
      <t>Q</t>
    </r>
    <r>
      <rPr>
        <vertAlign val="subscript"/>
        <sz val="12"/>
        <color theme="1"/>
        <rFont val="Calibri (Body)"/>
      </rPr>
      <t>Gmin</t>
    </r>
  </si>
  <si>
    <r>
      <t>Q</t>
    </r>
    <r>
      <rPr>
        <vertAlign val="subscript"/>
        <sz val="12"/>
        <color theme="1"/>
        <rFont val="Calibri (Body)"/>
      </rPr>
      <t>Gmax</t>
    </r>
  </si>
  <si>
    <t>Ejemplo 1: SYSTEM STATES</t>
  </si>
  <si>
    <t>Llinea</t>
  </si>
  <si>
    <t>Vnax</t>
  </si>
  <si>
    <t>Vmin</t>
  </si>
  <si>
    <t>Worksheet: [SystemStates.xlsx]OPF</t>
  </si>
  <si>
    <t>$E$13</t>
  </si>
  <si>
    <t>PG1= Despacho</t>
  </si>
  <si>
    <t>$E$14</t>
  </si>
  <si>
    <t>PG2= Despacho</t>
  </si>
  <si>
    <t>$E$15</t>
  </si>
  <si>
    <t>QG1= Despacho</t>
  </si>
  <si>
    <t>$E$16</t>
  </si>
  <si>
    <t>QG2= Despacho</t>
  </si>
  <si>
    <t>$H$45</t>
  </si>
  <si>
    <t>$H$47</t>
  </si>
  <si>
    <t>Report Created: 14/04/2021 3:44:38 p. m.</t>
  </si>
  <si>
    <r>
      <t>&lt;P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>&lt;</t>
    </r>
  </si>
  <si>
    <t>(MW)</t>
  </si>
  <si>
    <r>
      <t>&lt;P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>&lt;</t>
    </r>
  </si>
  <si>
    <r>
      <t>&lt;Q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>&lt;</t>
    </r>
  </si>
  <si>
    <r>
      <t>&lt;Q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>&lt;</t>
    </r>
  </si>
  <si>
    <r>
      <t>S</t>
    </r>
    <r>
      <rPr>
        <vertAlign val="subscript"/>
        <sz val="11"/>
        <color rgb="FF0070C0"/>
        <rFont val="Calibri (Body)"/>
      </rPr>
      <t>12</t>
    </r>
  </si>
  <si>
    <r>
      <t>S</t>
    </r>
    <r>
      <rPr>
        <vertAlign val="subscript"/>
        <sz val="11"/>
        <color rgb="FF0070C0"/>
        <rFont val="Calibri (Body)"/>
      </rPr>
      <t>13</t>
    </r>
  </si>
  <si>
    <r>
      <t>S</t>
    </r>
    <r>
      <rPr>
        <vertAlign val="subscript"/>
        <sz val="11"/>
        <color rgb="FF0070C0"/>
        <rFont val="Calibri (Body)"/>
      </rPr>
      <t>23</t>
    </r>
  </si>
  <si>
    <r>
      <t>&lt;V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scheme val="minor"/>
      </rPr>
      <t>&lt;</t>
    </r>
  </si>
  <si>
    <t xml:space="preserve">Ejemplo 1a: Despacho Económico sin red con restricciones </t>
  </si>
  <si>
    <t>Zline</t>
  </si>
  <si>
    <t>km</t>
  </si>
  <si>
    <t>Ejemplo 1b: Flujo de potencia sin linea 23 con el despacho 50/150</t>
  </si>
  <si>
    <t>Ejemplo 1c: Flujo de potencia con linea 23 con el redespacho 100/100</t>
  </si>
  <si>
    <t>Ejemplo 1d: Flujo de potencia sin linea 23 con el redespacho 100/100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</si>
</sst>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4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vertAlign val="subscript"/>
      <sz val="11"/>
      <color rgb="FF0070C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7" borderId="0" applyNumberFormat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7" fillId="2" borderId="0" xfId="0" applyFont="1" applyFill="1"/>
    <xf numFmtId="0" fontId="8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4" fillId="2" borderId="0" xfId="0" applyFont="1" applyFill="1" applyBorder="1"/>
    <xf numFmtId="0" fontId="15" fillId="2" borderId="0" xfId="0" applyFont="1" applyFill="1" applyBorder="1"/>
    <xf numFmtId="2" fontId="12" fillId="7" borderId="0" xfId="13" applyNumberFormat="1"/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7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7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7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22" fillId="0" borderId="4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1" fillId="6" borderId="0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9" borderId="0" xfId="0" applyFont="1" applyFill="1"/>
    <xf numFmtId="2" fontId="0" fillId="0" borderId="6" xfId="0" applyNumberFormat="1" applyFill="1" applyBorder="1" applyAlignment="1"/>
    <xf numFmtId="2" fontId="0" fillId="0" borderId="0" xfId="0" applyNumberFormat="1"/>
    <xf numFmtId="2" fontId="0" fillId="0" borderId="7" xfId="0" applyNumberFormat="1" applyFill="1" applyBorder="1" applyAlignment="1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0" fillId="2" borderId="0" xfId="0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17" fillId="2" borderId="8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" fillId="10" borderId="0" xfId="0" applyFont="1" applyFill="1" applyBorder="1" applyAlignment="1">
      <alignment horizontal="right"/>
    </xf>
    <xf numFmtId="166" fontId="1" fillId="10" borderId="0" xfId="0" applyNumberFormat="1" applyFont="1" applyFill="1" applyBorder="1" applyAlignment="1">
      <alignment horizontal="center"/>
    </xf>
    <xf numFmtId="2" fontId="1" fillId="10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0" fillId="10" borderId="0" xfId="0" applyFont="1" applyFill="1" applyBorder="1" applyAlignment="1">
      <alignment horizontal="right"/>
    </xf>
    <xf numFmtId="166" fontId="0" fillId="10" borderId="0" xfId="0" applyNumberFormat="1" applyFon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1" fillId="5" borderId="0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1" fillId="5" borderId="0" xfId="0" applyNumberFormat="1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11" fontId="1" fillId="2" borderId="0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2" fontId="14" fillId="2" borderId="0" xfId="0" applyNumberFormat="1" applyFont="1" applyFill="1"/>
    <xf numFmtId="164" fontId="0" fillId="2" borderId="0" xfId="0" applyNumberFormat="1" applyFont="1" applyFill="1"/>
    <xf numFmtId="164" fontId="0" fillId="2" borderId="0" xfId="0" applyNumberFormat="1" applyFont="1" applyFill="1" applyAlignment="1">
      <alignment horizontal="right"/>
    </xf>
    <xf numFmtId="164" fontId="16" fillId="2" borderId="0" xfId="0" applyNumberFormat="1" applyFont="1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250094</xdr:colOff>
      <xdr:row>17</xdr:row>
      <xdr:rowOff>100296</xdr:rowOff>
    </xdr:from>
    <xdr:to>
      <xdr:col>25</xdr:col>
      <xdr:colOff>295032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2956142" y="3390201"/>
          <a:ext cx="44938" cy="36750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291102" y="636955"/>
          <a:ext cx="58615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3077</xdr:colOff>
      <xdr:row>18</xdr:row>
      <xdr:rowOff>82983</xdr:rowOff>
    </xdr:from>
    <xdr:to>
      <xdr:col>25</xdr:col>
      <xdr:colOff>250094</xdr:colOff>
      <xdr:row>18</xdr:row>
      <xdr:rowOff>90527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5" idx="1"/>
          <a:endCxn id="19" idx="1"/>
        </xdr:cNvCxnSpPr>
      </xdr:nvCxnSpPr>
      <xdr:spPr>
        <a:xfrm flipH="1" flipV="1">
          <a:off x="11839477" y="3588183"/>
          <a:ext cx="1123317" cy="754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8925167" y="1330246"/>
          <a:ext cx="65455" cy="452966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3077</xdr:colOff>
      <xdr:row>18</xdr:row>
      <xdr:rowOff>82983</xdr:rowOff>
    </xdr:from>
    <xdr:to>
      <xdr:col>24</xdr:col>
      <xdr:colOff>311150</xdr:colOff>
      <xdr:row>23</xdr:row>
      <xdr:rowOff>114300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19" idx="1"/>
        </xdr:cNvCxnSpPr>
      </xdr:nvCxnSpPr>
      <xdr:spPr>
        <a:xfrm>
          <a:off x="11839477" y="3588183"/>
          <a:ext cx="308073" cy="9076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50800</xdr:colOff>
      <xdr:row>18</xdr:row>
      <xdr:rowOff>40880</xdr:rowOff>
    </xdr:from>
    <xdr:to>
      <xdr:col>23</xdr:col>
      <xdr:colOff>352669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stCxn id="26" idx="6"/>
          <a:endCxn id="7" idx="1"/>
        </xdr:cNvCxnSpPr>
      </xdr:nvCxnSpPr>
      <xdr:spPr>
        <a:xfrm>
          <a:off x="11531600" y="3546080"/>
          <a:ext cx="301869" cy="5290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55438</xdr:rowOff>
    </xdr:from>
    <xdr:to>
      <xdr:col>26</xdr:col>
      <xdr:colOff>50748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3" idx="2"/>
          <a:endCxn id="5" idx="3"/>
        </xdr:cNvCxnSpPr>
      </xdr:nvCxnSpPr>
      <xdr:spPr>
        <a:xfrm flipH="1">
          <a:off x="13007732" y="3560638"/>
          <a:ext cx="238316" cy="350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312958</xdr:colOff>
      <xdr:row>17</xdr:row>
      <xdr:rowOff>93901</xdr:rowOff>
    </xdr:from>
    <xdr:to>
      <xdr:col>24</xdr:col>
      <xdr:colOff>3077</xdr:colOff>
      <xdr:row>19</xdr:row>
      <xdr:rowOff>72064</xdr:rowOff>
    </xdr:to>
    <xdr:sp macro="" textlink="">
      <xdr:nvSpPr>
        <xdr:cNvPr id="19" name="Rectángulo 6">
          <a:extLst>
            <a:ext uri="{FF2B5EF4-FFF2-40B4-BE49-F238E27FC236}">
              <a16:creationId xmlns:a16="http://schemas.microsoft.com/office/drawing/2014/main" id="{5AFA94EF-1C1D-C148-87A1-E3D1F86E2E4C}"/>
            </a:ext>
          </a:extLst>
        </xdr:cNvPr>
        <xdr:cNvSpPr/>
      </xdr:nvSpPr>
      <xdr:spPr>
        <a:xfrm flipH="1">
          <a:off x="11793758" y="3408601"/>
          <a:ext cx="45719" cy="3591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553055</xdr:colOff>
      <xdr:row>17</xdr:row>
      <xdr:rowOff>50800</xdr:rowOff>
    </xdr:from>
    <xdr:to>
      <xdr:col>23</xdr:col>
      <xdr:colOff>50800</xdr:colOff>
      <xdr:row>19</xdr:row>
      <xdr:rowOff>30960</xdr:rowOff>
    </xdr:to>
    <xdr:grpSp>
      <xdr:nvGrpSpPr>
        <xdr:cNvPr id="25" name="Agrupar 51">
          <a:extLst>
            <a:ext uri="{FF2B5EF4-FFF2-40B4-BE49-F238E27FC236}">
              <a16:creationId xmlns:a16="http://schemas.microsoft.com/office/drawing/2014/main" id="{224E9DAA-5BFA-C54E-B6C3-CF49455B3045}"/>
            </a:ext>
          </a:extLst>
        </xdr:cNvPr>
        <xdr:cNvGrpSpPr/>
      </xdr:nvGrpSpPr>
      <xdr:grpSpPr>
        <a:xfrm>
          <a:off x="11157555" y="3365500"/>
          <a:ext cx="374045" cy="361160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26" name="Elipse 24">
            <a:extLst>
              <a:ext uri="{FF2B5EF4-FFF2-40B4-BE49-F238E27FC236}">
                <a16:creationId xmlns:a16="http://schemas.microsoft.com/office/drawing/2014/main" id="{CF8A47DC-5BF6-594C-99F5-E28BF63D4D7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7" name="Agrupar 50">
            <a:extLst>
              <a:ext uri="{FF2B5EF4-FFF2-40B4-BE49-F238E27FC236}">
                <a16:creationId xmlns:a16="http://schemas.microsoft.com/office/drawing/2014/main" id="{BEE458AA-8FB0-5642-955E-937ABD7932DF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9" name="Arco 25">
              <a:extLst>
                <a:ext uri="{FF2B5EF4-FFF2-40B4-BE49-F238E27FC236}">
                  <a16:creationId xmlns:a16="http://schemas.microsoft.com/office/drawing/2014/main" id="{FDBC8BCB-E9EF-C64D-8D3B-CAE1A3B2876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0" name="Arco 26">
              <a:extLst>
                <a:ext uri="{FF2B5EF4-FFF2-40B4-BE49-F238E27FC236}">
                  <a16:creationId xmlns:a16="http://schemas.microsoft.com/office/drawing/2014/main" id="{0B0483F9-7FD2-E148-988F-A00A43A60D2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50748</xdr:colOff>
      <xdr:row>17</xdr:row>
      <xdr:rowOff>64305</xdr:rowOff>
    </xdr:from>
    <xdr:to>
      <xdr:col>26</xdr:col>
      <xdr:colOff>472925</xdr:colOff>
      <xdr:row>19</xdr:row>
      <xdr:rowOff>46570</xdr:rowOff>
    </xdr:to>
    <xdr:grpSp>
      <xdr:nvGrpSpPr>
        <xdr:cNvPr id="31" name="Agrupar 51">
          <a:extLst>
            <a:ext uri="{FF2B5EF4-FFF2-40B4-BE49-F238E27FC236}">
              <a16:creationId xmlns:a16="http://schemas.microsoft.com/office/drawing/2014/main" id="{9D5979D2-15E1-B046-812C-B339C0394BD2}"/>
            </a:ext>
          </a:extLst>
        </xdr:cNvPr>
        <xdr:cNvGrpSpPr/>
      </xdr:nvGrpSpPr>
      <xdr:grpSpPr>
        <a:xfrm>
          <a:off x="13246048" y="3379005"/>
          <a:ext cx="422177" cy="363265"/>
          <a:chOff x="513989" y="2399805"/>
          <a:chExt cx="713232" cy="713205"/>
        </a:xfrm>
      </xdr:grpSpPr>
      <xdr:sp macro="" textlink="">
        <xdr:nvSpPr>
          <xdr:cNvPr id="33" name="Elipse 24">
            <a:extLst>
              <a:ext uri="{FF2B5EF4-FFF2-40B4-BE49-F238E27FC236}">
                <a16:creationId xmlns:a16="http://schemas.microsoft.com/office/drawing/2014/main" id="{A9D20259-347D-A049-86F3-FA87D765701F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4" name="Agrupar 50">
            <a:extLst>
              <a:ext uri="{FF2B5EF4-FFF2-40B4-BE49-F238E27FC236}">
                <a16:creationId xmlns:a16="http://schemas.microsoft.com/office/drawing/2014/main" id="{F1CABBC6-FAE8-EC4D-AECA-0A3AE9A1C91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35" name="Arco 25">
              <a:extLst>
                <a:ext uri="{FF2B5EF4-FFF2-40B4-BE49-F238E27FC236}">
                  <a16:creationId xmlns:a16="http://schemas.microsoft.com/office/drawing/2014/main" id="{18004015-65ED-4A47-B8CD-6355E5C5EB1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6" name="Arco 26">
              <a:extLst>
                <a:ext uri="{FF2B5EF4-FFF2-40B4-BE49-F238E27FC236}">
                  <a16:creationId xmlns:a16="http://schemas.microsoft.com/office/drawing/2014/main" id="{4F954D13-CB9A-6646-9C9C-A042F3215E30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679450</xdr:colOff>
      <xdr:row>18</xdr:row>
      <xdr:rowOff>90527</xdr:rowOff>
    </xdr:from>
    <xdr:to>
      <xdr:col>25</xdr:col>
      <xdr:colOff>250094</xdr:colOff>
      <xdr:row>23</xdr:row>
      <xdr:rowOff>139700</xdr:rowOff>
    </xdr:to>
    <xdr:cxnSp macro="">
      <xdr:nvCxnSpPr>
        <xdr:cNvPr id="38" name="Conector recto de flecha 21">
          <a:extLst>
            <a:ext uri="{FF2B5EF4-FFF2-40B4-BE49-F238E27FC236}">
              <a16:creationId xmlns:a16="http://schemas.microsoft.com/office/drawing/2014/main" id="{7A61CA5A-766E-404F-80BC-69B012839F77}"/>
            </a:ext>
          </a:extLst>
        </xdr:cNvPr>
        <xdr:cNvCxnSpPr>
          <a:stCxn id="5" idx="1"/>
        </xdr:cNvCxnSpPr>
      </xdr:nvCxnSpPr>
      <xdr:spPr>
        <a:xfrm flipH="1">
          <a:off x="12515850" y="3595727"/>
          <a:ext cx="446944" cy="92547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134937</xdr:colOff>
      <xdr:row>14</xdr:row>
      <xdr:rowOff>182940</xdr:rowOff>
    </xdr:from>
    <xdr:to>
      <xdr:col>24</xdr:col>
      <xdr:colOff>713997</xdr:colOff>
      <xdr:row>16</xdr:row>
      <xdr:rowOff>159127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670112B-D36A-4C4B-B723-3A675F69698D}"/>
            </a:ext>
          </a:extLst>
        </xdr:cNvPr>
        <xdr:cNvSpPr txBox="1"/>
      </xdr:nvSpPr>
      <xdr:spPr>
        <a:xfrm>
          <a:off x="11964080" y="2910416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25</xdr:col>
      <xdr:colOff>256191</xdr:colOff>
      <xdr:row>20</xdr:row>
      <xdr:rowOff>105833</xdr:rowOff>
    </xdr:from>
    <xdr:to>
      <xdr:col>26</xdr:col>
      <xdr:colOff>351442</xdr:colOff>
      <xdr:row>23</xdr:row>
      <xdr:rowOff>27591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D4CD922-A866-3E4F-9D66-96312279F80E}"/>
            </a:ext>
          </a:extLst>
        </xdr:cNvPr>
        <xdr:cNvSpPr txBox="1"/>
      </xdr:nvSpPr>
      <xdr:spPr>
        <a:xfrm>
          <a:off x="12968891" y="3992033"/>
          <a:ext cx="577851" cy="417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167593</xdr:colOff>
      <xdr:row>21</xdr:row>
      <xdr:rowOff>100692</xdr:rowOff>
    </xdr:from>
    <xdr:to>
      <xdr:col>22</xdr:col>
      <xdr:colOff>746653</xdr:colOff>
      <xdr:row>24</xdr:row>
      <xdr:rowOff>22451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68A4E9E-80C9-AA46-9E14-9CB2D5190E63}"/>
            </a:ext>
          </a:extLst>
        </xdr:cNvPr>
        <xdr:cNvSpPr txBox="1"/>
      </xdr:nvSpPr>
      <xdr:spPr>
        <a:xfrm>
          <a:off x="10763022" y="4225168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168802</xdr:colOff>
      <xdr:row>18</xdr:row>
      <xdr:rowOff>156330</xdr:rowOff>
    </xdr:from>
    <xdr:to>
      <xdr:col>22</xdr:col>
      <xdr:colOff>747862</xdr:colOff>
      <xdr:row>21</xdr:row>
      <xdr:rowOff>17613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80C2DB-4B23-C946-8D54-0F0A6399FCD5}"/>
            </a:ext>
          </a:extLst>
        </xdr:cNvPr>
        <xdr:cNvSpPr txBox="1"/>
      </xdr:nvSpPr>
      <xdr:spPr>
        <a:xfrm>
          <a:off x="10764231" y="3730473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163964</xdr:colOff>
      <xdr:row>19</xdr:row>
      <xdr:rowOff>127301</xdr:rowOff>
    </xdr:from>
    <xdr:to>
      <xdr:col>22</xdr:col>
      <xdr:colOff>743024</xdr:colOff>
      <xdr:row>22</xdr:row>
      <xdr:rowOff>18822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8E3C3F6-059D-C044-A24C-010D42EAA87A}"/>
            </a:ext>
          </a:extLst>
        </xdr:cNvPr>
        <xdr:cNvSpPr txBox="1"/>
      </xdr:nvSpPr>
      <xdr:spPr>
        <a:xfrm>
          <a:off x="10759393" y="3894968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481370</xdr:colOff>
      <xdr:row>16</xdr:row>
      <xdr:rowOff>148786</xdr:rowOff>
    </xdr:from>
    <xdr:to>
      <xdr:col>27</xdr:col>
      <xdr:colOff>485906</xdr:colOff>
      <xdr:row>19</xdr:row>
      <xdr:rowOff>6122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A4D0983-FDB8-0648-AB43-002FAA70F54F}"/>
            </a:ext>
          </a:extLst>
        </xdr:cNvPr>
        <xdr:cNvSpPr txBox="1"/>
      </xdr:nvSpPr>
      <xdr:spPr>
        <a:xfrm>
          <a:off x="13676670" y="3272986"/>
          <a:ext cx="576036" cy="42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497793</xdr:colOff>
      <xdr:row>17</xdr:row>
      <xdr:rowOff>146654</xdr:rowOff>
    </xdr:from>
    <xdr:to>
      <xdr:col>27</xdr:col>
      <xdr:colOff>502329</xdr:colOff>
      <xdr:row>19</xdr:row>
      <xdr:rowOff>171222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2F2ED5B-A564-6743-92D5-A5B0BB4433DB}"/>
            </a:ext>
          </a:extLst>
        </xdr:cNvPr>
        <xdr:cNvSpPr txBox="1"/>
      </xdr:nvSpPr>
      <xdr:spPr>
        <a:xfrm>
          <a:off x="13687650" y="3527273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739697</xdr:colOff>
      <xdr:row>24</xdr:row>
      <xdr:rowOff>92226</xdr:rowOff>
    </xdr:from>
    <xdr:to>
      <xdr:col>25</xdr:col>
      <xdr:colOff>441852</xdr:colOff>
      <xdr:row>27</xdr:row>
      <xdr:rowOff>13985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F73BBCF-101A-2C47-8791-8293A3A6DBA6}"/>
            </a:ext>
          </a:extLst>
        </xdr:cNvPr>
        <xdr:cNvSpPr txBox="1"/>
      </xdr:nvSpPr>
      <xdr:spPr>
        <a:xfrm>
          <a:off x="12568840" y="4706559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715204</xdr:colOff>
      <xdr:row>25</xdr:row>
      <xdr:rowOff>109310</xdr:rowOff>
    </xdr:from>
    <xdr:to>
      <xdr:col>25</xdr:col>
      <xdr:colOff>417738</xdr:colOff>
      <xdr:row>28</xdr:row>
      <xdr:rowOff>31069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1E972AE-798B-F64D-BF7C-585BDE5872FD}"/>
            </a:ext>
          </a:extLst>
        </xdr:cNvPr>
        <xdr:cNvSpPr txBox="1"/>
      </xdr:nvSpPr>
      <xdr:spPr>
        <a:xfrm>
          <a:off x="12557954" y="4816248"/>
          <a:ext cx="575659" cy="421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208717</xdr:colOff>
      <xdr:row>15</xdr:row>
      <xdr:rowOff>172055</xdr:rowOff>
    </xdr:from>
    <xdr:to>
      <xdr:col>24</xdr:col>
      <xdr:colOff>507998</xdr:colOff>
      <xdr:row>17</xdr:row>
      <xdr:rowOff>148242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9B1243B-043B-4143-BC16-57CB30CA35A3}"/>
            </a:ext>
          </a:extLst>
        </xdr:cNvPr>
        <xdr:cNvSpPr txBox="1"/>
      </xdr:nvSpPr>
      <xdr:spPr>
        <a:xfrm>
          <a:off x="11681050" y="3117245"/>
          <a:ext cx="656091" cy="320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699784</xdr:colOff>
      <xdr:row>15</xdr:row>
      <xdr:rowOff>179312</xdr:rowOff>
    </xdr:from>
    <xdr:to>
      <xdr:col>25</xdr:col>
      <xdr:colOff>478970</xdr:colOff>
      <xdr:row>17</xdr:row>
      <xdr:rowOff>155499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9D85523-504A-F44A-AA7B-270F0E3CE161}"/>
            </a:ext>
          </a:extLst>
        </xdr:cNvPr>
        <xdr:cNvSpPr txBox="1"/>
      </xdr:nvSpPr>
      <xdr:spPr>
        <a:xfrm>
          <a:off x="12528927" y="3124502"/>
          <a:ext cx="656091" cy="320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154591</xdr:colOff>
      <xdr:row>23</xdr:row>
      <xdr:rowOff>95552</xdr:rowOff>
    </xdr:from>
    <xdr:to>
      <xdr:col>22</xdr:col>
      <xdr:colOff>808868</xdr:colOff>
      <xdr:row>26</xdr:row>
      <xdr:rowOff>17311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909D3F5-904B-AF4D-B1C4-C6BCFBCBF389}"/>
            </a:ext>
          </a:extLst>
        </xdr:cNvPr>
        <xdr:cNvSpPr txBox="1"/>
      </xdr:nvSpPr>
      <xdr:spPr>
        <a:xfrm>
          <a:off x="10759091" y="4477052"/>
          <a:ext cx="654277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  <xdr:twoCellAnchor editAs="oneCell">
    <xdr:from>
      <xdr:col>11</xdr:col>
      <xdr:colOff>113770</xdr:colOff>
      <xdr:row>10</xdr:row>
      <xdr:rowOff>30237</xdr:rowOff>
    </xdr:from>
    <xdr:to>
      <xdr:col>17</xdr:col>
      <xdr:colOff>227056</xdr:colOff>
      <xdr:row>33</xdr:row>
      <xdr:rowOff>12096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B540C6-91F0-784C-B4E3-FF718872B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6958" y="1895550"/>
          <a:ext cx="2613598" cy="4141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222250</xdr:colOff>
      <xdr:row>17</xdr:row>
      <xdr:rowOff>100296</xdr:rowOff>
    </xdr:from>
    <xdr:to>
      <xdr:col>25</xdr:col>
      <xdr:colOff>295032</xdr:colOff>
      <xdr:row>19</xdr:row>
      <xdr:rowOff>107950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9F6877C2-BEA0-7B4E-B8B2-BCFE19AD0E56}"/>
            </a:ext>
          </a:extLst>
        </xdr:cNvPr>
        <xdr:cNvSpPr/>
      </xdr:nvSpPr>
      <xdr:spPr>
        <a:xfrm>
          <a:off x="13125450" y="3414996"/>
          <a:ext cx="72782" cy="388654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3" name="Rectángulo 6">
          <a:extLst>
            <a:ext uri="{FF2B5EF4-FFF2-40B4-BE49-F238E27FC236}">
              <a16:creationId xmlns:a16="http://schemas.microsoft.com/office/drawing/2014/main" id="{929CF7AD-4F57-9E4F-A233-F112A838D7C0}"/>
            </a:ext>
          </a:extLst>
        </xdr:cNvPr>
        <xdr:cNvSpPr/>
      </xdr:nvSpPr>
      <xdr:spPr>
        <a:xfrm>
          <a:off x="11833469" y="3418255"/>
          <a:ext cx="7815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57149</xdr:colOff>
      <xdr:row>18</xdr:row>
      <xdr:rowOff>83657</xdr:rowOff>
    </xdr:from>
    <xdr:to>
      <xdr:col>25</xdr:col>
      <xdr:colOff>222250</xdr:colOff>
      <xdr:row>18</xdr:row>
      <xdr:rowOff>104123</xdr:rowOff>
    </xdr:to>
    <xdr:cxnSp macro="">
      <xdr:nvCxnSpPr>
        <xdr:cNvPr id="4" name="Conector recto de flecha 9">
          <a:extLst>
            <a:ext uri="{FF2B5EF4-FFF2-40B4-BE49-F238E27FC236}">
              <a16:creationId xmlns:a16="http://schemas.microsoft.com/office/drawing/2014/main" id="{0796C74B-4D76-BF40-BCE9-2F39AB1B3B79}"/>
            </a:ext>
          </a:extLst>
        </xdr:cNvPr>
        <xdr:cNvCxnSpPr>
          <a:stCxn id="2" idx="1"/>
          <a:endCxn id="12" idx="1"/>
        </xdr:cNvCxnSpPr>
      </xdr:nvCxnSpPr>
      <xdr:spPr>
        <a:xfrm flipH="1" flipV="1">
          <a:off x="11817349" y="3588857"/>
          <a:ext cx="1308101" cy="2046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343062</xdr:colOff>
      <xdr:row>23</xdr:row>
      <xdr:rowOff>158754</xdr:rowOff>
    </xdr:from>
    <xdr:to>
      <xdr:col>24</xdr:col>
      <xdr:colOff>908050</xdr:colOff>
      <xdr:row>24</xdr:row>
      <xdr:rowOff>39373</xdr:rowOff>
    </xdr:to>
    <xdr:sp macro="" textlink="">
      <xdr:nvSpPr>
        <xdr:cNvPr id="5" name="Rectángulo 20">
          <a:extLst>
            <a:ext uri="{FF2B5EF4-FFF2-40B4-BE49-F238E27FC236}">
              <a16:creationId xmlns:a16="http://schemas.microsoft.com/office/drawing/2014/main" id="{CF8C6B43-5832-C446-BE54-557DC4902A3C}"/>
            </a:ext>
          </a:extLst>
        </xdr:cNvPr>
        <xdr:cNvSpPr/>
      </xdr:nvSpPr>
      <xdr:spPr>
        <a:xfrm rot="5400000">
          <a:off x="12362896" y="4280620"/>
          <a:ext cx="45719" cy="56498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57149</xdr:colOff>
      <xdr:row>18</xdr:row>
      <xdr:rowOff>83657</xdr:rowOff>
    </xdr:from>
    <xdr:to>
      <xdr:col>24</xdr:col>
      <xdr:colOff>625556</xdr:colOff>
      <xdr:row>23</xdr:row>
      <xdr:rowOff>158755</xdr:rowOff>
    </xdr:to>
    <xdr:cxnSp macro="">
      <xdr:nvCxnSpPr>
        <xdr:cNvPr id="6" name="Conector recto de flecha 21">
          <a:extLst>
            <a:ext uri="{FF2B5EF4-FFF2-40B4-BE49-F238E27FC236}">
              <a16:creationId xmlns:a16="http://schemas.microsoft.com/office/drawing/2014/main" id="{B6CEB11D-0C52-054A-AC4B-2F46645D1695}"/>
            </a:ext>
          </a:extLst>
        </xdr:cNvPr>
        <xdr:cNvCxnSpPr>
          <a:stCxn id="12" idx="1"/>
          <a:endCxn id="5" idx="1"/>
        </xdr:cNvCxnSpPr>
      </xdr:nvCxnSpPr>
      <xdr:spPr>
        <a:xfrm>
          <a:off x="11817349" y="3588857"/>
          <a:ext cx="568407" cy="95139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620805</xdr:colOff>
      <xdr:row>23</xdr:row>
      <xdr:rowOff>158466</xdr:rowOff>
    </xdr:from>
    <xdr:to>
      <xdr:col>24</xdr:col>
      <xdr:colOff>622959</xdr:colOff>
      <xdr:row>26</xdr:row>
      <xdr:rowOff>140820</xdr:rowOff>
    </xdr:to>
    <xdr:cxnSp macro="">
      <xdr:nvCxnSpPr>
        <xdr:cNvPr id="7" name="Conector recto de flecha 10">
          <a:extLst>
            <a:ext uri="{FF2B5EF4-FFF2-40B4-BE49-F238E27FC236}">
              <a16:creationId xmlns:a16="http://schemas.microsoft.com/office/drawing/2014/main" id="{A4A5CADD-4814-7745-B10A-7306409F1394}"/>
            </a:ext>
          </a:extLst>
        </xdr:cNvPr>
        <xdr:cNvCxnSpPr/>
      </xdr:nvCxnSpPr>
      <xdr:spPr>
        <a:xfrm flipH="1">
          <a:off x="12381005" y="4539966"/>
          <a:ext cx="2154" cy="47765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8" name="Conector recto de flecha 27">
          <a:extLst>
            <a:ext uri="{FF2B5EF4-FFF2-40B4-BE49-F238E27FC236}">
              <a16:creationId xmlns:a16="http://schemas.microsoft.com/office/drawing/2014/main" id="{E10D3240-C03D-6A40-91A1-825F66E915CD}"/>
            </a:ext>
          </a:extLst>
        </xdr:cNvPr>
        <xdr:cNvCxnSpPr>
          <a:cxnSpLocks/>
          <a:endCxn id="3" idx="1"/>
        </xdr:cNvCxnSpPr>
      </xdr:nvCxnSpPr>
      <xdr:spPr>
        <a:xfrm>
          <a:off x="11396304" y="3434804"/>
          <a:ext cx="437165" cy="1641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93538</xdr:rowOff>
    </xdr:from>
    <xdr:to>
      <xdr:col>26</xdr:col>
      <xdr:colOff>25348</xdr:colOff>
      <xdr:row>18</xdr:row>
      <xdr:rowOff>104123</xdr:rowOff>
    </xdr:to>
    <xdr:cxnSp macro="">
      <xdr:nvCxnSpPr>
        <xdr:cNvPr id="9" name="Conector recto de flecha 31">
          <a:extLst>
            <a:ext uri="{FF2B5EF4-FFF2-40B4-BE49-F238E27FC236}">
              <a16:creationId xmlns:a16="http://schemas.microsoft.com/office/drawing/2014/main" id="{B94A77C4-4107-4C4C-BA4E-6B41AAEA6D1B}"/>
            </a:ext>
          </a:extLst>
        </xdr:cNvPr>
        <xdr:cNvCxnSpPr>
          <a:cxnSpLocks/>
          <a:stCxn id="19" idx="2"/>
          <a:endCxn id="2" idx="3"/>
        </xdr:cNvCxnSpPr>
      </xdr:nvCxnSpPr>
      <xdr:spPr>
        <a:xfrm flipH="1">
          <a:off x="13198232" y="3598738"/>
          <a:ext cx="212916" cy="105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2CF9A1-86EE-B142-AF32-59EDE2161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6015" cy="929983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CD5F7F-726B-F94E-B394-11063210CEA3}"/>
            </a:ext>
          </a:extLst>
        </xdr:cNvPr>
        <xdr:cNvCxnSpPr/>
      </xdr:nvCxnSpPr>
      <xdr:spPr>
        <a:xfrm flipV="1">
          <a:off x="7350125" y="7054850"/>
          <a:ext cx="696913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274858</xdr:colOff>
      <xdr:row>17</xdr:row>
      <xdr:rowOff>95250</xdr:rowOff>
    </xdr:from>
    <xdr:to>
      <xdr:col>24</xdr:col>
      <xdr:colOff>57149</xdr:colOff>
      <xdr:row>19</xdr:row>
      <xdr:rowOff>72064</xdr:rowOff>
    </xdr:to>
    <xdr:sp macro="" textlink="">
      <xdr:nvSpPr>
        <xdr:cNvPr id="12" name="Rectángulo 6">
          <a:extLst>
            <a:ext uri="{FF2B5EF4-FFF2-40B4-BE49-F238E27FC236}">
              <a16:creationId xmlns:a16="http://schemas.microsoft.com/office/drawing/2014/main" id="{C3346943-9DC7-6349-BBBC-E51EA7DA9064}"/>
            </a:ext>
          </a:extLst>
        </xdr:cNvPr>
        <xdr:cNvSpPr/>
      </xdr:nvSpPr>
      <xdr:spPr>
        <a:xfrm flipH="1">
          <a:off x="11755658" y="3409950"/>
          <a:ext cx="61691" cy="357814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368905</xdr:colOff>
      <xdr:row>16</xdr:row>
      <xdr:rowOff>36285</xdr:rowOff>
    </xdr:from>
    <xdr:to>
      <xdr:col>22</xdr:col>
      <xdr:colOff>831089</xdr:colOff>
      <xdr:row>18</xdr:row>
      <xdr:rowOff>75410</xdr:rowOff>
    </xdr:to>
    <xdr:grpSp>
      <xdr:nvGrpSpPr>
        <xdr:cNvPr id="13" name="Agrupar 51">
          <a:extLst>
            <a:ext uri="{FF2B5EF4-FFF2-40B4-BE49-F238E27FC236}">
              <a16:creationId xmlns:a16="http://schemas.microsoft.com/office/drawing/2014/main" id="{BC828378-54B0-F04E-9A23-38E054203636}"/>
            </a:ext>
          </a:extLst>
        </xdr:cNvPr>
        <xdr:cNvGrpSpPr/>
      </xdr:nvGrpSpPr>
      <xdr:grpSpPr>
        <a:xfrm>
          <a:off x="10973405" y="3160485"/>
          <a:ext cx="462184" cy="42012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14" name="Elipse 24">
            <a:extLst>
              <a:ext uri="{FF2B5EF4-FFF2-40B4-BE49-F238E27FC236}">
                <a16:creationId xmlns:a16="http://schemas.microsoft.com/office/drawing/2014/main" id="{EC0DBC91-CAF7-4F48-9D31-8624693F361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15" name="Agrupar 50">
            <a:extLst>
              <a:ext uri="{FF2B5EF4-FFF2-40B4-BE49-F238E27FC236}">
                <a16:creationId xmlns:a16="http://schemas.microsoft.com/office/drawing/2014/main" id="{92BA5040-4B57-2D44-BF5A-DBBFEFBC42D3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16" name="Arco 25">
              <a:extLst>
                <a:ext uri="{FF2B5EF4-FFF2-40B4-BE49-F238E27FC236}">
                  <a16:creationId xmlns:a16="http://schemas.microsoft.com/office/drawing/2014/main" id="{013E87DC-6347-2F46-B94E-F0395889A1A4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17" name="Arco 26">
              <a:extLst>
                <a:ext uri="{FF2B5EF4-FFF2-40B4-BE49-F238E27FC236}">
                  <a16:creationId xmlns:a16="http://schemas.microsoft.com/office/drawing/2014/main" id="{99A8C034-D8DD-2049-8C54-15FFA773A5C5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25348</xdr:colOff>
      <xdr:row>17</xdr:row>
      <xdr:rowOff>102405</xdr:rowOff>
    </xdr:from>
    <xdr:to>
      <xdr:col>26</xdr:col>
      <xdr:colOff>447525</xdr:colOff>
      <xdr:row>19</xdr:row>
      <xdr:rowOff>84670</xdr:rowOff>
    </xdr:to>
    <xdr:grpSp>
      <xdr:nvGrpSpPr>
        <xdr:cNvPr id="18" name="Agrupar 51">
          <a:extLst>
            <a:ext uri="{FF2B5EF4-FFF2-40B4-BE49-F238E27FC236}">
              <a16:creationId xmlns:a16="http://schemas.microsoft.com/office/drawing/2014/main" id="{FB4B84BE-405B-0047-8F74-1DEB1BC4139A}"/>
            </a:ext>
          </a:extLst>
        </xdr:cNvPr>
        <xdr:cNvGrpSpPr/>
      </xdr:nvGrpSpPr>
      <xdr:grpSpPr>
        <a:xfrm>
          <a:off x="13411148" y="3417105"/>
          <a:ext cx="422177" cy="363265"/>
          <a:chOff x="513989" y="2399805"/>
          <a:chExt cx="713232" cy="713205"/>
        </a:xfrm>
      </xdr:grpSpPr>
      <xdr:sp macro="" textlink="">
        <xdr:nvSpPr>
          <xdr:cNvPr id="19" name="Elipse 24">
            <a:extLst>
              <a:ext uri="{FF2B5EF4-FFF2-40B4-BE49-F238E27FC236}">
                <a16:creationId xmlns:a16="http://schemas.microsoft.com/office/drawing/2014/main" id="{05D529B7-98C8-444A-B892-5F5D0B8FF6B6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0" name="Agrupar 50">
            <a:extLst>
              <a:ext uri="{FF2B5EF4-FFF2-40B4-BE49-F238E27FC236}">
                <a16:creationId xmlns:a16="http://schemas.microsoft.com/office/drawing/2014/main" id="{B967B148-2E69-CF4A-82A8-CB409C8F21B9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21" name="Arco 25">
              <a:extLst>
                <a:ext uri="{FF2B5EF4-FFF2-40B4-BE49-F238E27FC236}">
                  <a16:creationId xmlns:a16="http://schemas.microsoft.com/office/drawing/2014/main" id="{E667EBE2-C774-9F44-9AE9-07FAA53AB8BB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2" name="Arco 26">
              <a:extLst>
                <a:ext uri="{FF2B5EF4-FFF2-40B4-BE49-F238E27FC236}">
                  <a16:creationId xmlns:a16="http://schemas.microsoft.com/office/drawing/2014/main" id="{7F895BBB-0C58-A94C-9809-FA1934C426AA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298738</xdr:colOff>
      <xdr:row>14</xdr:row>
      <xdr:rowOff>184384</xdr:rowOff>
    </xdr:from>
    <xdr:to>
      <xdr:col>24</xdr:col>
      <xdr:colOff>877798</xdr:colOff>
      <xdr:row>16</xdr:row>
      <xdr:rowOff>188712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999CF70-426F-E14F-9928-C048D2793978}"/>
            </a:ext>
          </a:extLst>
        </xdr:cNvPr>
        <xdr:cNvSpPr txBox="1"/>
      </xdr:nvSpPr>
      <xdr:spPr>
        <a:xfrm>
          <a:off x="12212926" y="2867259"/>
          <a:ext cx="579060" cy="432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176995</xdr:colOff>
      <xdr:row>21</xdr:row>
      <xdr:rowOff>88514</xdr:rowOff>
    </xdr:from>
    <xdr:to>
      <xdr:col>22</xdr:col>
      <xdr:colOff>804546</xdr:colOff>
      <xdr:row>24</xdr:row>
      <xdr:rowOff>10273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C1D008-5DDE-4948-BD2A-9B6A26D24C75}"/>
            </a:ext>
          </a:extLst>
        </xdr:cNvPr>
        <xdr:cNvSpPr txBox="1"/>
      </xdr:nvSpPr>
      <xdr:spPr>
        <a:xfrm>
          <a:off x="10781495" y="4139814"/>
          <a:ext cx="627551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140515</xdr:colOff>
      <xdr:row>18</xdr:row>
      <xdr:rowOff>149980</xdr:rowOff>
    </xdr:from>
    <xdr:to>
      <xdr:col>22</xdr:col>
      <xdr:colOff>719575</xdr:colOff>
      <xdr:row>21</xdr:row>
      <xdr:rowOff>11263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EF17551-C1BE-5A4A-BC54-0C88BC91DED6}"/>
            </a:ext>
          </a:extLst>
        </xdr:cNvPr>
        <xdr:cNvSpPr txBox="1"/>
      </xdr:nvSpPr>
      <xdr:spPr>
        <a:xfrm>
          <a:off x="10745015" y="3655180"/>
          <a:ext cx="579060" cy="40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138564</xdr:colOff>
      <xdr:row>19</xdr:row>
      <xdr:rowOff>120951</xdr:rowOff>
    </xdr:from>
    <xdr:to>
      <xdr:col>22</xdr:col>
      <xdr:colOff>717624</xdr:colOff>
      <xdr:row>22</xdr:row>
      <xdr:rowOff>12472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FC967D2-7985-3944-B9C9-AAABEB5BFC2F}"/>
            </a:ext>
          </a:extLst>
        </xdr:cNvPr>
        <xdr:cNvSpPr txBox="1"/>
      </xdr:nvSpPr>
      <xdr:spPr>
        <a:xfrm>
          <a:off x="10743064" y="3816651"/>
          <a:ext cx="579060" cy="412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637081</xdr:colOff>
      <xdr:row>16</xdr:row>
      <xdr:rowOff>140248</xdr:rowOff>
    </xdr:from>
    <xdr:to>
      <xdr:col>28</xdr:col>
      <xdr:colOff>19317</xdr:colOff>
      <xdr:row>19</xdr:row>
      <xdr:rowOff>926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B10AC46-E334-0F45-9E80-90B94201896F}"/>
            </a:ext>
          </a:extLst>
        </xdr:cNvPr>
        <xdr:cNvSpPr txBox="1"/>
      </xdr:nvSpPr>
      <xdr:spPr>
        <a:xfrm>
          <a:off x="14022881" y="3264448"/>
          <a:ext cx="766536" cy="432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631143</xdr:colOff>
      <xdr:row>17</xdr:row>
      <xdr:rowOff>146654</xdr:rowOff>
    </xdr:from>
    <xdr:to>
      <xdr:col>28</xdr:col>
      <xdr:colOff>13379</xdr:colOff>
      <xdr:row>19</xdr:row>
      <xdr:rowOff>171222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18E05A9-01CC-CC40-AC5E-BB2375932B15}"/>
            </a:ext>
          </a:extLst>
        </xdr:cNvPr>
        <xdr:cNvSpPr txBox="1"/>
      </xdr:nvSpPr>
      <xdr:spPr>
        <a:xfrm>
          <a:off x="14016943" y="3461354"/>
          <a:ext cx="766536" cy="405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954009</xdr:colOff>
      <xdr:row>24</xdr:row>
      <xdr:rowOff>84288</xdr:rowOff>
    </xdr:from>
    <xdr:to>
      <xdr:col>26</xdr:col>
      <xdr:colOff>171977</xdr:colOff>
      <xdr:row>27</xdr:row>
      <xdr:rowOff>6047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D47DD3E-7845-2647-BBD1-E875FAC73CAE}"/>
            </a:ext>
          </a:extLst>
        </xdr:cNvPr>
        <xdr:cNvSpPr txBox="1"/>
      </xdr:nvSpPr>
      <xdr:spPr>
        <a:xfrm>
          <a:off x="12868197" y="4624538"/>
          <a:ext cx="845155" cy="421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1024766</xdr:colOff>
      <xdr:row>25</xdr:row>
      <xdr:rowOff>109310</xdr:rowOff>
    </xdr:from>
    <xdr:to>
      <xdr:col>26</xdr:col>
      <xdr:colOff>243112</xdr:colOff>
      <xdr:row>28</xdr:row>
      <xdr:rowOff>31069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B985398-31DE-E74B-AE85-0CC26AC4628F}"/>
            </a:ext>
          </a:extLst>
        </xdr:cNvPr>
        <xdr:cNvSpPr txBox="1"/>
      </xdr:nvSpPr>
      <xdr:spPr>
        <a:xfrm>
          <a:off x="12938954" y="4816248"/>
          <a:ext cx="845533" cy="421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138867</xdr:colOff>
      <xdr:row>16</xdr:row>
      <xdr:rowOff>45055</xdr:rowOff>
    </xdr:from>
    <xdr:to>
      <xdr:col>24</xdr:col>
      <xdr:colOff>596900</xdr:colOff>
      <xdr:row>18</xdr:row>
      <xdr:rowOff>31750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10AE5F-8508-B74D-94E3-CAE9C0C1D83A}"/>
            </a:ext>
          </a:extLst>
        </xdr:cNvPr>
        <xdr:cNvSpPr txBox="1"/>
      </xdr:nvSpPr>
      <xdr:spPr>
        <a:xfrm>
          <a:off x="11619667" y="3169255"/>
          <a:ext cx="737433" cy="367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1074434</xdr:colOff>
      <xdr:row>16</xdr:row>
      <xdr:rowOff>39612</xdr:rowOff>
    </xdr:from>
    <xdr:to>
      <xdr:col>26</xdr:col>
      <xdr:colOff>371020</xdr:colOff>
      <xdr:row>18</xdr:row>
      <xdr:rowOff>41199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3524315-F314-C84C-B219-F85B89ABE048}"/>
            </a:ext>
          </a:extLst>
        </xdr:cNvPr>
        <xdr:cNvSpPr txBox="1"/>
      </xdr:nvSpPr>
      <xdr:spPr>
        <a:xfrm>
          <a:off x="12834634" y="3163812"/>
          <a:ext cx="922186" cy="382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268603</xdr:colOff>
      <xdr:row>23</xdr:row>
      <xdr:rowOff>80688</xdr:rowOff>
    </xdr:from>
    <xdr:to>
      <xdr:col>22</xdr:col>
      <xdr:colOff>837733</xdr:colOff>
      <xdr:row>26</xdr:row>
      <xdr:rowOff>282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AE66D00-C76C-4549-BE60-5BBE22FBB901}"/>
            </a:ext>
          </a:extLst>
        </xdr:cNvPr>
        <xdr:cNvSpPr txBox="1"/>
      </xdr:nvSpPr>
      <xdr:spPr>
        <a:xfrm>
          <a:off x="10873103" y="4462188"/>
          <a:ext cx="569130" cy="414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250094</xdr:colOff>
      <xdr:row>17</xdr:row>
      <xdr:rowOff>100296</xdr:rowOff>
    </xdr:from>
    <xdr:to>
      <xdr:col>25</xdr:col>
      <xdr:colOff>295032</xdr:colOff>
      <xdr:row>19</xdr:row>
      <xdr:rowOff>80757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7D4C039D-F1A6-487A-BA4E-4EB4EC6AF154}"/>
            </a:ext>
          </a:extLst>
        </xdr:cNvPr>
        <xdr:cNvSpPr/>
      </xdr:nvSpPr>
      <xdr:spPr>
        <a:xfrm>
          <a:off x="11537219" y="34911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3" name="Rectángulo 6">
          <a:extLst>
            <a:ext uri="{FF2B5EF4-FFF2-40B4-BE49-F238E27FC236}">
              <a16:creationId xmlns:a16="http://schemas.microsoft.com/office/drawing/2014/main" id="{5FBDB237-909E-4075-B8D4-6FCA601828AD}"/>
            </a:ext>
          </a:extLst>
        </xdr:cNvPr>
        <xdr:cNvSpPr/>
      </xdr:nvSpPr>
      <xdr:spPr>
        <a:xfrm>
          <a:off x="10290419" y="3494455"/>
          <a:ext cx="0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44450</xdr:colOff>
      <xdr:row>18</xdr:row>
      <xdr:rowOff>81876</xdr:rowOff>
    </xdr:from>
    <xdr:to>
      <xdr:col>25</xdr:col>
      <xdr:colOff>250094</xdr:colOff>
      <xdr:row>18</xdr:row>
      <xdr:rowOff>90527</xdr:rowOff>
    </xdr:to>
    <xdr:cxnSp macro="">
      <xdr:nvCxnSpPr>
        <xdr:cNvPr id="4" name="Conector recto de flecha 9">
          <a:extLst>
            <a:ext uri="{FF2B5EF4-FFF2-40B4-BE49-F238E27FC236}">
              <a16:creationId xmlns:a16="http://schemas.microsoft.com/office/drawing/2014/main" id="{579322AB-88D1-4653-8A1A-06B58FFB66B1}"/>
            </a:ext>
          </a:extLst>
        </xdr:cNvPr>
        <xdr:cNvCxnSpPr>
          <a:stCxn id="2" idx="1"/>
          <a:endCxn id="12" idx="1"/>
        </xdr:cNvCxnSpPr>
      </xdr:nvCxnSpPr>
      <xdr:spPr>
        <a:xfrm flipH="1" flipV="1">
          <a:off x="11804650" y="3587076"/>
          <a:ext cx="1348644" cy="865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330362</xdr:colOff>
      <xdr:row>23</xdr:row>
      <xdr:rowOff>82551</xdr:rowOff>
    </xdr:from>
    <xdr:to>
      <xdr:col>24</xdr:col>
      <xdr:colOff>914400</xdr:colOff>
      <xdr:row>23</xdr:row>
      <xdr:rowOff>152400</xdr:rowOff>
    </xdr:to>
    <xdr:sp macro="" textlink="">
      <xdr:nvSpPr>
        <xdr:cNvPr id="5" name="Rectángulo 20">
          <a:extLst>
            <a:ext uri="{FF2B5EF4-FFF2-40B4-BE49-F238E27FC236}">
              <a16:creationId xmlns:a16="http://schemas.microsoft.com/office/drawing/2014/main" id="{C986069F-1B92-4DF7-BA6E-13EE95F83932}"/>
            </a:ext>
          </a:extLst>
        </xdr:cNvPr>
        <xdr:cNvSpPr/>
      </xdr:nvSpPr>
      <xdr:spPr>
        <a:xfrm rot="5400000">
          <a:off x="12347656" y="4206957"/>
          <a:ext cx="69849" cy="58403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44450</xdr:colOff>
      <xdr:row>18</xdr:row>
      <xdr:rowOff>81876</xdr:rowOff>
    </xdr:from>
    <xdr:to>
      <xdr:col>24</xdr:col>
      <xdr:colOff>622381</xdr:colOff>
      <xdr:row>23</xdr:row>
      <xdr:rowOff>82552</xdr:rowOff>
    </xdr:to>
    <xdr:cxnSp macro="">
      <xdr:nvCxnSpPr>
        <xdr:cNvPr id="6" name="Conector recto de flecha 21">
          <a:extLst>
            <a:ext uri="{FF2B5EF4-FFF2-40B4-BE49-F238E27FC236}">
              <a16:creationId xmlns:a16="http://schemas.microsoft.com/office/drawing/2014/main" id="{BCFF8D48-B309-4FC3-9D54-B29622418366}"/>
            </a:ext>
          </a:extLst>
        </xdr:cNvPr>
        <xdr:cNvCxnSpPr>
          <a:stCxn id="12" idx="1"/>
          <a:endCxn id="5" idx="1"/>
        </xdr:cNvCxnSpPr>
      </xdr:nvCxnSpPr>
      <xdr:spPr>
        <a:xfrm>
          <a:off x="11804650" y="3587076"/>
          <a:ext cx="577931" cy="87697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792255</xdr:colOff>
      <xdr:row>23</xdr:row>
      <xdr:rowOff>145766</xdr:rowOff>
    </xdr:from>
    <xdr:to>
      <xdr:col>24</xdr:col>
      <xdr:colOff>794409</xdr:colOff>
      <xdr:row>26</xdr:row>
      <xdr:rowOff>128120</xdr:rowOff>
    </xdr:to>
    <xdr:cxnSp macro="">
      <xdr:nvCxnSpPr>
        <xdr:cNvPr id="7" name="Conector recto de flecha 10">
          <a:extLst>
            <a:ext uri="{FF2B5EF4-FFF2-40B4-BE49-F238E27FC236}">
              <a16:creationId xmlns:a16="http://schemas.microsoft.com/office/drawing/2014/main" id="{0355269D-9407-425E-A649-ACB38CD3C0E6}"/>
            </a:ext>
          </a:extLst>
        </xdr:cNvPr>
        <xdr:cNvCxnSpPr/>
      </xdr:nvCxnSpPr>
      <xdr:spPr>
        <a:xfrm flipH="1">
          <a:off x="12552455" y="4527266"/>
          <a:ext cx="2154" cy="47765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8" name="Conector recto de flecha 27">
          <a:extLst>
            <a:ext uri="{FF2B5EF4-FFF2-40B4-BE49-F238E27FC236}">
              <a16:creationId xmlns:a16="http://schemas.microsoft.com/office/drawing/2014/main" id="{E29DCC90-553D-43D5-BFE7-F44408C1051A}"/>
            </a:ext>
          </a:extLst>
        </xdr:cNvPr>
        <xdr:cNvCxnSpPr>
          <a:cxnSpLocks/>
          <a:endCxn id="3" idx="1"/>
        </xdr:cNvCxnSpPr>
      </xdr:nvCxnSpPr>
      <xdr:spPr>
        <a:xfrm>
          <a:off x="10040579" y="3511004"/>
          <a:ext cx="246665" cy="1641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90526</xdr:rowOff>
    </xdr:from>
    <xdr:to>
      <xdr:col>26</xdr:col>
      <xdr:colOff>25348</xdr:colOff>
      <xdr:row>18</xdr:row>
      <xdr:rowOff>93537</xdr:rowOff>
    </xdr:to>
    <xdr:cxnSp macro="">
      <xdr:nvCxnSpPr>
        <xdr:cNvPr id="9" name="Conector recto de flecha 31">
          <a:extLst>
            <a:ext uri="{FF2B5EF4-FFF2-40B4-BE49-F238E27FC236}">
              <a16:creationId xmlns:a16="http://schemas.microsoft.com/office/drawing/2014/main" id="{0CF895ED-518D-4B36-BCF5-260ABBF45125}"/>
            </a:ext>
          </a:extLst>
        </xdr:cNvPr>
        <xdr:cNvCxnSpPr>
          <a:cxnSpLocks/>
          <a:stCxn id="19" idx="2"/>
          <a:endCxn id="2" idx="3"/>
        </xdr:cNvCxnSpPr>
      </xdr:nvCxnSpPr>
      <xdr:spPr>
        <a:xfrm flipH="1" flipV="1">
          <a:off x="11582157" y="3671926"/>
          <a:ext cx="149416" cy="301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CE89FAF-ACF9-4EA4-A26A-1CA29B20F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1858840" cy="917283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485DC32-D2D9-484E-B73D-8FD651A78EA6}"/>
            </a:ext>
          </a:extLst>
        </xdr:cNvPr>
        <xdr:cNvCxnSpPr/>
      </xdr:nvCxnSpPr>
      <xdr:spPr>
        <a:xfrm flipV="1">
          <a:off x="6477000" y="7086600"/>
          <a:ext cx="585788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274858</xdr:colOff>
      <xdr:row>17</xdr:row>
      <xdr:rowOff>93901</xdr:rowOff>
    </xdr:from>
    <xdr:to>
      <xdr:col>24</xdr:col>
      <xdr:colOff>44450</xdr:colOff>
      <xdr:row>19</xdr:row>
      <xdr:rowOff>69850</xdr:rowOff>
    </xdr:to>
    <xdr:sp macro="" textlink="">
      <xdr:nvSpPr>
        <xdr:cNvPr id="12" name="Rectángulo 6">
          <a:extLst>
            <a:ext uri="{FF2B5EF4-FFF2-40B4-BE49-F238E27FC236}">
              <a16:creationId xmlns:a16="http://schemas.microsoft.com/office/drawing/2014/main" id="{894FE1C4-2318-4A4D-AD1E-4A9374197E88}"/>
            </a:ext>
          </a:extLst>
        </xdr:cNvPr>
        <xdr:cNvSpPr/>
      </xdr:nvSpPr>
      <xdr:spPr>
        <a:xfrm flipH="1">
          <a:off x="11755658" y="3408601"/>
          <a:ext cx="48992" cy="35694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368905</xdr:colOff>
      <xdr:row>16</xdr:row>
      <xdr:rowOff>36285</xdr:rowOff>
    </xdr:from>
    <xdr:to>
      <xdr:col>23</xdr:col>
      <xdr:colOff>2414</xdr:colOff>
      <xdr:row>18</xdr:row>
      <xdr:rowOff>75410</xdr:rowOff>
    </xdr:to>
    <xdr:grpSp>
      <xdr:nvGrpSpPr>
        <xdr:cNvPr id="13" name="Agrupar 51">
          <a:extLst>
            <a:ext uri="{FF2B5EF4-FFF2-40B4-BE49-F238E27FC236}">
              <a16:creationId xmlns:a16="http://schemas.microsoft.com/office/drawing/2014/main" id="{D0BB90CF-6638-4F04-8482-9D326090D227}"/>
            </a:ext>
          </a:extLst>
        </xdr:cNvPr>
        <xdr:cNvGrpSpPr/>
      </xdr:nvGrpSpPr>
      <xdr:grpSpPr>
        <a:xfrm>
          <a:off x="10973405" y="3160485"/>
          <a:ext cx="509809" cy="42012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14" name="Elipse 24">
            <a:extLst>
              <a:ext uri="{FF2B5EF4-FFF2-40B4-BE49-F238E27FC236}">
                <a16:creationId xmlns:a16="http://schemas.microsoft.com/office/drawing/2014/main" id="{8372DDDF-6226-4AEA-8AA1-2F1E5F0CCA25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15" name="Agrupar 50">
            <a:extLst>
              <a:ext uri="{FF2B5EF4-FFF2-40B4-BE49-F238E27FC236}">
                <a16:creationId xmlns:a16="http://schemas.microsoft.com/office/drawing/2014/main" id="{5971D76C-6C45-40AB-A493-BFA4F78A012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16" name="Arco 25">
              <a:extLst>
                <a:ext uri="{FF2B5EF4-FFF2-40B4-BE49-F238E27FC236}">
                  <a16:creationId xmlns:a16="http://schemas.microsoft.com/office/drawing/2014/main" id="{0C9C93CD-E566-43F8-A9C9-A1287B1579D2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17" name="Arco 26">
              <a:extLst>
                <a:ext uri="{FF2B5EF4-FFF2-40B4-BE49-F238E27FC236}">
                  <a16:creationId xmlns:a16="http://schemas.microsoft.com/office/drawing/2014/main" id="{566A6EA7-EB48-40C4-895D-81D0386509C5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25348</xdr:colOff>
      <xdr:row>17</xdr:row>
      <xdr:rowOff>102405</xdr:rowOff>
    </xdr:from>
    <xdr:to>
      <xdr:col>26</xdr:col>
      <xdr:colOff>447525</xdr:colOff>
      <xdr:row>19</xdr:row>
      <xdr:rowOff>84670</xdr:rowOff>
    </xdr:to>
    <xdr:grpSp>
      <xdr:nvGrpSpPr>
        <xdr:cNvPr id="18" name="Agrupar 51">
          <a:extLst>
            <a:ext uri="{FF2B5EF4-FFF2-40B4-BE49-F238E27FC236}">
              <a16:creationId xmlns:a16="http://schemas.microsoft.com/office/drawing/2014/main" id="{2010AC1C-E6AA-45BC-9B19-427772016DEE}"/>
            </a:ext>
          </a:extLst>
        </xdr:cNvPr>
        <xdr:cNvGrpSpPr/>
      </xdr:nvGrpSpPr>
      <xdr:grpSpPr>
        <a:xfrm>
          <a:off x="13411148" y="3417105"/>
          <a:ext cx="422177" cy="363265"/>
          <a:chOff x="513989" y="2399805"/>
          <a:chExt cx="713232" cy="713205"/>
        </a:xfrm>
      </xdr:grpSpPr>
      <xdr:sp macro="" textlink="">
        <xdr:nvSpPr>
          <xdr:cNvPr id="19" name="Elipse 24">
            <a:extLst>
              <a:ext uri="{FF2B5EF4-FFF2-40B4-BE49-F238E27FC236}">
                <a16:creationId xmlns:a16="http://schemas.microsoft.com/office/drawing/2014/main" id="{6C353BE3-9743-45E4-9682-B798262AABB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0" name="Agrupar 50">
            <a:extLst>
              <a:ext uri="{FF2B5EF4-FFF2-40B4-BE49-F238E27FC236}">
                <a16:creationId xmlns:a16="http://schemas.microsoft.com/office/drawing/2014/main" id="{AF9092B1-C05D-45AE-85AD-D4BC281D08D8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21" name="Arco 25">
              <a:extLst>
                <a:ext uri="{FF2B5EF4-FFF2-40B4-BE49-F238E27FC236}">
                  <a16:creationId xmlns:a16="http://schemas.microsoft.com/office/drawing/2014/main" id="{4203E232-050B-4DE8-89D2-91BC53E7FDC3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2" name="Arco 26">
              <a:extLst>
                <a:ext uri="{FF2B5EF4-FFF2-40B4-BE49-F238E27FC236}">
                  <a16:creationId xmlns:a16="http://schemas.microsoft.com/office/drawing/2014/main" id="{DA99DCD9-D6F9-4BF5-B946-7FD6D894839D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298738</xdr:colOff>
      <xdr:row>14</xdr:row>
      <xdr:rowOff>184384</xdr:rowOff>
    </xdr:from>
    <xdr:to>
      <xdr:col>24</xdr:col>
      <xdr:colOff>877798</xdr:colOff>
      <xdr:row>16</xdr:row>
      <xdr:rowOff>188712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41E4443-041D-4AD3-95F3-B4BB6B51CCFF}"/>
            </a:ext>
          </a:extLst>
        </xdr:cNvPr>
        <xdr:cNvSpPr txBox="1"/>
      </xdr:nvSpPr>
      <xdr:spPr>
        <a:xfrm>
          <a:off x="10585738" y="2908534"/>
          <a:ext cx="579060" cy="480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176995</xdr:colOff>
      <xdr:row>21</xdr:row>
      <xdr:rowOff>101214</xdr:rowOff>
    </xdr:from>
    <xdr:to>
      <xdr:col>22</xdr:col>
      <xdr:colOff>804546</xdr:colOff>
      <xdr:row>24</xdr:row>
      <xdr:rowOff>22973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E8F77DF-04FA-4075-B18E-F62BA55BF766}"/>
            </a:ext>
          </a:extLst>
        </xdr:cNvPr>
        <xdr:cNvSpPr txBox="1"/>
      </xdr:nvSpPr>
      <xdr:spPr>
        <a:xfrm>
          <a:off x="10781495" y="4152514"/>
          <a:ext cx="627551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146865</xdr:colOff>
      <xdr:row>18</xdr:row>
      <xdr:rowOff>149980</xdr:rowOff>
    </xdr:from>
    <xdr:to>
      <xdr:col>22</xdr:col>
      <xdr:colOff>725925</xdr:colOff>
      <xdr:row>21</xdr:row>
      <xdr:rowOff>11263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50FF5E6-0378-464B-8443-589AA70FFD49}"/>
            </a:ext>
          </a:extLst>
        </xdr:cNvPr>
        <xdr:cNvSpPr txBox="1"/>
      </xdr:nvSpPr>
      <xdr:spPr>
        <a:xfrm>
          <a:off x="10751365" y="3655180"/>
          <a:ext cx="579060" cy="40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183014</xdr:colOff>
      <xdr:row>19</xdr:row>
      <xdr:rowOff>127301</xdr:rowOff>
    </xdr:from>
    <xdr:to>
      <xdr:col>22</xdr:col>
      <xdr:colOff>762074</xdr:colOff>
      <xdr:row>22</xdr:row>
      <xdr:rowOff>18822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6AFFBB9-A3EF-4717-B980-1CAA22EE4FBE}"/>
            </a:ext>
          </a:extLst>
        </xdr:cNvPr>
        <xdr:cNvSpPr txBox="1"/>
      </xdr:nvSpPr>
      <xdr:spPr>
        <a:xfrm>
          <a:off x="10787514" y="3823001"/>
          <a:ext cx="579060" cy="412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376731</xdr:colOff>
      <xdr:row>16</xdr:row>
      <xdr:rowOff>140248</xdr:rowOff>
    </xdr:from>
    <xdr:to>
      <xdr:col>27</xdr:col>
      <xdr:colOff>355867</xdr:colOff>
      <xdr:row>19</xdr:row>
      <xdr:rowOff>926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74D5E4B-57BC-491E-8137-A3CC292978C6}"/>
            </a:ext>
          </a:extLst>
        </xdr:cNvPr>
        <xdr:cNvSpPr txBox="1"/>
      </xdr:nvSpPr>
      <xdr:spPr>
        <a:xfrm>
          <a:off x="13762531" y="3264448"/>
          <a:ext cx="741136" cy="432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446993</xdr:colOff>
      <xdr:row>17</xdr:row>
      <xdr:rowOff>153004</xdr:rowOff>
    </xdr:from>
    <xdr:to>
      <xdr:col>27</xdr:col>
      <xdr:colOff>337229</xdr:colOff>
      <xdr:row>19</xdr:row>
      <xdr:rowOff>177572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810ADD7-80E0-4BBF-845E-ACD2CA402A3F}"/>
            </a:ext>
          </a:extLst>
        </xdr:cNvPr>
        <xdr:cNvSpPr txBox="1"/>
      </xdr:nvSpPr>
      <xdr:spPr>
        <a:xfrm>
          <a:off x="13832793" y="3467704"/>
          <a:ext cx="652236" cy="405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954009</xdr:colOff>
      <xdr:row>24</xdr:row>
      <xdr:rowOff>84288</xdr:rowOff>
    </xdr:from>
    <xdr:to>
      <xdr:col>26</xdr:col>
      <xdr:colOff>171977</xdr:colOff>
      <xdr:row>27</xdr:row>
      <xdr:rowOff>6047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6A7D0CA-5E5F-48C6-A214-D8AF1A30C182}"/>
            </a:ext>
          </a:extLst>
        </xdr:cNvPr>
        <xdr:cNvSpPr txBox="1"/>
      </xdr:nvSpPr>
      <xdr:spPr>
        <a:xfrm>
          <a:off x="11241009" y="4694388"/>
          <a:ext cx="637193" cy="407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1024766</xdr:colOff>
      <xdr:row>25</xdr:row>
      <xdr:rowOff>109310</xdr:rowOff>
    </xdr:from>
    <xdr:to>
      <xdr:col>26</xdr:col>
      <xdr:colOff>243112</xdr:colOff>
      <xdr:row>28</xdr:row>
      <xdr:rowOff>31069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0618492-995C-4C0C-8970-324649ABDCB5}"/>
            </a:ext>
          </a:extLst>
        </xdr:cNvPr>
        <xdr:cNvSpPr txBox="1"/>
      </xdr:nvSpPr>
      <xdr:spPr>
        <a:xfrm>
          <a:off x="11283191" y="4881335"/>
          <a:ext cx="666146" cy="407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30917</xdr:colOff>
      <xdr:row>16</xdr:row>
      <xdr:rowOff>70455</xdr:rowOff>
    </xdr:from>
    <xdr:to>
      <xdr:col>24</xdr:col>
      <xdr:colOff>615950</xdr:colOff>
      <xdr:row>18</xdr:row>
      <xdr:rowOff>90488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A447C4E-BFC1-41E3-A5C8-CD1D89691EC3}"/>
            </a:ext>
          </a:extLst>
        </xdr:cNvPr>
        <xdr:cNvSpPr txBox="1"/>
      </xdr:nvSpPr>
      <xdr:spPr>
        <a:xfrm>
          <a:off x="11511717" y="3194655"/>
          <a:ext cx="864433" cy="401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1099834</xdr:colOff>
      <xdr:row>16</xdr:row>
      <xdr:rowOff>52312</xdr:rowOff>
    </xdr:from>
    <xdr:to>
      <xdr:col>26</xdr:col>
      <xdr:colOff>396420</xdr:colOff>
      <xdr:row>18</xdr:row>
      <xdr:rowOff>53899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2302628-9D0F-4407-A7F8-A26565AEA0FB}"/>
            </a:ext>
          </a:extLst>
        </xdr:cNvPr>
        <xdr:cNvSpPr txBox="1"/>
      </xdr:nvSpPr>
      <xdr:spPr>
        <a:xfrm>
          <a:off x="12860034" y="3176512"/>
          <a:ext cx="922186" cy="382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255903</xdr:colOff>
      <xdr:row>23</xdr:row>
      <xdr:rowOff>87038</xdr:rowOff>
    </xdr:from>
    <xdr:to>
      <xdr:col>22</xdr:col>
      <xdr:colOff>825033</xdr:colOff>
      <xdr:row>26</xdr:row>
      <xdr:rowOff>6632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1F5622B-289D-4197-B375-2CB15BD131BB}"/>
            </a:ext>
          </a:extLst>
        </xdr:cNvPr>
        <xdr:cNvSpPr txBox="1"/>
      </xdr:nvSpPr>
      <xdr:spPr>
        <a:xfrm>
          <a:off x="10860403" y="4468538"/>
          <a:ext cx="569130" cy="414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714376</xdr:colOff>
      <xdr:row>18</xdr:row>
      <xdr:rowOff>77391</xdr:rowOff>
    </xdr:from>
    <xdr:to>
      <xdr:col>25</xdr:col>
      <xdr:colOff>228464</xdr:colOff>
      <xdr:row>23</xdr:row>
      <xdr:rowOff>82514</xdr:rowOff>
    </xdr:to>
    <xdr:cxnSp macro="">
      <xdr:nvCxnSpPr>
        <xdr:cNvPr id="34" name="Conector recto de flecha 21">
          <a:extLst>
            <a:ext uri="{FF2B5EF4-FFF2-40B4-BE49-F238E27FC236}">
              <a16:creationId xmlns:a16="http://schemas.microsoft.com/office/drawing/2014/main" id="{A0C38E26-D46C-4BFB-934C-8A60246CC7B1}"/>
            </a:ext>
          </a:extLst>
        </xdr:cNvPr>
        <xdr:cNvCxnSpPr/>
      </xdr:nvCxnSpPr>
      <xdr:spPr>
        <a:xfrm flipH="1">
          <a:off x="10995423" y="3661172"/>
          <a:ext cx="514213" cy="86832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20</xdr:row>
      <xdr:rowOff>87710</xdr:rowOff>
    </xdr:from>
    <xdr:to>
      <xdr:col>26</xdr:col>
      <xdr:colOff>537369</xdr:colOff>
      <xdr:row>23</xdr:row>
      <xdr:rowOff>3515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A96A985-951E-4AE1-AB70-1E447A8FFD7E}"/>
            </a:ext>
          </a:extLst>
        </xdr:cNvPr>
        <xdr:cNvSpPr txBox="1"/>
      </xdr:nvSpPr>
      <xdr:spPr>
        <a:xfrm>
          <a:off x="13341350" y="3973910"/>
          <a:ext cx="581819" cy="411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23</a:t>
          </a:r>
          <a:r>
            <a:rPr lang="en-US" sz="1100"/>
            <a:t>=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250094</xdr:colOff>
      <xdr:row>17</xdr:row>
      <xdr:rowOff>100296</xdr:rowOff>
    </xdr:from>
    <xdr:to>
      <xdr:col>25</xdr:col>
      <xdr:colOff>295032</xdr:colOff>
      <xdr:row>19</xdr:row>
      <xdr:rowOff>80757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335602E0-341B-9A4C-95D0-F726D8169538}"/>
            </a:ext>
          </a:extLst>
        </xdr:cNvPr>
        <xdr:cNvSpPr/>
      </xdr:nvSpPr>
      <xdr:spPr>
        <a:xfrm>
          <a:off x="13153294" y="34149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3" name="Rectángulo 6">
          <a:extLst>
            <a:ext uri="{FF2B5EF4-FFF2-40B4-BE49-F238E27FC236}">
              <a16:creationId xmlns:a16="http://schemas.microsoft.com/office/drawing/2014/main" id="{B7B1F329-A758-1B4E-8DE7-F36B325F9795}"/>
            </a:ext>
          </a:extLst>
        </xdr:cNvPr>
        <xdr:cNvSpPr/>
      </xdr:nvSpPr>
      <xdr:spPr>
        <a:xfrm>
          <a:off x="11757269" y="3418255"/>
          <a:ext cx="7815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82982</xdr:rowOff>
    </xdr:from>
    <xdr:to>
      <xdr:col>25</xdr:col>
      <xdr:colOff>250094</xdr:colOff>
      <xdr:row>18</xdr:row>
      <xdr:rowOff>90526</xdr:rowOff>
    </xdr:to>
    <xdr:cxnSp macro="">
      <xdr:nvCxnSpPr>
        <xdr:cNvPr id="4" name="Conector recto de flecha 9">
          <a:extLst>
            <a:ext uri="{FF2B5EF4-FFF2-40B4-BE49-F238E27FC236}">
              <a16:creationId xmlns:a16="http://schemas.microsoft.com/office/drawing/2014/main" id="{69E53D86-3A9C-6244-B439-ECA328A2B261}"/>
            </a:ext>
          </a:extLst>
        </xdr:cNvPr>
        <xdr:cNvCxnSpPr>
          <a:stCxn id="2" idx="1"/>
          <a:endCxn id="12" idx="1"/>
        </xdr:cNvCxnSpPr>
      </xdr:nvCxnSpPr>
      <xdr:spPr>
        <a:xfrm flipH="1" flipV="1">
          <a:off x="11786806" y="3588182"/>
          <a:ext cx="1366488" cy="754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400048</xdr:colOff>
      <xdr:row>23</xdr:row>
      <xdr:rowOff>101601</xdr:rowOff>
    </xdr:from>
    <xdr:to>
      <xdr:col>24</xdr:col>
      <xdr:colOff>1104899</xdr:colOff>
      <xdr:row>23</xdr:row>
      <xdr:rowOff>147320</xdr:rowOff>
    </xdr:to>
    <xdr:sp macro="" textlink="">
      <xdr:nvSpPr>
        <xdr:cNvPr id="5" name="Rectángulo 20">
          <a:extLst>
            <a:ext uri="{FF2B5EF4-FFF2-40B4-BE49-F238E27FC236}">
              <a16:creationId xmlns:a16="http://schemas.microsoft.com/office/drawing/2014/main" id="{3FBA626D-6194-0D4A-B523-BACEB3B22333}"/>
            </a:ext>
          </a:extLst>
        </xdr:cNvPr>
        <xdr:cNvSpPr/>
      </xdr:nvSpPr>
      <xdr:spPr>
        <a:xfrm rot="5400000">
          <a:off x="12489814" y="4153535"/>
          <a:ext cx="45719" cy="70485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82983</xdr:rowOff>
    </xdr:from>
    <xdr:to>
      <xdr:col>24</xdr:col>
      <xdr:colOff>752473</xdr:colOff>
      <xdr:row>23</xdr:row>
      <xdr:rowOff>101601</xdr:rowOff>
    </xdr:to>
    <xdr:cxnSp macro="">
      <xdr:nvCxnSpPr>
        <xdr:cNvPr id="6" name="Conector recto de flecha 21">
          <a:extLst>
            <a:ext uri="{FF2B5EF4-FFF2-40B4-BE49-F238E27FC236}">
              <a16:creationId xmlns:a16="http://schemas.microsoft.com/office/drawing/2014/main" id="{B658FF19-AE6A-3849-B69E-9446324BC3DC}"/>
            </a:ext>
          </a:extLst>
        </xdr:cNvPr>
        <xdr:cNvCxnSpPr>
          <a:stCxn id="12" idx="1"/>
          <a:endCxn id="5" idx="1"/>
        </xdr:cNvCxnSpPr>
      </xdr:nvCxnSpPr>
      <xdr:spPr>
        <a:xfrm>
          <a:off x="11786806" y="3588183"/>
          <a:ext cx="725867" cy="89491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893855</xdr:colOff>
      <xdr:row>23</xdr:row>
      <xdr:rowOff>158466</xdr:rowOff>
    </xdr:from>
    <xdr:to>
      <xdr:col>24</xdr:col>
      <xdr:colOff>896009</xdr:colOff>
      <xdr:row>26</xdr:row>
      <xdr:rowOff>140820</xdr:rowOff>
    </xdr:to>
    <xdr:cxnSp macro="">
      <xdr:nvCxnSpPr>
        <xdr:cNvPr id="7" name="Conector recto de flecha 10">
          <a:extLst>
            <a:ext uri="{FF2B5EF4-FFF2-40B4-BE49-F238E27FC236}">
              <a16:creationId xmlns:a16="http://schemas.microsoft.com/office/drawing/2014/main" id="{C72680E4-3EA0-3F40-903C-F7256779B724}"/>
            </a:ext>
          </a:extLst>
        </xdr:cNvPr>
        <xdr:cNvCxnSpPr/>
      </xdr:nvCxnSpPr>
      <xdr:spPr>
        <a:xfrm flipH="1">
          <a:off x="12654055" y="4539966"/>
          <a:ext cx="2154" cy="47765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8" name="Conector recto de flecha 27">
          <a:extLst>
            <a:ext uri="{FF2B5EF4-FFF2-40B4-BE49-F238E27FC236}">
              <a16:creationId xmlns:a16="http://schemas.microsoft.com/office/drawing/2014/main" id="{B659FF07-3F7E-4F47-883C-9219F1E14BDB}"/>
            </a:ext>
          </a:extLst>
        </xdr:cNvPr>
        <xdr:cNvCxnSpPr>
          <a:cxnSpLocks/>
          <a:endCxn id="3" idx="1"/>
        </xdr:cNvCxnSpPr>
      </xdr:nvCxnSpPr>
      <xdr:spPr>
        <a:xfrm>
          <a:off x="11396304" y="3434804"/>
          <a:ext cx="360965" cy="1641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90526</xdr:rowOff>
    </xdr:from>
    <xdr:to>
      <xdr:col>26</xdr:col>
      <xdr:colOff>25348</xdr:colOff>
      <xdr:row>18</xdr:row>
      <xdr:rowOff>93537</xdr:rowOff>
    </xdr:to>
    <xdr:cxnSp macro="">
      <xdr:nvCxnSpPr>
        <xdr:cNvPr id="9" name="Conector recto de flecha 31">
          <a:extLst>
            <a:ext uri="{FF2B5EF4-FFF2-40B4-BE49-F238E27FC236}">
              <a16:creationId xmlns:a16="http://schemas.microsoft.com/office/drawing/2014/main" id="{4F0720ED-F4C1-8447-B090-A273CA8CF6B9}"/>
            </a:ext>
          </a:extLst>
        </xdr:cNvPr>
        <xdr:cNvCxnSpPr>
          <a:cxnSpLocks/>
          <a:stCxn id="19" idx="2"/>
          <a:endCxn id="2" idx="3"/>
        </xdr:cNvCxnSpPr>
      </xdr:nvCxnSpPr>
      <xdr:spPr>
        <a:xfrm flipH="1" flipV="1">
          <a:off x="13198232" y="3595726"/>
          <a:ext cx="212916" cy="301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3ECC19-AD4F-9D48-9944-55D17FF60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6015" cy="929983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3C2B811-B9E2-6942-B83D-714DDA2913AC}"/>
            </a:ext>
          </a:extLst>
        </xdr:cNvPr>
        <xdr:cNvCxnSpPr/>
      </xdr:nvCxnSpPr>
      <xdr:spPr>
        <a:xfrm flipV="1">
          <a:off x="7350125" y="7054850"/>
          <a:ext cx="696913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2" name="Rectángulo 6">
          <a:extLst>
            <a:ext uri="{FF2B5EF4-FFF2-40B4-BE49-F238E27FC236}">
              <a16:creationId xmlns:a16="http://schemas.microsoft.com/office/drawing/2014/main" id="{B0F7F5A5-4E03-4344-A987-0C17A3BB3309}"/>
            </a:ext>
          </a:extLst>
        </xdr:cNvPr>
        <xdr:cNvSpPr/>
      </xdr:nvSpPr>
      <xdr:spPr>
        <a:xfrm flipH="1">
          <a:off x="11755659" y="3408601"/>
          <a:ext cx="31147" cy="3591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368905</xdr:colOff>
      <xdr:row>16</xdr:row>
      <xdr:rowOff>36285</xdr:rowOff>
    </xdr:from>
    <xdr:to>
      <xdr:col>22</xdr:col>
      <xdr:colOff>831089</xdr:colOff>
      <xdr:row>18</xdr:row>
      <xdr:rowOff>75410</xdr:rowOff>
    </xdr:to>
    <xdr:grpSp>
      <xdr:nvGrpSpPr>
        <xdr:cNvPr id="13" name="Agrupar 51">
          <a:extLst>
            <a:ext uri="{FF2B5EF4-FFF2-40B4-BE49-F238E27FC236}">
              <a16:creationId xmlns:a16="http://schemas.microsoft.com/office/drawing/2014/main" id="{31CE04B4-C66A-2444-AADA-9DF816F82B1E}"/>
            </a:ext>
          </a:extLst>
        </xdr:cNvPr>
        <xdr:cNvGrpSpPr/>
      </xdr:nvGrpSpPr>
      <xdr:grpSpPr>
        <a:xfrm>
          <a:off x="10973405" y="3160485"/>
          <a:ext cx="462184" cy="42012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14" name="Elipse 24">
            <a:extLst>
              <a:ext uri="{FF2B5EF4-FFF2-40B4-BE49-F238E27FC236}">
                <a16:creationId xmlns:a16="http://schemas.microsoft.com/office/drawing/2014/main" id="{31898BEE-89F5-354F-A3B7-BEE1CD6685F8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15" name="Agrupar 50">
            <a:extLst>
              <a:ext uri="{FF2B5EF4-FFF2-40B4-BE49-F238E27FC236}">
                <a16:creationId xmlns:a16="http://schemas.microsoft.com/office/drawing/2014/main" id="{914B3584-8DEE-5348-8B9D-6BD0CCB2AE3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16" name="Arco 25">
              <a:extLst>
                <a:ext uri="{FF2B5EF4-FFF2-40B4-BE49-F238E27FC236}">
                  <a16:creationId xmlns:a16="http://schemas.microsoft.com/office/drawing/2014/main" id="{CF52B17F-EDBE-6D4A-A2E5-3CCFF8ED037E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17" name="Arco 26">
              <a:extLst>
                <a:ext uri="{FF2B5EF4-FFF2-40B4-BE49-F238E27FC236}">
                  <a16:creationId xmlns:a16="http://schemas.microsoft.com/office/drawing/2014/main" id="{D75BD73C-AC36-6C41-B153-5FCA7ED94F49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25348</xdr:colOff>
      <xdr:row>17</xdr:row>
      <xdr:rowOff>102405</xdr:rowOff>
    </xdr:from>
    <xdr:to>
      <xdr:col>26</xdr:col>
      <xdr:colOff>447525</xdr:colOff>
      <xdr:row>19</xdr:row>
      <xdr:rowOff>84670</xdr:rowOff>
    </xdr:to>
    <xdr:grpSp>
      <xdr:nvGrpSpPr>
        <xdr:cNvPr id="18" name="Agrupar 51">
          <a:extLst>
            <a:ext uri="{FF2B5EF4-FFF2-40B4-BE49-F238E27FC236}">
              <a16:creationId xmlns:a16="http://schemas.microsoft.com/office/drawing/2014/main" id="{8DAA8AAB-9833-B543-B720-32FC2B8DA643}"/>
            </a:ext>
          </a:extLst>
        </xdr:cNvPr>
        <xdr:cNvGrpSpPr/>
      </xdr:nvGrpSpPr>
      <xdr:grpSpPr>
        <a:xfrm>
          <a:off x="13411148" y="3417105"/>
          <a:ext cx="422177" cy="363265"/>
          <a:chOff x="513989" y="2399805"/>
          <a:chExt cx="713232" cy="713205"/>
        </a:xfrm>
      </xdr:grpSpPr>
      <xdr:sp macro="" textlink="">
        <xdr:nvSpPr>
          <xdr:cNvPr id="19" name="Elipse 24">
            <a:extLst>
              <a:ext uri="{FF2B5EF4-FFF2-40B4-BE49-F238E27FC236}">
                <a16:creationId xmlns:a16="http://schemas.microsoft.com/office/drawing/2014/main" id="{6A1A9C67-18C0-904B-A63E-8F9EBB9ADDD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0" name="Agrupar 50">
            <a:extLst>
              <a:ext uri="{FF2B5EF4-FFF2-40B4-BE49-F238E27FC236}">
                <a16:creationId xmlns:a16="http://schemas.microsoft.com/office/drawing/2014/main" id="{3301ACE0-AABC-7544-99F1-81B5F353C760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21" name="Arco 25">
              <a:extLst>
                <a:ext uri="{FF2B5EF4-FFF2-40B4-BE49-F238E27FC236}">
                  <a16:creationId xmlns:a16="http://schemas.microsoft.com/office/drawing/2014/main" id="{6224CBF7-706B-EA4C-B21F-29C8BD183DDA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2" name="Arco 26">
              <a:extLst>
                <a:ext uri="{FF2B5EF4-FFF2-40B4-BE49-F238E27FC236}">
                  <a16:creationId xmlns:a16="http://schemas.microsoft.com/office/drawing/2014/main" id="{2E2B49EF-A66B-5B4B-B3F3-2E3E6617FA7A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298738</xdr:colOff>
      <xdr:row>14</xdr:row>
      <xdr:rowOff>184384</xdr:rowOff>
    </xdr:from>
    <xdr:to>
      <xdr:col>24</xdr:col>
      <xdr:colOff>877798</xdr:colOff>
      <xdr:row>16</xdr:row>
      <xdr:rowOff>188712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C2FA7CA-8CA0-9142-BE11-756ABEC9C4CB}"/>
            </a:ext>
          </a:extLst>
        </xdr:cNvPr>
        <xdr:cNvSpPr txBox="1"/>
      </xdr:nvSpPr>
      <xdr:spPr>
        <a:xfrm>
          <a:off x="12058938" y="2876784"/>
          <a:ext cx="579060" cy="436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132545</xdr:colOff>
      <xdr:row>21</xdr:row>
      <xdr:rowOff>88514</xdr:rowOff>
    </xdr:from>
    <xdr:to>
      <xdr:col>22</xdr:col>
      <xdr:colOff>760096</xdr:colOff>
      <xdr:row>24</xdr:row>
      <xdr:rowOff>10273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B18D79B-8DF9-034C-9CCA-FCC680CE5C23}"/>
            </a:ext>
          </a:extLst>
        </xdr:cNvPr>
        <xdr:cNvSpPr txBox="1"/>
      </xdr:nvSpPr>
      <xdr:spPr>
        <a:xfrm>
          <a:off x="10737045" y="4139814"/>
          <a:ext cx="627551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134165</xdr:colOff>
      <xdr:row>18</xdr:row>
      <xdr:rowOff>143630</xdr:rowOff>
    </xdr:from>
    <xdr:to>
      <xdr:col>22</xdr:col>
      <xdr:colOff>713225</xdr:colOff>
      <xdr:row>21</xdr:row>
      <xdr:rowOff>4913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7CB3BAD-E969-F440-9D2A-C24DF3EE7B32}"/>
            </a:ext>
          </a:extLst>
        </xdr:cNvPr>
        <xdr:cNvSpPr txBox="1"/>
      </xdr:nvSpPr>
      <xdr:spPr>
        <a:xfrm>
          <a:off x="10738665" y="3648830"/>
          <a:ext cx="579060" cy="40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119514</xdr:colOff>
      <xdr:row>19</xdr:row>
      <xdr:rowOff>133651</xdr:rowOff>
    </xdr:from>
    <xdr:to>
      <xdr:col>22</xdr:col>
      <xdr:colOff>698574</xdr:colOff>
      <xdr:row>22</xdr:row>
      <xdr:rowOff>25172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89B7FE2-B7CC-9843-AC7B-5FBD57F5A45A}"/>
            </a:ext>
          </a:extLst>
        </xdr:cNvPr>
        <xdr:cNvSpPr txBox="1"/>
      </xdr:nvSpPr>
      <xdr:spPr>
        <a:xfrm>
          <a:off x="10724014" y="3829351"/>
          <a:ext cx="579060" cy="412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497381</xdr:colOff>
      <xdr:row>16</xdr:row>
      <xdr:rowOff>140248</xdr:rowOff>
    </xdr:from>
    <xdr:to>
      <xdr:col>28</xdr:col>
      <xdr:colOff>57417</xdr:colOff>
      <xdr:row>19</xdr:row>
      <xdr:rowOff>926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4BAC697-A718-6346-BFD0-3FC63AD50F53}"/>
            </a:ext>
          </a:extLst>
        </xdr:cNvPr>
        <xdr:cNvSpPr txBox="1"/>
      </xdr:nvSpPr>
      <xdr:spPr>
        <a:xfrm>
          <a:off x="13883181" y="3264448"/>
          <a:ext cx="766536" cy="432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497793</xdr:colOff>
      <xdr:row>17</xdr:row>
      <xdr:rowOff>146654</xdr:rowOff>
    </xdr:from>
    <xdr:to>
      <xdr:col>27</xdr:col>
      <xdr:colOff>502329</xdr:colOff>
      <xdr:row>19</xdr:row>
      <xdr:rowOff>171222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98B0EDA-097E-1F48-AAD8-C42B2CA99B3F}"/>
            </a:ext>
          </a:extLst>
        </xdr:cNvPr>
        <xdr:cNvSpPr txBox="1"/>
      </xdr:nvSpPr>
      <xdr:spPr>
        <a:xfrm>
          <a:off x="13883593" y="3461354"/>
          <a:ext cx="766536" cy="405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1017509</xdr:colOff>
      <xdr:row>24</xdr:row>
      <xdr:rowOff>84288</xdr:rowOff>
    </xdr:from>
    <xdr:to>
      <xdr:col>26</xdr:col>
      <xdr:colOff>235477</xdr:colOff>
      <xdr:row>27</xdr:row>
      <xdr:rowOff>6047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EDA7FE-7930-654F-AA11-10606BC6D827}"/>
            </a:ext>
          </a:extLst>
        </xdr:cNvPr>
        <xdr:cNvSpPr txBox="1"/>
      </xdr:nvSpPr>
      <xdr:spPr>
        <a:xfrm>
          <a:off x="12777709" y="4630888"/>
          <a:ext cx="843568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1024766</xdr:colOff>
      <xdr:row>25</xdr:row>
      <xdr:rowOff>109310</xdr:rowOff>
    </xdr:from>
    <xdr:to>
      <xdr:col>26</xdr:col>
      <xdr:colOff>243112</xdr:colOff>
      <xdr:row>28</xdr:row>
      <xdr:rowOff>31069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B41E580-61BC-C34B-83CD-C7981A298190}"/>
            </a:ext>
          </a:extLst>
        </xdr:cNvPr>
        <xdr:cNvSpPr txBox="1"/>
      </xdr:nvSpPr>
      <xdr:spPr>
        <a:xfrm>
          <a:off x="12784966" y="4821010"/>
          <a:ext cx="843946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11867</xdr:colOff>
      <xdr:row>16</xdr:row>
      <xdr:rowOff>51405</xdr:rowOff>
    </xdr:from>
    <xdr:to>
      <xdr:col>24</xdr:col>
      <xdr:colOff>596900</xdr:colOff>
      <xdr:row>18</xdr:row>
      <xdr:rowOff>50800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B51EC26-A16B-7646-A435-83E609AE3151}"/>
            </a:ext>
          </a:extLst>
        </xdr:cNvPr>
        <xdr:cNvSpPr txBox="1"/>
      </xdr:nvSpPr>
      <xdr:spPr>
        <a:xfrm>
          <a:off x="11492667" y="3175605"/>
          <a:ext cx="864433" cy="380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1087134</xdr:colOff>
      <xdr:row>16</xdr:row>
      <xdr:rowOff>52312</xdr:rowOff>
    </xdr:from>
    <xdr:to>
      <xdr:col>26</xdr:col>
      <xdr:colOff>383720</xdr:colOff>
      <xdr:row>18</xdr:row>
      <xdr:rowOff>53899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7D12A2-E95A-0946-B9E9-7AD1214F2C3C}"/>
            </a:ext>
          </a:extLst>
        </xdr:cNvPr>
        <xdr:cNvSpPr txBox="1"/>
      </xdr:nvSpPr>
      <xdr:spPr>
        <a:xfrm>
          <a:off x="12847334" y="3176512"/>
          <a:ext cx="922186" cy="382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249553</xdr:colOff>
      <xdr:row>23</xdr:row>
      <xdr:rowOff>106088</xdr:rowOff>
    </xdr:from>
    <xdr:to>
      <xdr:col>22</xdr:col>
      <xdr:colOff>818683</xdr:colOff>
      <xdr:row>26</xdr:row>
      <xdr:rowOff>25682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DDDB776-2241-5F46-A438-82DD11512289}"/>
            </a:ext>
          </a:extLst>
        </xdr:cNvPr>
        <xdr:cNvSpPr txBox="1"/>
      </xdr:nvSpPr>
      <xdr:spPr>
        <a:xfrm>
          <a:off x="10854053" y="4487588"/>
          <a:ext cx="569130" cy="414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M33"/>
  <sheetViews>
    <sheetView zoomScale="150" zoomScaleNormal="150" workbookViewId="0">
      <selection activeCell="G26" sqref="G26"/>
    </sheetView>
  </sheetViews>
  <sheetFormatPr baseColWidth="10" defaultColWidth="11.5" defaultRowHeight="15" x14ac:dyDescent="0.2"/>
  <sheetData>
    <row r="1" spans="1:13" s="2" customFormat="1" x14ac:dyDescent="0.2"/>
    <row r="2" spans="1:13" s="2" customFormat="1" ht="19" x14ac:dyDescent="0.25">
      <c r="E2" s="9" t="s">
        <v>38</v>
      </c>
    </row>
    <row r="3" spans="1:13" s="2" customFormat="1" ht="19" x14ac:dyDescent="0.25">
      <c r="E3" s="10" t="s">
        <v>152</v>
      </c>
    </row>
    <row r="4" spans="1:13" s="2" customFormat="1" x14ac:dyDescent="0.2"/>
    <row r="5" spans="1:13" s="11" customFormat="1" ht="5" customHeight="1" x14ac:dyDescent="0.2"/>
    <row r="6" spans="1:13" s="2" customFormat="1" x14ac:dyDescent="0.2"/>
    <row r="7" spans="1:13" s="2" customFormat="1" x14ac:dyDescent="0.2">
      <c r="A7" s="2" t="s">
        <v>39</v>
      </c>
      <c r="C7" t="s">
        <v>146</v>
      </c>
    </row>
    <row r="8" spans="1:13" s="2" customFormat="1" x14ac:dyDescent="0.2"/>
    <row r="9" spans="1:13" s="2" customFormat="1" x14ac:dyDescent="0.2">
      <c r="B9" s="2" t="s">
        <v>40</v>
      </c>
    </row>
    <row r="10" spans="1:13" s="2" customFormat="1" x14ac:dyDescent="0.2">
      <c r="B10" s="12"/>
      <c r="C10" s="12"/>
      <c r="D10" s="12"/>
      <c r="E10" s="12"/>
    </row>
    <row r="11" spans="1:13" s="2" customFormat="1" ht="18" x14ac:dyDescent="0.25">
      <c r="B11" s="13" t="s">
        <v>41</v>
      </c>
      <c r="C11" s="13" t="s">
        <v>42</v>
      </c>
      <c r="D11" s="13" t="s">
        <v>43</v>
      </c>
      <c r="E11" s="13" t="s">
        <v>44</v>
      </c>
      <c r="F11" s="13" t="s">
        <v>45</v>
      </c>
      <c r="G11" s="13" t="s">
        <v>46</v>
      </c>
      <c r="H11" s="13" t="s">
        <v>150</v>
      </c>
      <c r="I11" s="13" t="s">
        <v>151</v>
      </c>
      <c r="L11" s="102" t="s">
        <v>54</v>
      </c>
      <c r="M11" s="102"/>
    </row>
    <row r="12" spans="1:13" s="2" customFormat="1" ht="19" x14ac:dyDescent="0.2">
      <c r="B12" s="14"/>
      <c r="C12" s="13" t="s">
        <v>47</v>
      </c>
      <c r="D12" s="13" t="s">
        <v>48</v>
      </c>
      <c r="E12" s="13" t="s">
        <v>49</v>
      </c>
      <c r="F12" s="13" t="s">
        <v>50</v>
      </c>
      <c r="G12" s="13" t="s">
        <v>50</v>
      </c>
      <c r="H12" s="13" t="s">
        <v>50</v>
      </c>
      <c r="I12" s="13" t="s">
        <v>50</v>
      </c>
      <c r="L12" s="21" t="s">
        <v>33</v>
      </c>
      <c r="M12" s="22">
        <v>0</v>
      </c>
    </row>
    <row r="13" spans="1:13" s="2" customFormat="1" x14ac:dyDescent="0.2">
      <c r="B13" s="12">
        <v>1</v>
      </c>
      <c r="C13" s="12">
        <v>100</v>
      </c>
      <c r="D13" s="12">
        <v>20</v>
      </c>
      <c r="E13" s="12">
        <v>0</v>
      </c>
      <c r="F13" s="12">
        <v>50</v>
      </c>
      <c r="G13" s="12">
        <v>200</v>
      </c>
      <c r="H13" s="12">
        <v>-150</v>
      </c>
      <c r="I13" s="12">
        <v>150</v>
      </c>
      <c r="L13" s="21" t="s">
        <v>31</v>
      </c>
      <c r="M13" s="22">
        <v>1</v>
      </c>
    </row>
    <row r="14" spans="1:13" s="2" customFormat="1" x14ac:dyDescent="0.2">
      <c r="B14" s="15">
        <v>2</v>
      </c>
      <c r="C14" s="15">
        <v>200</v>
      </c>
      <c r="D14" s="15">
        <v>10</v>
      </c>
      <c r="E14" s="15">
        <v>0</v>
      </c>
      <c r="F14" s="15">
        <v>50</v>
      </c>
      <c r="G14" s="15">
        <v>200</v>
      </c>
      <c r="H14" s="15">
        <v>-150</v>
      </c>
      <c r="I14" s="15">
        <v>150</v>
      </c>
      <c r="L14" s="21" t="s">
        <v>34</v>
      </c>
      <c r="M14" s="23">
        <v>1</v>
      </c>
    </row>
    <row r="15" spans="1:13" s="2" customFormat="1" x14ac:dyDescent="0.2">
      <c r="L15" s="21" t="s">
        <v>17</v>
      </c>
      <c r="M15" s="23">
        <v>0</v>
      </c>
    </row>
    <row r="16" spans="1:13" s="2" customFormat="1" x14ac:dyDescent="0.2">
      <c r="B16" s="2" t="s">
        <v>51</v>
      </c>
      <c r="L16" s="21" t="s">
        <v>18</v>
      </c>
      <c r="M16" s="22">
        <v>0</v>
      </c>
    </row>
    <row r="17" spans="2:13" s="2" customFormat="1" x14ac:dyDescent="0.2">
      <c r="F17" s="2" t="s">
        <v>153</v>
      </c>
      <c r="L17" s="21" t="s">
        <v>19</v>
      </c>
      <c r="M17" s="22">
        <f>C18</f>
        <v>200</v>
      </c>
    </row>
    <row r="18" spans="2:13" s="2" customFormat="1" x14ac:dyDescent="0.2">
      <c r="B18" s="2" t="s">
        <v>52</v>
      </c>
      <c r="C18" s="2">
        <v>200</v>
      </c>
      <c r="D18" s="2" t="s">
        <v>50</v>
      </c>
      <c r="F18" s="2">
        <v>12</v>
      </c>
      <c r="G18" s="2">
        <v>100</v>
      </c>
      <c r="H18" s="2" t="s">
        <v>50</v>
      </c>
      <c r="L18" s="21" t="s">
        <v>20</v>
      </c>
      <c r="M18" s="23">
        <v>0</v>
      </c>
    </row>
    <row r="19" spans="2:13" s="2" customFormat="1" x14ac:dyDescent="0.2">
      <c r="B19" s="1" t="s">
        <v>0</v>
      </c>
      <c r="C19" s="1">
        <v>200</v>
      </c>
      <c r="D19" s="1" t="s">
        <v>1</v>
      </c>
      <c r="F19" s="2">
        <v>23</v>
      </c>
      <c r="G19" s="2">
        <v>200</v>
      </c>
      <c r="H19" s="2" t="s">
        <v>50</v>
      </c>
      <c r="L19" s="21" t="s">
        <v>21</v>
      </c>
      <c r="M19" s="23">
        <v>0</v>
      </c>
    </row>
    <row r="20" spans="2:13" s="2" customFormat="1" x14ac:dyDescent="0.2">
      <c r="F20" s="2">
        <v>13</v>
      </c>
      <c r="G20" s="2">
        <v>200</v>
      </c>
      <c r="H20" s="2" t="s">
        <v>50</v>
      </c>
      <c r="L20" s="21" t="s">
        <v>22</v>
      </c>
      <c r="M20" s="23">
        <v>0</v>
      </c>
    </row>
    <row r="21" spans="2:13" s="2" customFormat="1" x14ac:dyDescent="0.2">
      <c r="L21" s="21" t="s">
        <v>13</v>
      </c>
      <c r="M21" s="23">
        <v>0</v>
      </c>
    </row>
    <row r="22" spans="2:13" s="2" customFormat="1" x14ac:dyDescent="0.2">
      <c r="F22" s="2" t="s">
        <v>154</v>
      </c>
      <c r="G22" s="2">
        <v>1.05</v>
      </c>
      <c r="H22" s="2" t="s">
        <v>126</v>
      </c>
      <c r="L22" s="21" t="s">
        <v>16</v>
      </c>
      <c r="M22" s="23">
        <v>0</v>
      </c>
    </row>
    <row r="23" spans="2:13" s="2" customFormat="1" x14ac:dyDescent="0.2">
      <c r="F23" s="2" t="s">
        <v>155</v>
      </c>
      <c r="G23" s="2">
        <v>0.95</v>
      </c>
      <c r="H23" s="2" t="s">
        <v>126</v>
      </c>
    </row>
    <row r="24" spans="2:13" s="2" customFormat="1" x14ac:dyDescent="0.2"/>
    <row r="25" spans="2:13" s="2" customFormat="1" x14ac:dyDescent="0.2"/>
    <row r="26" spans="2:13" s="2" customFormat="1" x14ac:dyDescent="0.2">
      <c r="G26" s="2">
        <f>250/200</f>
        <v>1.25</v>
      </c>
    </row>
    <row r="27" spans="2:13" s="2" customFormat="1" x14ac:dyDescent="0.2"/>
    <row r="28" spans="2:13" s="2" customFormat="1" x14ac:dyDescent="0.2"/>
    <row r="29" spans="2:13" s="2" customFormat="1" x14ac:dyDescent="0.2"/>
    <row r="30" spans="2:13" s="2" customFormat="1" x14ac:dyDescent="0.2"/>
    <row r="31" spans="2:13" s="2" customFormat="1" x14ac:dyDescent="0.2"/>
    <row r="32" spans="2:13" s="2" customFormat="1" x14ac:dyDescent="0.2"/>
    <row r="33" s="2" customFormat="1" x14ac:dyDescent="0.2"/>
  </sheetData>
  <mergeCells count="1">
    <mergeCell ref="L11:M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5B8E-1207-4C18-A952-5F64BE97625E}">
  <dimension ref="A1:H26"/>
  <sheetViews>
    <sheetView showGridLines="0" topLeftCell="A11" zoomScale="150" zoomScaleNormal="150" workbookViewId="0">
      <selection activeCell="G22" sqref="G20:G22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7.33203125" customWidth="1"/>
    <col min="4" max="4" width="12.6640625" bestFit="1" customWidth="1"/>
    <col min="5" max="5" width="12.83203125" bestFit="1" customWidth="1"/>
    <col min="7" max="7" width="10.6640625" bestFit="1" customWidth="1"/>
  </cols>
  <sheetData>
    <row r="1" spans="1:5" x14ac:dyDescent="0.2">
      <c r="A1" s="1" t="s">
        <v>68</v>
      </c>
    </row>
    <row r="2" spans="1:5" x14ac:dyDescent="0.2">
      <c r="A2" s="1" t="s">
        <v>135</v>
      </c>
    </row>
    <row r="3" spans="1:5" x14ac:dyDescent="0.2">
      <c r="A3" s="1" t="s">
        <v>137</v>
      </c>
    </row>
    <row r="6" spans="1:5" ht="16" thickBot="1" x14ac:dyDescent="0.25">
      <c r="A6" t="s">
        <v>69</v>
      </c>
    </row>
    <row r="7" spans="1:5" x14ac:dyDescent="0.2">
      <c r="B7" s="65"/>
      <c r="C7" s="65"/>
      <c r="D7" s="65" t="s">
        <v>72</v>
      </c>
      <c r="E7" s="65" t="s">
        <v>74</v>
      </c>
    </row>
    <row r="8" spans="1:5" ht="16" thickBot="1" x14ac:dyDescent="0.25">
      <c r="B8" s="66" t="s">
        <v>70</v>
      </c>
      <c r="C8" s="66" t="s">
        <v>71</v>
      </c>
      <c r="D8" s="66" t="s">
        <v>73</v>
      </c>
      <c r="E8" s="66" t="s">
        <v>75</v>
      </c>
    </row>
    <row r="9" spans="1:5" x14ac:dyDescent="0.2">
      <c r="B9" s="35" t="s">
        <v>79</v>
      </c>
      <c r="C9" s="35" t="s">
        <v>80</v>
      </c>
      <c r="D9" s="35">
        <v>0.9980087422674736</v>
      </c>
      <c r="E9" s="35">
        <v>0</v>
      </c>
    </row>
    <row r="10" spans="1:5" x14ac:dyDescent="0.2">
      <c r="B10" s="35" t="s">
        <v>81</v>
      </c>
      <c r="C10" s="35" t="s">
        <v>82</v>
      </c>
      <c r="D10" s="35">
        <v>-1.5059632191391812E-2</v>
      </c>
      <c r="E10" s="35">
        <v>0</v>
      </c>
    </row>
    <row r="11" spans="1:5" x14ac:dyDescent="0.2">
      <c r="B11" s="35" t="s">
        <v>83</v>
      </c>
      <c r="C11" s="35" t="s">
        <v>84</v>
      </c>
      <c r="D11" s="35">
        <v>-7.019730346348256E-2</v>
      </c>
      <c r="E11" s="35">
        <v>0</v>
      </c>
    </row>
    <row r="12" spans="1:5" x14ac:dyDescent="0.2">
      <c r="B12" s="35" t="s">
        <v>85</v>
      </c>
      <c r="C12" s="35" t="s">
        <v>86</v>
      </c>
      <c r="D12" s="35">
        <v>0.85059062962359988</v>
      </c>
      <c r="E12" s="35">
        <v>0</v>
      </c>
    </row>
    <row r="13" spans="1:5" x14ac:dyDescent="0.2">
      <c r="B13" s="35" t="s">
        <v>87</v>
      </c>
      <c r="C13" s="35" t="s">
        <v>88</v>
      </c>
      <c r="D13" s="35">
        <v>0.39940937037640012</v>
      </c>
      <c r="E13" s="35">
        <v>0</v>
      </c>
    </row>
    <row r="14" spans="1:5" x14ac:dyDescent="0.2">
      <c r="B14" s="35" t="s">
        <v>89</v>
      </c>
      <c r="C14" s="35" t="s">
        <v>90</v>
      </c>
      <c r="D14" s="35">
        <v>4.5625668906479101E-2</v>
      </c>
      <c r="E14" s="35">
        <v>0</v>
      </c>
    </row>
    <row r="15" spans="1:5" ht="16" thickBot="1" x14ac:dyDescent="0.25">
      <c r="B15" s="36" t="s">
        <v>91</v>
      </c>
      <c r="C15" s="36" t="s">
        <v>92</v>
      </c>
      <c r="D15" s="36">
        <v>3.6213220786662101E-2</v>
      </c>
      <c r="E15" s="36">
        <v>0</v>
      </c>
    </row>
    <row r="17" spans="1:8" ht="16" thickBot="1" x14ac:dyDescent="0.25">
      <c r="A17" t="s">
        <v>76</v>
      </c>
    </row>
    <row r="18" spans="1:8" x14ac:dyDescent="0.2">
      <c r="B18" s="65"/>
      <c r="C18" s="65"/>
      <c r="D18" s="65" t="s">
        <v>72</v>
      </c>
      <c r="E18" s="65" t="s">
        <v>77</v>
      </c>
      <c r="G18" s="65" t="s">
        <v>77</v>
      </c>
    </row>
    <row r="19" spans="1:8" ht="16" thickBot="1" x14ac:dyDescent="0.25">
      <c r="B19" s="66" t="s">
        <v>70</v>
      </c>
      <c r="C19" s="66" t="s">
        <v>71</v>
      </c>
      <c r="D19" s="66" t="s">
        <v>73</v>
      </c>
      <c r="E19" s="66" t="s">
        <v>78</v>
      </c>
      <c r="G19" s="66" t="s">
        <v>78</v>
      </c>
    </row>
    <row r="20" spans="1:8" x14ac:dyDescent="0.2">
      <c r="B20" s="35" t="s">
        <v>93</v>
      </c>
      <c r="C20" s="35" t="s">
        <v>94</v>
      </c>
      <c r="D20" s="35">
        <v>0.85059062962359988</v>
      </c>
      <c r="E20" s="71">
        <v>5701.18310546875</v>
      </c>
      <c r="F20" s="72"/>
      <c r="G20" s="71">
        <f>E20/200</f>
        <v>28.505915527343749</v>
      </c>
      <c r="H20" s="2" t="s">
        <v>48</v>
      </c>
    </row>
    <row r="21" spans="1:8" x14ac:dyDescent="0.2">
      <c r="B21" s="35" t="s">
        <v>95</v>
      </c>
      <c r="C21" s="35" t="s">
        <v>96</v>
      </c>
      <c r="D21" s="35">
        <v>0.39940937037640012</v>
      </c>
      <c r="E21" s="71">
        <v>6597.64013671875</v>
      </c>
      <c r="F21" s="72"/>
      <c r="G21" s="71">
        <f t="shared" ref="G21:G25" si="0">E21/200</f>
        <v>32.988200683593753</v>
      </c>
      <c r="H21" s="2" t="s">
        <v>48</v>
      </c>
    </row>
    <row r="22" spans="1:8" x14ac:dyDescent="0.2">
      <c r="B22" s="35" t="s">
        <v>97</v>
      </c>
      <c r="C22" s="35" t="s">
        <v>98</v>
      </c>
      <c r="D22" s="35">
        <v>-1.25</v>
      </c>
      <c r="E22" s="71">
        <v>7496.7746298275806</v>
      </c>
      <c r="F22" s="72"/>
      <c r="G22" s="71">
        <f t="shared" si="0"/>
        <v>37.483873149137906</v>
      </c>
      <c r="H22" s="2" t="s">
        <v>48</v>
      </c>
    </row>
    <row r="23" spans="1:8" x14ac:dyDescent="0.2">
      <c r="B23" s="35" t="s">
        <v>99</v>
      </c>
      <c r="C23" s="35" t="s">
        <v>100</v>
      </c>
      <c r="D23" s="35">
        <v>4.5625668906479101E-2</v>
      </c>
      <c r="E23" s="71">
        <v>0</v>
      </c>
      <c r="F23" s="72"/>
      <c r="G23" s="71">
        <f t="shared" si="0"/>
        <v>0</v>
      </c>
    </row>
    <row r="24" spans="1:8" x14ac:dyDescent="0.2">
      <c r="B24" s="35" t="s">
        <v>101</v>
      </c>
      <c r="C24" s="35" t="s">
        <v>102</v>
      </c>
      <c r="D24" s="35">
        <v>3.6213220786662101E-2</v>
      </c>
      <c r="E24" s="71">
        <v>0</v>
      </c>
      <c r="F24" s="72"/>
      <c r="G24" s="71">
        <f t="shared" si="0"/>
        <v>0</v>
      </c>
    </row>
    <row r="25" spans="1:8" x14ac:dyDescent="0.2">
      <c r="B25" s="35" t="s">
        <v>103</v>
      </c>
      <c r="C25" s="35" t="s">
        <v>104</v>
      </c>
      <c r="D25" s="35">
        <v>0</v>
      </c>
      <c r="E25" s="71">
        <v>-6.83041415073113</v>
      </c>
      <c r="F25" s="72"/>
      <c r="G25" s="71">
        <f t="shared" si="0"/>
        <v>-3.4152070753655651E-2</v>
      </c>
    </row>
    <row r="26" spans="1:8" ht="16" thickBot="1" x14ac:dyDescent="0.25">
      <c r="B26" s="36" t="s">
        <v>136</v>
      </c>
      <c r="C26" s="36" t="s">
        <v>1</v>
      </c>
      <c r="D26" s="36">
        <v>140.0000001789081</v>
      </c>
      <c r="E26" s="73">
        <v>-13.482168462607149</v>
      </c>
      <c r="F26" s="72"/>
      <c r="G26" s="73">
        <f>E26/200</f>
        <v>-6.7410842313035749E-2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CB10-96D4-4CA4-A0AC-E2891D4B0032}">
  <dimension ref="A1:E36"/>
  <sheetViews>
    <sheetView showGridLines="0" zoomScale="190" zoomScaleNormal="190" workbookViewId="0">
      <selection activeCell="E22" sqref="E22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7.83203125" bestFit="1" customWidth="1"/>
    <col min="4" max="4" width="12.6640625" bestFit="1" customWidth="1"/>
    <col min="5" max="5" width="12" bestFit="1" customWidth="1"/>
  </cols>
  <sheetData>
    <row r="1" spans="1:5" x14ac:dyDescent="0.2">
      <c r="A1" s="1" t="s">
        <v>68</v>
      </c>
    </row>
    <row r="2" spans="1:5" x14ac:dyDescent="0.2">
      <c r="A2" s="1" t="s">
        <v>156</v>
      </c>
    </row>
    <row r="3" spans="1:5" x14ac:dyDescent="0.2">
      <c r="A3" s="1" t="s">
        <v>167</v>
      </c>
    </row>
    <row r="6" spans="1:5" ht="16" thickBot="1" x14ac:dyDescent="0.25">
      <c r="A6" t="s">
        <v>69</v>
      </c>
    </row>
    <row r="7" spans="1:5" x14ac:dyDescent="0.2">
      <c r="B7" s="78"/>
      <c r="C7" s="78"/>
      <c r="D7" s="78" t="s">
        <v>72</v>
      </c>
      <c r="E7" s="78" t="s">
        <v>74</v>
      </c>
    </row>
    <row r="8" spans="1:5" ht="16" thickBot="1" x14ac:dyDescent="0.25">
      <c r="B8" s="79" t="s">
        <v>70</v>
      </c>
      <c r="C8" s="79" t="s">
        <v>71</v>
      </c>
      <c r="D8" s="79" t="s">
        <v>73</v>
      </c>
      <c r="E8" s="79" t="s">
        <v>75</v>
      </c>
    </row>
    <row r="9" spans="1:5" x14ac:dyDescent="0.2">
      <c r="B9" s="35" t="s">
        <v>79</v>
      </c>
      <c r="C9" s="35" t="s">
        <v>80</v>
      </c>
      <c r="D9" s="35">
        <v>0.99871115742522842</v>
      </c>
      <c r="E9" s="35">
        <v>0</v>
      </c>
    </row>
    <row r="10" spans="1:5" x14ac:dyDescent="0.2">
      <c r="B10" s="35" t="s">
        <v>81</v>
      </c>
      <c r="C10" s="35" t="s">
        <v>82</v>
      </c>
      <c r="D10" s="35">
        <v>1.6681391530130138E-2</v>
      </c>
      <c r="E10" s="35">
        <v>0</v>
      </c>
    </row>
    <row r="11" spans="1:5" x14ac:dyDescent="0.2">
      <c r="B11" s="35" t="s">
        <v>83</v>
      </c>
      <c r="C11" s="35" t="s">
        <v>84</v>
      </c>
      <c r="D11" s="35">
        <v>-4.1746510969515226E-2</v>
      </c>
      <c r="E11" s="35">
        <v>0</v>
      </c>
    </row>
    <row r="12" spans="1:5" x14ac:dyDescent="0.2">
      <c r="B12" s="35" t="s">
        <v>85</v>
      </c>
      <c r="C12" s="35" t="s">
        <v>86</v>
      </c>
      <c r="D12" s="35">
        <v>0.25</v>
      </c>
      <c r="E12" s="35">
        <v>0</v>
      </c>
    </row>
    <row r="13" spans="1:5" x14ac:dyDescent="0.2">
      <c r="B13" s="35" t="s">
        <v>87</v>
      </c>
      <c r="C13" s="35" t="s">
        <v>88</v>
      </c>
      <c r="D13" s="35">
        <v>0.750000000000274</v>
      </c>
      <c r="E13" s="35">
        <v>0</v>
      </c>
    </row>
    <row r="14" spans="1:5" x14ac:dyDescent="0.2">
      <c r="B14" s="35" t="s">
        <v>89</v>
      </c>
      <c r="C14" s="35" t="s">
        <v>90</v>
      </c>
      <c r="D14" s="35">
        <v>2.2981125968684214E-2</v>
      </c>
      <c r="E14" s="35">
        <v>0</v>
      </c>
    </row>
    <row r="15" spans="1:5" ht="16" thickBot="1" x14ac:dyDescent="0.25">
      <c r="B15" s="36" t="s">
        <v>91</v>
      </c>
      <c r="C15" s="36" t="s">
        <v>92</v>
      </c>
      <c r="D15" s="36">
        <v>3.1322035732775186E-2</v>
      </c>
      <c r="E15" s="36">
        <v>0</v>
      </c>
    </row>
    <row r="17" spans="1:5" ht="16" thickBot="1" x14ac:dyDescent="0.25">
      <c r="A17" t="s">
        <v>76</v>
      </c>
    </row>
    <row r="18" spans="1:5" x14ac:dyDescent="0.2">
      <c r="B18" s="78"/>
      <c r="C18" s="78"/>
      <c r="D18" s="78" t="s">
        <v>72</v>
      </c>
      <c r="E18" s="78" t="s">
        <v>77</v>
      </c>
    </row>
    <row r="19" spans="1:5" ht="16" thickBot="1" x14ac:dyDescent="0.25">
      <c r="B19" s="79" t="s">
        <v>70</v>
      </c>
      <c r="C19" s="79" t="s">
        <v>71</v>
      </c>
      <c r="D19" s="79" t="s">
        <v>73</v>
      </c>
      <c r="E19" s="79" t="s">
        <v>78</v>
      </c>
    </row>
    <row r="20" spans="1:5" x14ac:dyDescent="0.2">
      <c r="B20" s="35" t="s">
        <v>93</v>
      </c>
      <c r="C20" s="35" t="s">
        <v>94</v>
      </c>
      <c r="D20" s="35">
        <v>0.25</v>
      </c>
      <c r="E20" s="35">
        <v>2000.0000000333046</v>
      </c>
    </row>
    <row r="21" spans="1:5" x14ac:dyDescent="0.2">
      <c r="B21" s="35" t="s">
        <v>95</v>
      </c>
      <c r="C21" s="35" t="s">
        <v>96</v>
      </c>
      <c r="D21" s="35">
        <v>0.750000000000274</v>
      </c>
      <c r="E21" s="35">
        <v>2000</v>
      </c>
    </row>
    <row r="22" spans="1:5" x14ac:dyDescent="0.2">
      <c r="B22" s="35" t="s">
        <v>97</v>
      </c>
      <c r="C22" s="35" t="s">
        <v>98</v>
      </c>
      <c r="D22" s="35">
        <v>-1</v>
      </c>
      <c r="E22" s="35">
        <v>2000.0000003165942</v>
      </c>
    </row>
    <row r="23" spans="1:5" x14ac:dyDescent="0.2">
      <c r="B23" s="35" t="s">
        <v>99</v>
      </c>
      <c r="C23" s="35" t="s">
        <v>100</v>
      </c>
      <c r="D23" s="35">
        <v>2.2981125968684214E-2</v>
      </c>
      <c r="E23" s="35">
        <v>0</v>
      </c>
    </row>
    <row r="24" spans="1:5" x14ac:dyDescent="0.2">
      <c r="B24" s="35" t="s">
        <v>101</v>
      </c>
      <c r="C24" s="35" t="s">
        <v>102</v>
      </c>
      <c r="D24" s="35">
        <v>3.1322035732775186E-2</v>
      </c>
      <c r="E24" s="35">
        <v>0</v>
      </c>
    </row>
    <row r="25" spans="1:5" x14ac:dyDescent="0.2">
      <c r="B25" s="35" t="s">
        <v>103</v>
      </c>
      <c r="C25" s="35" t="s">
        <v>104</v>
      </c>
      <c r="D25" s="35">
        <v>0</v>
      </c>
      <c r="E25" s="35">
        <v>5.9833195213444654E-6</v>
      </c>
    </row>
    <row r="26" spans="1:5" x14ac:dyDescent="0.2">
      <c r="B26" s="35" t="s">
        <v>157</v>
      </c>
      <c r="C26" s="35" t="s">
        <v>158</v>
      </c>
      <c r="D26" s="35">
        <v>50</v>
      </c>
      <c r="E26" s="35">
        <v>0</v>
      </c>
    </row>
    <row r="27" spans="1:5" x14ac:dyDescent="0.2">
      <c r="B27" s="35" t="s">
        <v>159</v>
      </c>
      <c r="C27" s="35" t="s">
        <v>160</v>
      </c>
      <c r="D27" s="35">
        <v>150.0000000000548</v>
      </c>
      <c r="E27" s="35">
        <v>0</v>
      </c>
    </row>
    <row r="28" spans="1:5" x14ac:dyDescent="0.2">
      <c r="B28" s="35" t="s">
        <v>157</v>
      </c>
      <c r="C28" s="35" t="s">
        <v>158</v>
      </c>
      <c r="D28" s="35">
        <v>50</v>
      </c>
      <c r="E28" s="35">
        <v>9.999999999833479</v>
      </c>
    </row>
    <row r="29" spans="1:5" x14ac:dyDescent="0.2">
      <c r="B29" s="35" t="s">
        <v>159</v>
      </c>
      <c r="C29" s="35" t="s">
        <v>160</v>
      </c>
      <c r="D29" s="35">
        <v>150.0000000000548</v>
      </c>
      <c r="E29" s="35">
        <v>0</v>
      </c>
    </row>
    <row r="30" spans="1:5" x14ac:dyDescent="0.2">
      <c r="B30" s="35" t="s">
        <v>161</v>
      </c>
      <c r="C30" s="35" t="s">
        <v>162</v>
      </c>
      <c r="D30" s="35">
        <v>4.596225193736843</v>
      </c>
      <c r="E30" s="35">
        <v>0</v>
      </c>
    </row>
    <row r="31" spans="1:5" x14ac:dyDescent="0.2">
      <c r="B31" s="35" t="s">
        <v>163</v>
      </c>
      <c r="C31" s="35" t="s">
        <v>164</v>
      </c>
      <c r="D31" s="35">
        <v>6.2644071465550368</v>
      </c>
      <c r="E31" s="35">
        <v>0</v>
      </c>
    </row>
    <row r="32" spans="1:5" x14ac:dyDescent="0.2">
      <c r="B32" s="35" t="s">
        <v>161</v>
      </c>
      <c r="C32" s="35" t="s">
        <v>162</v>
      </c>
      <c r="D32" s="35">
        <v>4.596225193736843</v>
      </c>
      <c r="E32" s="35">
        <v>0</v>
      </c>
    </row>
    <row r="33" spans="2:5" x14ac:dyDescent="0.2">
      <c r="B33" s="35" t="s">
        <v>163</v>
      </c>
      <c r="C33" s="35" t="s">
        <v>164</v>
      </c>
      <c r="D33" s="35">
        <v>6.2644071465550368</v>
      </c>
      <c r="E33" s="35">
        <v>0</v>
      </c>
    </row>
    <row r="34" spans="2:5" x14ac:dyDescent="0.2">
      <c r="B34" s="35" t="s">
        <v>165</v>
      </c>
      <c r="C34" s="35" t="s">
        <v>1</v>
      </c>
      <c r="D34" s="35">
        <v>33.361235778057299</v>
      </c>
      <c r="E34" s="35">
        <v>0</v>
      </c>
    </row>
    <row r="35" spans="2:5" x14ac:dyDescent="0.2">
      <c r="B35" s="35" t="s">
        <v>136</v>
      </c>
      <c r="C35" s="35" t="s">
        <v>1</v>
      </c>
      <c r="D35" s="35">
        <v>83.36119440580589</v>
      </c>
      <c r="E35" s="35">
        <v>0</v>
      </c>
    </row>
    <row r="36" spans="2:5" ht="16" thickBot="1" x14ac:dyDescent="0.25">
      <c r="B36" s="36" t="s">
        <v>166</v>
      </c>
      <c r="C36" s="36" t="s">
        <v>1</v>
      </c>
      <c r="D36" s="36">
        <v>116.63880584451508</v>
      </c>
      <c r="E36" s="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0"/>
  <sheetViews>
    <sheetView topLeftCell="L1" zoomScale="200" zoomScaleNormal="200" zoomScalePageLayoutView="130" workbookViewId="0">
      <pane ySplit="5" topLeftCell="A11" activePane="bottomLeft" state="frozen"/>
      <selection pane="bottomLeft" activeCell="AE16" sqref="AE16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4.6640625" customWidth="1"/>
    <col min="26" max="26" width="6.33203125" customWidth="1"/>
    <col min="27" max="27" width="7.5" customWidth="1"/>
    <col min="28" max="28" width="8.1640625" customWidth="1"/>
  </cols>
  <sheetData>
    <row r="1" spans="1:41" s="2" customFormat="1" x14ac:dyDescent="0.2"/>
    <row r="2" spans="1:41" s="2" customFormat="1" ht="19" x14ac:dyDescent="0.25">
      <c r="E2" s="9" t="s">
        <v>38</v>
      </c>
    </row>
    <row r="3" spans="1:41" s="2" customFormat="1" ht="19" x14ac:dyDescent="0.25">
      <c r="E3" s="70" t="s">
        <v>177</v>
      </c>
    </row>
    <row r="4" spans="1:41" s="2" customFormat="1" x14ac:dyDescent="0.2"/>
    <row r="5" spans="1:41" s="11" customFormat="1" ht="5" customHeight="1" x14ac:dyDescent="0.2"/>
    <row r="6" spans="1:41" s="2" customFormat="1" x14ac:dyDescent="0.2"/>
    <row r="7" spans="1:41" s="2" customFormat="1" x14ac:dyDescent="0.2">
      <c r="A7" s="1" t="s">
        <v>0</v>
      </c>
      <c r="B7" s="1">
        <f>Database!C19</f>
        <v>200</v>
      </c>
      <c r="C7" s="1" t="s">
        <v>1</v>
      </c>
      <c r="G7" s="105" t="s">
        <v>53</v>
      </c>
      <c r="H7" s="105"/>
      <c r="I7" s="105"/>
      <c r="J7" s="105"/>
      <c r="K7" s="105"/>
      <c r="L7" s="105"/>
      <c r="M7" s="105"/>
      <c r="N7" s="105"/>
      <c r="W7" s="12" t="s">
        <v>178</v>
      </c>
      <c r="X7" s="12"/>
      <c r="Y7" s="12" t="s">
        <v>179</v>
      </c>
    </row>
    <row r="8" spans="1:41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  <c r="W8" s="109">
        <f>100^2/200</f>
        <v>50</v>
      </c>
      <c r="X8" s="109"/>
      <c r="Y8" s="109">
        <f>W8/0.4</f>
        <v>125</v>
      </c>
    </row>
    <row r="9" spans="1:41" s="2" customFormat="1" x14ac:dyDescent="0.2">
      <c r="A9" s="102" t="s">
        <v>147</v>
      </c>
      <c r="B9" s="102"/>
      <c r="C9" s="106" t="s">
        <v>148</v>
      </c>
      <c r="D9" s="106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0" t="s">
        <v>26</v>
      </c>
      <c r="P9" s="2">
        <v>0</v>
      </c>
      <c r="Q9" s="16" t="s">
        <v>2</v>
      </c>
      <c r="R9" s="39">
        <v>0.1</v>
      </c>
      <c r="W9" s="109">
        <f t="shared" ref="W9:W10" si="0">100^2/200</f>
        <v>50</v>
      </c>
      <c r="X9" s="109"/>
      <c r="Y9" s="109">
        <f t="shared" ref="Y9:Y10" si="1">W9/0.4</f>
        <v>125</v>
      </c>
    </row>
    <row r="10" spans="1:41" s="2" customFormat="1" x14ac:dyDescent="0.2">
      <c r="A10" s="21" t="s">
        <v>33</v>
      </c>
      <c r="B10" s="22">
        <f>Database!M12</f>
        <v>0</v>
      </c>
      <c r="C10" s="27" t="s">
        <v>32</v>
      </c>
      <c r="D10" s="28">
        <v>0.96655275872198165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0" t="s">
        <v>27</v>
      </c>
      <c r="P10" s="2">
        <v>0</v>
      </c>
      <c r="Q10" s="16" t="s">
        <v>2</v>
      </c>
      <c r="R10" s="39">
        <v>0.1</v>
      </c>
      <c r="W10" s="109">
        <f t="shared" si="0"/>
        <v>50</v>
      </c>
      <c r="X10" s="109"/>
      <c r="Y10" s="109">
        <f t="shared" si="1"/>
        <v>125</v>
      </c>
    </row>
    <row r="11" spans="1:41" x14ac:dyDescent="0.2">
      <c r="A11" s="21" t="s">
        <v>31</v>
      </c>
      <c r="B11" s="22">
        <f>Database!M13</f>
        <v>1</v>
      </c>
      <c r="C11" s="27" t="s">
        <v>35</v>
      </c>
      <c r="D11" s="28">
        <v>1.6862540090901181E-2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21" t="s">
        <v>34</v>
      </c>
      <c r="B12" s="22">
        <f>Database!M14</f>
        <v>1</v>
      </c>
      <c r="C12" s="27" t="s">
        <v>36</v>
      </c>
      <c r="D12" s="28">
        <v>-4.3323904481940352E-2</v>
      </c>
      <c r="E12" s="104" t="s">
        <v>55</v>
      </c>
      <c r="F12" s="104"/>
      <c r="G12" s="75" t="s">
        <v>169</v>
      </c>
      <c r="H12" s="12"/>
      <c r="I12" s="75" t="s">
        <v>169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7" x14ac:dyDescent="0.25">
      <c r="A13" s="21" t="s">
        <v>17</v>
      </c>
      <c r="B13" s="22">
        <f>Database!M15</f>
        <v>0</v>
      </c>
      <c r="C13" s="25" t="s">
        <v>11</v>
      </c>
      <c r="D13" s="18">
        <v>0.25</v>
      </c>
      <c r="E13" s="67">
        <f>_PG1*Sbase</f>
        <v>50</v>
      </c>
      <c r="F13" s="26" t="s">
        <v>50</v>
      </c>
      <c r="G13" s="42">
        <f>Database!F13</f>
        <v>50</v>
      </c>
      <c r="H13" s="12" t="s">
        <v>168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7" x14ac:dyDescent="0.25">
      <c r="A14" s="21" t="s">
        <v>18</v>
      </c>
      <c r="B14" s="22">
        <f>Database!M16</f>
        <v>0</v>
      </c>
      <c r="C14" s="25" t="s">
        <v>12</v>
      </c>
      <c r="D14" s="18">
        <v>0.75000000000000044</v>
      </c>
      <c r="E14" s="67">
        <f>_PG2*Sbase</f>
        <v>150.00000000000009</v>
      </c>
      <c r="F14" s="26" t="s">
        <v>50</v>
      </c>
      <c r="G14" s="42">
        <f>Database!F14</f>
        <v>50</v>
      </c>
      <c r="H14" s="12" t="s">
        <v>170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7" x14ac:dyDescent="0.25">
      <c r="A15" s="21" t="s">
        <v>19</v>
      </c>
      <c r="B15" s="22">
        <f>Database!M17/Sbase</f>
        <v>1</v>
      </c>
      <c r="C15" s="27" t="s">
        <v>14</v>
      </c>
      <c r="D15" s="28">
        <v>0.34496359436517915</v>
      </c>
      <c r="E15" s="68">
        <f>_QG1*Sbase</f>
        <v>68.992718873035827</v>
      </c>
      <c r="F15" s="26" t="s">
        <v>56</v>
      </c>
      <c r="G15" s="74">
        <f>Database!H13</f>
        <v>-150</v>
      </c>
      <c r="H15" s="12" t="s">
        <v>171</v>
      </c>
      <c r="I15" s="75">
        <f>Database!I13</f>
        <v>150</v>
      </c>
      <c r="J15" s="7"/>
      <c r="K15" s="7" t="s">
        <v>127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7" x14ac:dyDescent="0.25">
      <c r="A16" s="21" t="s">
        <v>20</v>
      </c>
      <c r="B16" s="22">
        <f>Database!M18</f>
        <v>0</v>
      </c>
      <c r="C16" s="27" t="s">
        <v>15</v>
      </c>
      <c r="D16" s="28">
        <v>0.35339506420094008</v>
      </c>
      <c r="E16" s="68">
        <f>_QG2*Sbase</f>
        <v>70.679012840188022</v>
      </c>
      <c r="F16" s="26" t="s">
        <v>56</v>
      </c>
      <c r="G16" s="74">
        <f>Database!H14</f>
        <v>-150</v>
      </c>
      <c r="H16" s="12" t="s">
        <v>172</v>
      </c>
      <c r="I16" s="75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84">
        <f>H45</f>
        <v>33.723481943419095</v>
      </c>
      <c r="Z16" s="2" t="s">
        <v>50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" customHeight="1" x14ac:dyDescent="0.25">
      <c r="A17" s="21" t="s">
        <v>21</v>
      </c>
      <c r="B17" s="22">
        <f>Database!M19</f>
        <v>0</v>
      </c>
      <c r="C17" s="7"/>
      <c r="D17" s="32"/>
      <c r="E17" s="32"/>
      <c r="F17" s="7"/>
      <c r="G17" s="76">
        <f>Database!G23</f>
        <v>0.95</v>
      </c>
      <c r="H17" s="12" t="s">
        <v>176</v>
      </c>
      <c r="I17" s="76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21" t="s">
        <v>22</v>
      </c>
      <c r="B18" s="96">
        <v>0.62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2"/>
      <c r="Z18" s="2"/>
      <c r="AA18" s="2"/>
      <c r="AB18" s="112">
        <f>_PG2*Sbase</f>
        <v>150.00000000000009</v>
      </c>
      <c r="AC18" s="2" t="s">
        <v>50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21" t="s">
        <v>13</v>
      </c>
      <c r="B19" s="22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13">
        <f>_QG2*Sbase</f>
        <v>70.679012840188022</v>
      </c>
      <c r="AC19" s="2" t="s">
        <v>116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21" t="s">
        <v>16</v>
      </c>
      <c r="B20" s="22">
        <f>Database!M22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11">
        <f>_PG1*Sbase</f>
        <v>50</v>
      </c>
      <c r="X20" s="2" t="s">
        <v>50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111">
        <f>_QG1*Sbase</f>
        <v>68.992718873035827</v>
      </c>
      <c r="X21" s="7" t="s">
        <v>116</v>
      </c>
      <c r="Y21" s="7"/>
      <c r="Z21" s="7"/>
      <c r="AA21" s="7"/>
    </row>
    <row r="22" spans="1:41" s="7" customFormat="1" ht="13" customHeight="1" x14ac:dyDescent="0.2">
      <c r="A22" s="107" t="s">
        <v>60</v>
      </c>
      <c r="B22" s="107"/>
      <c r="C22" s="107"/>
      <c r="D22" s="107"/>
      <c r="E22" s="107"/>
      <c r="F22" s="19"/>
      <c r="G22" s="19"/>
      <c r="H22" s="19"/>
      <c r="P22" s="2"/>
      <c r="Q22" s="2"/>
      <c r="W22" s="37"/>
      <c r="Y22" s="2"/>
      <c r="AA22" s="112">
        <f>H47</f>
        <v>116.27651823305179</v>
      </c>
      <c r="AB22" s="80" t="s">
        <v>50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s="2" customFormat="1" ht="13" customHeight="1" x14ac:dyDescent="0.2">
      <c r="A23" s="2" t="s">
        <v>149</v>
      </c>
      <c r="B23" s="34" t="s">
        <v>59</v>
      </c>
      <c r="C23" s="34" t="s">
        <v>107</v>
      </c>
      <c r="D23" s="34" t="s">
        <v>106</v>
      </c>
      <c r="F23" s="34" t="s">
        <v>105</v>
      </c>
      <c r="H23" s="34" t="s">
        <v>37</v>
      </c>
      <c r="I23" s="38"/>
      <c r="K23" s="7"/>
      <c r="M23" s="7"/>
      <c r="N23" s="7"/>
      <c r="W23" s="111">
        <f>H46</f>
        <v>83.723482107266975</v>
      </c>
      <c r="X23" s="80" t="s">
        <v>50</v>
      </c>
    </row>
    <row r="24" spans="1:41" s="2" customFormat="1" ht="13" customHeight="1" x14ac:dyDescent="0.25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1100</v>
      </c>
      <c r="E24" s="2" t="s">
        <v>47</v>
      </c>
      <c r="F24" s="6">
        <f>B24*_PG1+C24</f>
        <v>5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</row>
    <row r="25" spans="1:41" s="2" customFormat="1" ht="13" customHeight="1" x14ac:dyDescent="0.25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1700.0000000000009</v>
      </c>
      <c r="E25" s="2" t="s">
        <v>47</v>
      </c>
      <c r="F25" s="6">
        <f>B25*_PG1+C25</f>
        <v>2.5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W25" s="110">
        <f>_V3</f>
        <v>0.96655275872198165</v>
      </c>
      <c r="X25" s="2" t="s">
        <v>126</v>
      </c>
    </row>
    <row r="26" spans="1:41" s="2" customFormat="1" ht="13" customHeight="1" x14ac:dyDescent="0.25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3">
        <f>_PD3*Sbase</f>
        <v>200</v>
      </c>
      <c r="AA26" s="80" t="s">
        <v>50</v>
      </c>
    </row>
    <row r="27" spans="1:41" s="2" customFormat="1" ht="13" customHeight="1" x14ac:dyDescent="0.2">
      <c r="A27" s="43" t="s">
        <v>61</v>
      </c>
      <c r="B27" s="44"/>
      <c r="C27" s="7"/>
      <c r="D27" s="45">
        <f>D24+D25</f>
        <v>2800.0000000000009</v>
      </c>
      <c r="E27" s="2" t="s">
        <v>47</v>
      </c>
      <c r="F27" s="41" t="s">
        <v>108</v>
      </c>
      <c r="M27" s="7"/>
      <c r="N27" s="7"/>
      <c r="Z27" s="80">
        <f>_QD3*Sbase</f>
        <v>124</v>
      </c>
      <c r="AA27" s="80" t="s">
        <v>116</v>
      </c>
    </row>
    <row r="28" spans="1:41" s="2" customFormat="1" ht="13" customHeight="1" x14ac:dyDescent="0.25">
      <c r="A28" s="42" t="s">
        <v>115</v>
      </c>
      <c r="B28" s="20"/>
      <c r="C28" s="20"/>
      <c r="G28" s="69" t="s">
        <v>138</v>
      </c>
      <c r="H28" s="6">
        <f>H24-H25</f>
        <v>1.6652279555273708E-10</v>
      </c>
      <c r="I28" s="2" t="s">
        <v>48</v>
      </c>
      <c r="M28" s="7"/>
      <c r="N28" s="7"/>
      <c r="Z28" s="80"/>
      <c r="AA28" s="80"/>
    </row>
    <row r="29" spans="1:41" s="2" customFormat="1" ht="13" customHeight="1" x14ac:dyDescent="0.25">
      <c r="B29" s="30" t="s">
        <v>62</v>
      </c>
      <c r="C29" s="31">
        <f>_PG1-_PD1</f>
        <v>0.25</v>
      </c>
      <c r="D29" s="33">
        <f>(_V1*_V1*_G11+_V1*_V2*(_G12*COS(_T1-_T2)+_B12*SIN(_T1-_T2))+_V1*_V3*(_G13*COS(_T1-_T3)+_B13*SIN(_T1-_T3)))</f>
        <v>0.25000000081923945</v>
      </c>
      <c r="F29" s="41" t="s">
        <v>109</v>
      </c>
      <c r="G29" s="69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41" s="2" customFormat="1" ht="13" customHeight="1" x14ac:dyDescent="0.2">
      <c r="B30" s="30" t="s">
        <v>63</v>
      </c>
      <c r="C30" s="31">
        <f>_PG2-_PD2</f>
        <v>0.75000000000000044</v>
      </c>
      <c r="D30" s="33">
        <f>(_V2*_V2*_G22+_V2*_V1*(_G21*COS(_T2-_T1)+_B21*SIN(_T2-_T1))+_V2*_V3*(_G23*COS(_T2-_T3)+_B23*SIN(_T2-_T3)))</f>
        <v>0.75000000088235441</v>
      </c>
      <c r="F30" s="41" t="s">
        <v>110</v>
      </c>
      <c r="M30" s="7"/>
      <c r="N30" s="32"/>
    </row>
    <row r="31" spans="1:41" s="2" customFormat="1" ht="13" customHeight="1" x14ac:dyDescent="0.2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-1.0000000017015938</v>
      </c>
      <c r="F31" s="41" t="s">
        <v>111</v>
      </c>
      <c r="M31" s="32"/>
      <c r="N31" s="7"/>
    </row>
    <row r="32" spans="1:41" s="2" customFormat="1" ht="13" customHeight="1" x14ac:dyDescent="0.2">
      <c r="B32" s="30" t="s">
        <v>65</v>
      </c>
      <c r="C32" s="31">
        <f>_QG1-_QD1</f>
        <v>0.34496359436517915</v>
      </c>
      <c r="D32" s="33">
        <f>(-_V1*_V1*_B11+_V1*_V2*(_G12*SIN(_T1-_T2)-_B12*COS(_T1-_T2))+_V1*_V3*(_G13*SIN(_T1-_T3)-_B13*COS(_T1-_T3)))</f>
        <v>0.34496359437184942</v>
      </c>
      <c r="F32" s="41" t="s">
        <v>112</v>
      </c>
      <c r="M32" s="7"/>
      <c r="N32" s="7"/>
      <c r="P32" s="8"/>
    </row>
    <row r="33" spans="1:27" s="2" customFormat="1" ht="13" customHeight="1" x14ac:dyDescent="0.2">
      <c r="B33" s="30" t="s">
        <v>66</v>
      </c>
      <c r="C33" s="31">
        <f>_QG2-_QD2</f>
        <v>0.35339506420094008</v>
      </c>
      <c r="D33" s="33">
        <f>(-_V2*_V2*_B22+_V2*_V1*(_G21*SIN(_T2-_T1)-_B21*COS(_T2-_T1))+_V2*_V3*(_G23*SIN(_T2-_T3)-_B23*COS(_T2-_T3)))</f>
        <v>0.35339506421996525</v>
      </c>
      <c r="E33" s="24"/>
      <c r="F33" s="41" t="s">
        <v>113</v>
      </c>
      <c r="H33" s="24"/>
      <c r="I33" s="7"/>
      <c r="K33" s="7"/>
      <c r="L33" s="7"/>
      <c r="M33" s="7"/>
      <c r="N33" s="7"/>
    </row>
    <row r="34" spans="1:27" s="2" customFormat="1" ht="13" customHeight="1" x14ac:dyDescent="0.2">
      <c r="A34"/>
      <c r="B34" s="30" t="s">
        <v>67</v>
      </c>
      <c r="C34" s="31">
        <f>_QG3-_QD3</f>
        <v>-0.62</v>
      </c>
      <c r="D34" s="33">
        <f>(-_V3*_V3*_B33+_V3*_V1*(_G31*SIN(_T3-_T1)-_B31*COS(_T3-_T1))+_V3*_V2*(_G32*SIN(_T3-_T2)-_B32*COS(_T3-_T2)))</f>
        <v>-0.62000001875367516</v>
      </c>
      <c r="E34" s="7"/>
      <c r="F34" s="41" t="s">
        <v>114</v>
      </c>
      <c r="H34" s="7"/>
      <c r="I34" s="7"/>
      <c r="K34" s="7"/>
      <c r="L34" s="7"/>
      <c r="M34" s="7"/>
      <c r="N34" s="7"/>
    </row>
    <row r="35" spans="1:27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27" s="2" customFormat="1" x14ac:dyDescent="0.2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 x14ac:dyDescent="0.2">
      <c r="A37" s="2" t="s">
        <v>117</v>
      </c>
      <c r="B37" s="46">
        <f>E13*H24</f>
        <v>500.00000000832614</v>
      </c>
      <c r="C37" s="46">
        <f>D24</f>
        <v>1100</v>
      </c>
      <c r="D37" s="46">
        <f>B37-C37</f>
        <v>-599.9999999916738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3.0826686270302162E-7</v>
      </c>
      <c r="L37" s="7"/>
      <c r="M37" s="7"/>
      <c r="N37" s="7"/>
    </row>
    <row r="38" spans="1:27" s="2" customFormat="1" x14ac:dyDescent="0.2">
      <c r="A38" s="47" t="s">
        <v>118</v>
      </c>
      <c r="B38" s="48">
        <f>E14*H25</f>
        <v>1500.0000000000009</v>
      </c>
      <c r="C38" s="48">
        <f>D25</f>
        <v>1700.0000000000009</v>
      </c>
      <c r="D38" s="48">
        <f t="shared" ref="D38:D39" si="2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 x14ac:dyDescent="0.2">
      <c r="A39" s="2" t="s">
        <v>120</v>
      </c>
      <c r="B39" s="46">
        <f>SUM(B37:B38)</f>
        <v>2000.0000000083271</v>
      </c>
      <c r="C39" s="46">
        <f>SUM(C37:C38)</f>
        <v>2800.0000000000009</v>
      </c>
      <c r="D39" s="46">
        <f t="shared" si="2"/>
        <v>-799.9999999916738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3.0826686270302162E-7</v>
      </c>
      <c r="L39" s="32"/>
      <c r="M39" s="63" t="s">
        <v>143</v>
      </c>
      <c r="N39" s="63"/>
      <c r="O39" s="64"/>
      <c r="P39" s="64"/>
    </row>
    <row r="40" spans="1:27" s="2" customFormat="1" x14ac:dyDescent="0.2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 x14ac:dyDescent="0.2">
      <c r="A41" s="7" t="s">
        <v>57</v>
      </c>
      <c r="B41" s="49"/>
      <c r="C41" s="7"/>
      <c r="D41" s="7"/>
      <c r="E41" s="7"/>
      <c r="F41" s="7"/>
      <c r="I41" s="7"/>
      <c r="J41" s="7"/>
      <c r="K41" s="103"/>
      <c r="L41" s="103"/>
    </row>
    <row r="42" spans="1:27" s="2" customFormat="1" x14ac:dyDescent="0.2">
      <c r="A42" s="7" t="s">
        <v>58</v>
      </c>
      <c r="B42" s="24"/>
      <c r="C42" s="24"/>
      <c r="D42" s="24"/>
      <c r="E42" s="24"/>
      <c r="F42" s="24"/>
      <c r="G42" s="24"/>
      <c r="H42" s="24"/>
      <c r="I42" s="7"/>
      <c r="J42" s="7"/>
      <c r="K42" s="7"/>
      <c r="L42" s="7"/>
    </row>
    <row r="43" spans="1:27" s="2" customFormat="1" x14ac:dyDescent="0.2">
      <c r="A43" s="7"/>
      <c r="B43" s="24" t="s">
        <v>3</v>
      </c>
      <c r="C43" s="24" t="s">
        <v>4</v>
      </c>
      <c r="D43" s="24" t="s">
        <v>5</v>
      </c>
      <c r="E43" s="24" t="s">
        <v>6</v>
      </c>
      <c r="F43" s="24" t="s">
        <v>7</v>
      </c>
      <c r="G43" s="24" t="s">
        <v>8</v>
      </c>
      <c r="H43" s="50" t="s">
        <v>9</v>
      </c>
      <c r="I43" s="7"/>
      <c r="J43" s="42" t="s">
        <v>28</v>
      </c>
      <c r="L43" s="103" t="s">
        <v>123</v>
      </c>
      <c r="M43" s="103"/>
      <c r="Y43" s="50" t="s">
        <v>9</v>
      </c>
      <c r="Z43" s="7"/>
      <c r="AA43" s="42" t="s">
        <v>28</v>
      </c>
    </row>
    <row r="44" spans="1:27" s="2" customFormat="1" x14ac:dyDescent="0.2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7" x14ac:dyDescent="0.25">
      <c r="A45" s="24">
        <v>12</v>
      </c>
      <c r="B45" s="51">
        <f>_V1*_V2*(_G12*COS(_T1-_T2)+_B12*SIN(_T1-_T2))-_G12*_V1*_V1</f>
        <v>-0.16861740971709546</v>
      </c>
      <c r="C45" s="51">
        <f>_V1*_V2*(_G12*COS(_T2-_T1)+_B12*SIN(_T2-_T1))-_G12*_V2*_V2</f>
        <v>0.16861740971709546</v>
      </c>
      <c r="D45" s="51">
        <f>_V1*_V2*(_G12*SIN(_T1-_T2)-_B12*COS(_T1-_T2))+(_B12)*_V1*_V1</f>
        <v>1.4216926034773536E-3</v>
      </c>
      <c r="E45" s="51">
        <f>_V2*_V1*(_G21*SIN(_T2-_T1)-_B21*COS(_T2-_T1))+(_B21)*_V2*_V2</f>
        <v>1.4216926034773536E-3</v>
      </c>
      <c r="F45" s="51">
        <f>ABS(B45-C45)/2</f>
        <v>0.16861740971709546</v>
      </c>
      <c r="G45" s="51">
        <f>ABS(D45-E45)/2</f>
        <v>0</v>
      </c>
      <c r="H45" s="85">
        <f>(F45*F45)^0.5*Sbase</f>
        <v>33.723481943419095</v>
      </c>
      <c r="I45" s="86" t="s">
        <v>29</v>
      </c>
      <c r="J45" s="87">
        <f>Database!G18</f>
        <v>100</v>
      </c>
      <c r="L45" s="53">
        <f>B45+C45</f>
        <v>0</v>
      </c>
      <c r="M45" s="53">
        <f>D45+E45</f>
        <v>2.8433852069547072E-3</v>
      </c>
      <c r="Y45" s="85" t="s">
        <v>173</v>
      </c>
      <c r="Z45" s="86" t="s">
        <v>29</v>
      </c>
      <c r="AA45" s="87">
        <f>J45</f>
        <v>100</v>
      </c>
    </row>
    <row r="46" spans="1:27" s="2" customFormat="1" ht="17" x14ac:dyDescent="0.25">
      <c r="A46" s="24">
        <v>13</v>
      </c>
      <c r="B46" s="51">
        <f>_V1*_V3*(_G13*COS(_T1-_T3)+_B13*SIN(_T1-_T3))-_G13*_V1*_V1</f>
        <v>0.41861741053633489</v>
      </c>
      <c r="C46" s="51">
        <f>_V3*_V1*(_G13*COS(_T3-_T1)+_B13*SIN(_T3-_T1))-_G13*_V3*_V3</f>
        <v>-0.41861741053633489</v>
      </c>
      <c r="D46" s="51">
        <f>_V1*_V3*(_G13*SIN(_T1-_T3)-_B13*COS(_T1-_T3))+(_B13)*_V1*_V1</f>
        <v>0.34354190176837207</v>
      </c>
      <c r="E46" s="51">
        <f>_V3*_V1*(_G31*SIN(_T3-_T1)-_B31*COS(_T3-_T1))+(_B31)*_V3*_V3</f>
        <v>-0.31421574430089549</v>
      </c>
      <c r="F46" s="51">
        <f t="shared" ref="F46:F47" si="3">ABS(B46-C46)/2</f>
        <v>0.41861741053633489</v>
      </c>
      <c r="G46" s="51">
        <f t="shared" ref="G46:G47" si="4">ABS(D46-E46)/2</f>
        <v>0.32887882303463378</v>
      </c>
      <c r="H46" s="52">
        <f>(F46*F46)^0.5*Sbase</f>
        <v>83.723482107266975</v>
      </c>
      <c r="I46" s="76" t="s">
        <v>29</v>
      </c>
      <c r="J46" s="42">
        <f>Database!G20</f>
        <v>200</v>
      </c>
      <c r="L46" s="53">
        <f>B46+C46</f>
        <v>0</v>
      </c>
      <c r="M46" s="53">
        <f>D46+E46</f>
        <v>2.9326157467476577E-2</v>
      </c>
      <c r="Y46" s="52" t="s">
        <v>174</v>
      </c>
      <c r="Z46" s="76" t="s">
        <v>29</v>
      </c>
      <c r="AA46" s="42">
        <f>J46</f>
        <v>200</v>
      </c>
    </row>
    <row r="47" spans="1:27" s="2" customFormat="1" ht="17" x14ac:dyDescent="0.25">
      <c r="A47" s="15">
        <v>23</v>
      </c>
      <c r="B47" s="58">
        <f>_V2*_V3*(_G23*COS(_T2-_T3)+_B23*SIN(_T2-_T3))-_G23*_V2*_V2</f>
        <v>0.58138259116525892</v>
      </c>
      <c r="C47" s="58">
        <f>_V3*_V2*(_G23*COS(_T3-_T2)+_B23*SIN(_T3-_T2))-_G23*_V3*_V3</f>
        <v>-0.58138259116525892</v>
      </c>
      <c r="D47" s="58">
        <f>_V2*_V3*(_G23*SIN(_T2-_T3)-_B23*COS(_T2-_T3))+(_B23)*_V2*_V2</f>
        <v>0.3519733716164879</v>
      </c>
      <c r="E47" s="58">
        <f>_V3*_V2*(_G32*SIN(_T3-_T2)-_B32*COS(_T3-_T2))+(_B32)*_V3*_V3</f>
        <v>-0.30578427445277967</v>
      </c>
      <c r="F47" s="58">
        <f t="shared" si="3"/>
        <v>0.58138259116525892</v>
      </c>
      <c r="G47" s="58">
        <f t="shared" si="4"/>
        <v>0.32887882303463378</v>
      </c>
      <c r="H47" s="88">
        <f>(F47*F47)^0.5*Sbase</f>
        <v>116.27651823305179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4.6189097163708226E-2</v>
      </c>
      <c r="Y47" s="88" t="s">
        <v>175</v>
      </c>
      <c r="Z47" s="15" t="s">
        <v>29</v>
      </c>
      <c r="AA47" s="56">
        <f>J47</f>
        <v>200</v>
      </c>
    </row>
    <row r="48" spans="1:27" s="2" customFormat="1" x14ac:dyDescent="0.2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7.835863983813951E-2</v>
      </c>
    </row>
    <row r="49" spans="1:30" s="2" customFormat="1" x14ac:dyDescent="0.2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8.8817841970012523E-14</v>
      </c>
      <c r="M49" s="19">
        <f>(_QG1+_QG2+_QG3-_QD1-_QD2-_QD3)*Sbase</f>
        <v>15.671731713223846</v>
      </c>
    </row>
    <row r="50" spans="1:30" s="2" customFormat="1" x14ac:dyDescent="0.2">
      <c r="C50" s="37"/>
      <c r="L50" s="12" t="s">
        <v>50</v>
      </c>
      <c r="M50" s="12" t="s">
        <v>116</v>
      </c>
    </row>
    <row r="51" spans="1:30" s="2" customFormat="1" x14ac:dyDescent="0.2">
      <c r="A51" s="38" t="s">
        <v>140</v>
      </c>
    </row>
    <row r="52" spans="1:30" s="2" customFormat="1" x14ac:dyDescent="0.2">
      <c r="A52" s="2" t="s">
        <v>141</v>
      </c>
      <c r="D52" s="37">
        <v>0</v>
      </c>
      <c r="E52" s="37" t="s">
        <v>47</v>
      </c>
    </row>
    <row r="53" spans="1:30" x14ac:dyDescent="0.2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E2E0-D553-204A-8AB9-D2E90085CA0F}">
  <dimension ref="A1:AD140"/>
  <sheetViews>
    <sheetView zoomScale="200" zoomScaleNormal="200" zoomScalePageLayoutView="130" workbookViewId="0">
      <pane ySplit="5" topLeftCell="A6" activePane="bottomLeft" state="frozen"/>
      <selection pane="bottomLeft" activeCell="E3" sqref="E3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3.6640625" customWidth="1"/>
    <col min="25" max="25" width="15" customWidth="1"/>
    <col min="26" max="26" width="6.33203125" customWidth="1"/>
    <col min="27" max="27" width="10" customWidth="1"/>
    <col min="28" max="28" width="8.1640625" customWidth="1"/>
  </cols>
  <sheetData>
    <row r="1" spans="1:30" s="2" customFormat="1" x14ac:dyDescent="0.2"/>
    <row r="2" spans="1:30" s="2" customFormat="1" ht="19" x14ac:dyDescent="0.25">
      <c r="E2" s="9" t="s">
        <v>38</v>
      </c>
    </row>
    <row r="3" spans="1:30" s="2" customFormat="1" ht="19" x14ac:dyDescent="0.25">
      <c r="E3" s="70" t="s">
        <v>180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105" t="s">
        <v>53</v>
      </c>
      <c r="H7" s="105"/>
      <c r="I7" s="105"/>
      <c r="J7" s="105"/>
      <c r="K7" s="105"/>
      <c r="L7" s="105"/>
      <c r="M7" s="105"/>
      <c r="N7" s="105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</row>
    <row r="9" spans="1:30" s="2" customFormat="1" x14ac:dyDescent="0.2">
      <c r="A9" s="102" t="s">
        <v>147</v>
      </c>
      <c r="B9" s="102"/>
      <c r="C9" s="106" t="s">
        <v>148</v>
      </c>
      <c r="D9" s="106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-10.000000000099998</v>
      </c>
      <c r="M9" s="5">
        <f>R10/(R10*R10+P10*P10)</f>
        <v>1E-10</v>
      </c>
      <c r="N9" s="7"/>
      <c r="O9" s="40" t="s">
        <v>26</v>
      </c>
      <c r="P9" s="2">
        <v>0</v>
      </c>
      <c r="Q9" s="16" t="s">
        <v>2</v>
      </c>
      <c r="R9" s="39">
        <v>0.1</v>
      </c>
    </row>
    <row r="10" spans="1:30" s="2" customFormat="1" x14ac:dyDescent="0.2">
      <c r="A10" s="21" t="s">
        <v>33</v>
      </c>
      <c r="B10" s="22">
        <f>Database!M12</f>
        <v>0</v>
      </c>
      <c r="C10" s="27" t="s">
        <v>32</v>
      </c>
      <c r="D10" s="28">
        <v>0.92730813586963123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1E-10</v>
      </c>
      <c r="M10" s="5">
        <f>-R9/(R9*R9+P9*P9)-R10/(R10*R10+P10*P10)</f>
        <v>-10.000000000099998</v>
      </c>
      <c r="O10" s="40" t="s">
        <v>27</v>
      </c>
      <c r="P10" s="2">
        <v>0</v>
      </c>
      <c r="Q10" s="16" t="s">
        <v>2</v>
      </c>
      <c r="R10" s="39">
        <v>10000000000</v>
      </c>
    </row>
    <row r="11" spans="1:30" x14ac:dyDescent="0.2">
      <c r="A11" s="21" t="s">
        <v>31</v>
      </c>
      <c r="B11" s="22">
        <f>Database!M13</f>
        <v>1</v>
      </c>
      <c r="C11" s="27" t="s">
        <v>35</v>
      </c>
      <c r="D11" s="28">
        <v>7.5070491075050663E-2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1" t="s">
        <v>34</v>
      </c>
      <c r="B12" s="22">
        <f>Database!M14</f>
        <v>1</v>
      </c>
      <c r="C12" s="27" t="s">
        <v>36</v>
      </c>
      <c r="D12" s="28">
        <v>-0.10804914362693042</v>
      </c>
      <c r="E12" s="108" t="s">
        <v>55</v>
      </c>
      <c r="F12" s="108"/>
      <c r="G12" s="75" t="s">
        <v>169</v>
      </c>
      <c r="H12" s="12"/>
      <c r="I12" s="75" t="s">
        <v>169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ht="17" x14ac:dyDescent="0.25">
      <c r="A13" s="21" t="s">
        <v>17</v>
      </c>
      <c r="B13" s="22">
        <f>Database!M15</f>
        <v>0</v>
      </c>
      <c r="C13" s="89" t="s">
        <v>11</v>
      </c>
      <c r="D13" s="90">
        <v>0.25</v>
      </c>
      <c r="E13" s="91">
        <f>_PG1*Sbase</f>
        <v>50</v>
      </c>
      <c r="F13" s="92" t="s">
        <v>50</v>
      </c>
      <c r="G13" s="42">
        <f>Database!F13</f>
        <v>50</v>
      </c>
      <c r="H13" s="12" t="s">
        <v>168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17" x14ac:dyDescent="0.25">
      <c r="A14" s="21" t="s">
        <v>18</v>
      </c>
      <c r="B14" s="22">
        <f>Database!M16</f>
        <v>0</v>
      </c>
      <c r="C14" s="89" t="s">
        <v>12</v>
      </c>
      <c r="D14" s="90">
        <v>0.750000000000274</v>
      </c>
      <c r="E14" s="91">
        <f>_PG2*Sbase</f>
        <v>150.0000000000548</v>
      </c>
      <c r="F14" s="92" t="s">
        <v>50</v>
      </c>
      <c r="G14" s="42">
        <f>Database!F14</f>
        <v>50</v>
      </c>
      <c r="H14" s="12" t="s">
        <v>170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ht="17" x14ac:dyDescent="0.25">
      <c r="A15" s="21" t="s">
        <v>19</v>
      </c>
      <c r="B15" s="22">
        <f>Database!M17/Sbase</f>
        <v>1</v>
      </c>
      <c r="C15" s="93" t="s">
        <v>14</v>
      </c>
      <c r="D15" s="94">
        <v>0</v>
      </c>
      <c r="E15" s="95">
        <f>_QG1*Sbase</f>
        <v>0</v>
      </c>
      <c r="F15" s="92" t="s">
        <v>56</v>
      </c>
      <c r="G15" s="76">
        <f>Database!H13</f>
        <v>-150</v>
      </c>
      <c r="H15" s="12" t="s">
        <v>171</v>
      </c>
      <c r="I15" s="75">
        <f>Database!I13</f>
        <v>150</v>
      </c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ht="17" x14ac:dyDescent="0.25">
      <c r="A16" s="21" t="s">
        <v>20</v>
      </c>
      <c r="B16" s="22">
        <f>Database!M18</f>
        <v>0</v>
      </c>
      <c r="C16" s="93" t="s">
        <v>15</v>
      </c>
      <c r="D16" s="94">
        <v>0</v>
      </c>
      <c r="E16" s="95">
        <f>_QG2*Sbase</f>
        <v>0</v>
      </c>
      <c r="F16" s="92" t="s">
        <v>56</v>
      </c>
      <c r="G16" s="76">
        <f>Database!H14</f>
        <v>-150</v>
      </c>
      <c r="H16" s="12" t="s">
        <v>172</v>
      </c>
      <c r="I16" s="75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112">
        <f>H45</f>
        <v>149.99999999667759</v>
      </c>
      <c r="Z16" s="2" t="s">
        <v>50</v>
      </c>
      <c r="AA16" s="2"/>
      <c r="AB16" s="2"/>
      <c r="AC16" s="2"/>
      <c r="AD16" s="2"/>
    </row>
    <row r="17" spans="1:30" ht="15" customHeight="1" x14ac:dyDescent="0.25">
      <c r="A17" s="21" t="s">
        <v>21</v>
      </c>
      <c r="B17" s="22">
        <f>Database!M19</f>
        <v>0</v>
      </c>
      <c r="C17" s="7"/>
      <c r="D17" s="32"/>
      <c r="E17" s="32"/>
      <c r="F17" s="7"/>
      <c r="G17" s="76">
        <f>Database!G23</f>
        <v>0.95</v>
      </c>
      <c r="H17" s="12" t="s">
        <v>176</v>
      </c>
      <c r="I17" s="76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</row>
    <row r="18" spans="1:30" x14ac:dyDescent="0.2">
      <c r="A18" s="21" t="s">
        <v>22</v>
      </c>
      <c r="B18" s="22">
        <v>0.62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2"/>
      <c r="Z18" s="2"/>
      <c r="AA18" s="2"/>
      <c r="AB18" s="112">
        <f>_PG2*Sbase</f>
        <v>150.0000000000548</v>
      </c>
      <c r="AC18" s="2" t="s">
        <v>50</v>
      </c>
      <c r="AD18" s="2"/>
    </row>
    <row r="19" spans="1:30" x14ac:dyDescent="0.2">
      <c r="A19" s="21" t="s">
        <v>13</v>
      </c>
      <c r="B19" s="22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13">
        <f>D33*Sbase</f>
        <v>5.6329324836010395</v>
      </c>
      <c r="AC19" s="2" t="s">
        <v>116</v>
      </c>
      <c r="AD19" s="2"/>
    </row>
    <row r="20" spans="1:30" x14ac:dyDescent="0.2">
      <c r="A20" s="21" t="s">
        <v>16</v>
      </c>
      <c r="B20" s="22"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11">
        <f>_PG1*Sbase</f>
        <v>50</v>
      </c>
      <c r="X20" s="2" t="s">
        <v>50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111">
        <f>D32*Sbase</f>
        <v>161.83210015504307</v>
      </c>
      <c r="X21" s="7" t="s">
        <v>116</v>
      </c>
      <c r="Y21" s="7"/>
      <c r="Z21" s="7"/>
      <c r="AA21" s="7"/>
    </row>
    <row r="22" spans="1:30" s="7" customFormat="1" ht="13" customHeight="1" x14ac:dyDescent="0.2">
      <c r="A22" s="107" t="s">
        <v>60</v>
      </c>
      <c r="B22" s="107"/>
      <c r="C22" s="107"/>
      <c r="D22" s="107"/>
      <c r="E22" s="107"/>
      <c r="F22" s="19"/>
      <c r="G22" s="19"/>
      <c r="H22" s="19"/>
      <c r="P22" s="2"/>
      <c r="Q22" s="2"/>
      <c r="W22" s="37"/>
      <c r="Y22" s="2"/>
      <c r="AA22" s="84"/>
      <c r="AB22" s="80"/>
    </row>
    <row r="23" spans="1:30" s="2" customFormat="1" ht="13" customHeight="1" x14ac:dyDescent="0.2">
      <c r="A23" s="2" t="s">
        <v>149</v>
      </c>
      <c r="B23" s="77" t="s">
        <v>59</v>
      </c>
      <c r="C23" s="77" t="s">
        <v>107</v>
      </c>
      <c r="D23" s="77" t="s">
        <v>106</v>
      </c>
      <c r="F23" s="77" t="s">
        <v>105</v>
      </c>
      <c r="H23" s="77" t="s">
        <v>37</v>
      </c>
      <c r="I23" s="38"/>
      <c r="K23" s="7"/>
      <c r="M23" s="7"/>
      <c r="N23" s="7"/>
      <c r="W23" s="111">
        <f>H46</f>
        <v>200.00001527765878</v>
      </c>
      <c r="X23" s="80" t="s">
        <v>50</v>
      </c>
    </row>
    <row r="24" spans="1:30" s="2" customFormat="1" ht="13" customHeight="1" x14ac:dyDescent="0.25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1100</v>
      </c>
      <c r="E24" s="2" t="s">
        <v>47</v>
      </c>
      <c r="F24" s="6">
        <f>B24*_PG1+C24</f>
        <v>5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  <c r="W24" s="37"/>
    </row>
    <row r="25" spans="1:30" s="2" customFormat="1" ht="13" customHeight="1" x14ac:dyDescent="0.25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1700.000000000548</v>
      </c>
      <c r="E25" s="2" t="s">
        <v>47</v>
      </c>
      <c r="F25" s="6">
        <f>B25*_PG1+C25</f>
        <v>2.5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W25" s="81">
        <f>_V3</f>
        <v>0.92730813586963123</v>
      </c>
      <c r="X25" s="2" t="s">
        <v>126</v>
      </c>
    </row>
    <row r="26" spans="1:30" s="2" customFormat="1" ht="13" customHeight="1" x14ac:dyDescent="0.25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3">
        <f>_PD3*Sbase</f>
        <v>200</v>
      </c>
      <c r="AA26" s="80" t="s">
        <v>50</v>
      </c>
    </row>
    <row r="27" spans="1:30" s="2" customFormat="1" ht="13" customHeight="1" x14ac:dyDescent="0.2">
      <c r="A27" s="43" t="s">
        <v>61</v>
      </c>
      <c r="B27" s="44"/>
      <c r="C27" s="7"/>
      <c r="D27" s="45">
        <f>D24+D25</f>
        <v>2800.000000000548</v>
      </c>
      <c r="E27" s="2" t="s">
        <v>47</v>
      </c>
      <c r="F27" s="41" t="s">
        <v>108</v>
      </c>
      <c r="M27" s="7"/>
      <c r="N27" s="7"/>
      <c r="Z27" s="80">
        <f>_QD3*Sbase</f>
        <v>124</v>
      </c>
      <c r="AA27" s="80" t="s">
        <v>116</v>
      </c>
    </row>
    <row r="28" spans="1:30" s="2" customFormat="1" ht="13" customHeight="1" x14ac:dyDescent="0.25">
      <c r="A28" s="42" t="s">
        <v>115</v>
      </c>
      <c r="B28" s="20"/>
      <c r="C28" s="20"/>
      <c r="G28" s="69" t="s">
        <v>138</v>
      </c>
      <c r="H28" s="6">
        <f>H24-H25</f>
        <v>1.6652279555273708E-10</v>
      </c>
      <c r="I28" s="2" t="s">
        <v>48</v>
      </c>
      <c r="M28" s="7"/>
      <c r="N28" s="7"/>
      <c r="Z28" s="80"/>
      <c r="AA28" s="80"/>
    </row>
    <row r="29" spans="1:30" s="2" customFormat="1" ht="13" customHeight="1" x14ac:dyDescent="0.25">
      <c r="B29" s="30" t="s">
        <v>62</v>
      </c>
      <c r="C29" s="31"/>
      <c r="D29" s="33">
        <f>(_V1*_V1*_G11+_V1*_V2*(_G12*COS(_T1-_T2)+_B12*SIN(_T1-_T2))+_V1*_V3*(_G13*COS(_T1-_T3)+_B13*SIN(_T1-_T3)))</f>
        <v>0.25000007640490596</v>
      </c>
      <c r="F29" s="41" t="s">
        <v>109</v>
      </c>
      <c r="G29" s="69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30" s="2" customFormat="1" ht="13" customHeight="1" x14ac:dyDescent="0.2">
      <c r="B30" s="30" t="s">
        <v>63</v>
      </c>
      <c r="C30" s="31">
        <f>_PG2-_PD2</f>
        <v>0.750000000000274</v>
      </c>
      <c r="D30" s="33">
        <f>(_V2*_V2*_G22+_V2*_V1*(_G21*COS(_T2-_T1)+_B21*SIN(_T2-_T1))+_V2*_V3*(_G23*COS(_T2-_T3)+_B23*SIN(_T2-_T3)))</f>
        <v>0.750000000000274</v>
      </c>
      <c r="F30" s="41" t="s">
        <v>110</v>
      </c>
      <c r="M30" s="7"/>
      <c r="N30" s="32"/>
    </row>
    <row r="31" spans="1:30" s="2" customFormat="1" ht="13" customHeight="1" x14ac:dyDescent="0.2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-1.00000007640518</v>
      </c>
      <c r="F31" s="41" t="s">
        <v>111</v>
      </c>
      <c r="M31" s="32"/>
      <c r="N31" s="7"/>
    </row>
    <row r="32" spans="1:30" s="2" customFormat="1" ht="13" customHeight="1" x14ac:dyDescent="0.2">
      <c r="B32" s="30" t="s">
        <v>65</v>
      </c>
      <c r="C32" s="31">
        <f>_QG1-_QD1</f>
        <v>0</v>
      </c>
      <c r="D32" s="33">
        <f>(-_V1*_V1*_B11+_V1*_V2*(_G12*SIN(_T1-_T2)-_B12*COS(_T1-_T2))+_V1*_V3*(_G13*SIN(_T1-_T3)-_B13*COS(_T1-_T3)))</f>
        <v>0.8091605007752154</v>
      </c>
      <c r="F32" s="41" t="s">
        <v>112</v>
      </c>
      <c r="M32" s="7"/>
      <c r="N32" s="7"/>
      <c r="P32" s="8"/>
    </row>
    <row r="33" spans="1:27" s="2" customFormat="1" ht="13" customHeight="1" x14ac:dyDescent="0.2">
      <c r="B33" s="30" t="s">
        <v>66</v>
      </c>
      <c r="C33" s="31"/>
      <c r="D33" s="33">
        <f>(-_V2*_V2*_B22+_V2*_V1*(_G21*SIN(_T2-_T1)-_B21*COS(_T2-_T1))+_V2*_V3*(_G23*SIN(_T2-_T3)-_B23*COS(_T2-_T3)))</f>
        <v>2.8164662418005196E-2</v>
      </c>
      <c r="F33" s="41" t="s">
        <v>113</v>
      </c>
      <c r="H33" s="76"/>
      <c r="I33" s="7"/>
      <c r="K33" s="7"/>
      <c r="L33" s="7"/>
      <c r="M33" s="7"/>
      <c r="N33" s="7"/>
    </row>
    <row r="34" spans="1:27" s="2" customFormat="1" ht="13" customHeight="1" x14ac:dyDescent="0.2">
      <c r="A34"/>
      <c r="B34" s="30" t="s">
        <v>67</v>
      </c>
      <c r="C34" s="31">
        <f>_QG3-_QD3</f>
        <v>-0.62</v>
      </c>
      <c r="D34" s="33">
        <f>(-_V3*_V3*_B33+_V3*_V1*(_G31*SIN(_T3-_T1)-_B31*COS(_T3-_T1))+_V3*_V2*(_G32*SIN(_T3-_T2)-_B32*COS(_T3-_T2)))</f>
        <v>-0.62000037313905487</v>
      </c>
      <c r="F34" s="41" t="s">
        <v>114</v>
      </c>
      <c r="H34" s="7"/>
      <c r="I34" s="7"/>
      <c r="K34" s="7"/>
      <c r="L34" s="7"/>
      <c r="M34" s="7"/>
      <c r="N34" s="7"/>
    </row>
    <row r="35" spans="1:27" s="2" customFormat="1" x14ac:dyDescent="0.2">
      <c r="F35" s="7"/>
      <c r="G35" s="7"/>
      <c r="H35" s="7"/>
      <c r="I35" s="7"/>
      <c r="K35" s="7"/>
      <c r="L35" s="7"/>
      <c r="M35" s="7"/>
      <c r="N35" s="7"/>
    </row>
    <row r="36" spans="1:27" s="2" customFormat="1" x14ac:dyDescent="0.2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 x14ac:dyDescent="0.2">
      <c r="A37" s="2" t="s">
        <v>117</v>
      </c>
      <c r="B37" s="46">
        <f>E13*H24</f>
        <v>500.00000000832614</v>
      </c>
      <c r="C37" s="46">
        <f>D24</f>
        <v>1100</v>
      </c>
      <c r="D37" s="46">
        <f>B37-C37</f>
        <v>-599.9999999916738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3.077198016399052E-7</v>
      </c>
      <c r="L37" s="7"/>
      <c r="M37" s="7"/>
      <c r="N37" s="7"/>
    </row>
    <row r="38" spans="1:27" s="2" customFormat="1" x14ac:dyDescent="0.2">
      <c r="A38" s="47" t="s">
        <v>118</v>
      </c>
      <c r="B38" s="48">
        <f>E14*H25</f>
        <v>1500.000000000548</v>
      </c>
      <c r="C38" s="48">
        <f>D25</f>
        <v>1700.000000000548</v>
      </c>
      <c r="D38" s="48">
        <f t="shared" ref="D38:D39" si="0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 x14ac:dyDescent="0.2">
      <c r="A39" s="2" t="s">
        <v>120</v>
      </c>
      <c r="B39" s="46">
        <f>SUM(B37:B38)</f>
        <v>2000.0000000088742</v>
      </c>
      <c r="C39" s="46">
        <f>SUM(C37:C38)</f>
        <v>2800.000000000548</v>
      </c>
      <c r="D39" s="46">
        <f t="shared" si="0"/>
        <v>-799.9999999916738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3.077198016399052E-7</v>
      </c>
      <c r="L39" s="32"/>
      <c r="M39" s="63" t="s">
        <v>143</v>
      </c>
      <c r="N39" s="63"/>
      <c r="O39" s="64"/>
      <c r="P39" s="64"/>
    </row>
    <row r="40" spans="1:27" s="2" customFormat="1" x14ac:dyDescent="0.2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 x14ac:dyDescent="0.2">
      <c r="A41" s="7" t="s">
        <v>57</v>
      </c>
      <c r="B41" s="49"/>
      <c r="C41" s="7"/>
      <c r="D41" s="7"/>
      <c r="E41" s="7"/>
      <c r="F41" s="7"/>
      <c r="I41" s="7"/>
      <c r="J41" s="7"/>
      <c r="K41" s="103"/>
      <c r="L41" s="103"/>
    </row>
    <row r="42" spans="1:27" s="2" customFormat="1" x14ac:dyDescent="0.2">
      <c r="A42" s="7" t="s">
        <v>58</v>
      </c>
      <c r="B42" s="76"/>
      <c r="C42" s="76"/>
      <c r="D42" s="76"/>
      <c r="E42" s="76"/>
      <c r="F42" s="76"/>
      <c r="G42" s="76"/>
      <c r="H42" s="76"/>
      <c r="I42" s="7"/>
      <c r="J42" s="7"/>
      <c r="K42" s="7"/>
      <c r="L42" s="7"/>
    </row>
    <row r="43" spans="1:27" s="2" customFormat="1" x14ac:dyDescent="0.2">
      <c r="A43" s="7"/>
      <c r="B43" s="76" t="s">
        <v>3</v>
      </c>
      <c r="C43" s="76" t="s">
        <v>4</v>
      </c>
      <c r="D43" s="76" t="s">
        <v>5</v>
      </c>
      <c r="E43" s="76" t="s">
        <v>6</v>
      </c>
      <c r="F43" s="76" t="s">
        <v>7</v>
      </c>
      <c r="G43" s="76" t="s">
        <v>8</v>
      </c>
      <c r="H43" s="50" t="s">
        <v>9</v>
      </c>
      <c r="I43" s="7"/>
      <c r="J43" s="42" t="s">
        <v>28</v>
      </c>
      <c r="L43" s="103" t="s">
        <v>123</v>
      </c>
      <c r="M43" s="103"/>
      <c r="Y43" s="50" t="s">
        <v>9</v>
      </c>
      <c r="Z43" s="7"/>
      <c r="AA43" s="42" t="s">
        <v>28</v>
      </c>
    </row>
    <row r="44" spans="1:27" s="2" customFormat="1" x14ac:dyDescent="0.2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7" x14ac:dyDescent="0.25">
      <c r="A45" s="76">
        <v>12</v>
      </c>
      <c r="B45" s="51">
        <f>_V1*_V2*(_G12*COS(_T1-_T2)+_B12*SIN(_T1-_T2))-_G12*_V1*_V1</f>
        <v>-0.74999999998338795</v>
      </c>
      <c r="C45" s="51">
        <f>_V1*_V2*(_G12*COS(_T2-_T1)+_B12*SIN(_T2-_T1))-_G12*_V2*_V2</f>
        <v>0.74999999998338795</v>
      </c>
      <c r="D45" s="51">
        <f>_V1*_V2*(_G12*SIN(_T1-_T2)-_B12*COS(_T1-_T2))+(_B12)*_V1*_V1</f>
        <v>2.8164662409185581E-2</v>
      </c>
      <c r="E45" s="51">
        <f>_V2*_V1*(_G21*SIN(_T2-_T1)-_B21*COS(_T2-_T1))+(_B21)*_V2*_V2</f>
        <v>2.8164662409185581E-2</v>
      </c>
      <c r="F45" s="51">
        <f>ABS(B45-C45)/2</f>
        <v>0.74999999998338795</v>
      </c>
      <c r="G45" s="51">
        <f>ABS(D45-E45)/2</f>
        <v>0</v>
      </c>
      <c r="H45" s="85">
        <f>(F45*F45)^0.5*Sbase</f>
        <v>149.99999999667759</v>
      </c>
      <c r="I45" s="86" t="s">
        <v>29</v>
      </c>
      <c r="J45" s="87">
        <f>Database!G18</f>
        <v>100</v>
      </c>
      <c r="L45" s="53">
        <f>B45+C45</f>
        <v>0</v>
      </c>
      <c r="M45" s="53">
        <f>D45+E45</f>
        <v>5.6329324818371163E-2</v>
      </c>
      <c r="Y45" s="85" t="s">
        <v>173</v>
      </c>
      <c r="Z45" s="86" t="s">
        <v>29</v>
      </c>
      <c r="AA45" s="87">
        <f>J45</f>
        <v>100</v>
      </c>
    </row>
    <row r="46" spans="1:27" s="2" customFormat="1" ht="17" x14ac:dyDescent="0.25">
      <c r="A46" s="76">
        <v>13</v>
      </c>
      <c r="B46" s="51">
        <f>_V1*_V3*(_G13*COS(_T1-_T3)+_B13*SIN(_T1-_T3))-_G13*_V1*_V1</f>
        <v>1.0000000763882939</v>
      </c>
      <c r="C46" s="51">
        <f>_V3*_V1*(_G13*COS(_T3-_T1)+_B13*SIN(_T3-_T1))-_G13*_V3*_V3</f>
        <v>-1.0000000763882939</v>
      </c>
      <c r="D46" s="51">
        <f>_V1*_V3*(_G13*SIN(_T1-_T3)-_B13*COS(_T1-_T3))+(_B13)*_V1*_V1</f>
        <v>0.78099583836602982</v>
      </c>
      <c r="E46" s="51">
        <f>_V3*_V1*(_G31*SIN(_T3-_T1)-_B31*COS(_T3-_T1))+(_B31)*_V3*_V3</f>
        <v>-0.62000037313386436</v>
      </c>
      <c r="F46" s="51">
        <f t="shared" ref="F46:F47" si="1">ABS(B46-C46)/2</f>
        <v>1.0000000763882939</v>
      </c>
      <c r="G46" s="51">
        <f t="shared" ref="G46:G47" si="2">ABS(D46-E46)/2</f>
        <v>0.70049810574994709</v>
      </c>
      <c r="H46" s="52">
        <f>(F46*F46)^0.5*Sbase</f>
        <v>200.00001527765878</v>
      </c>
      <c r="I46" s="76" t="s">
        <v>29</v>
      </c>
      <c r="J46" s="42">
        <f>Database!G20</f>
        <v>200</v>
      </c>
      <c r="L46" s="53">
        <f>B46+C46</f>
        <v>0</v>
      </c>
      <c r="M46" s="53">
        <f>D46+E46</f>
        <v>0.16099546523216546</v>
      </c>
      <c r="Y46" s="52" t="s">
        <v>174</v>
      </c>
      <c r="Z46" s="76" t="s">
        <v>29</v>
      </c>
      <c r="AA46" s="42">
        <f>J46</f>
        <v>200</v>
      </c>
    </row>
    <row r="47" spans="1:27" s="2" customFormat="1" ht="17" x14ac:dyDescent="0.25">
      <c r="A47" s="15">
        <v>23</v>
      </c>
      <c r="B47" s="58">
        <f>_V2*_V3*(_G23*COS(_T2-_T3)+_B23*SIN(_T2-_T3))-_G23*_V2*_V2</f>
        <v>1.6886089220394639E-11</v>
      </c>
      <c r="C47" s="58">
        <f>_V3*_V2*(_G23*COS(_T3-_T2)+_B23*SIN(_T3-_T2))-_G23*_V3*_V3</f>
        <v>-1.6886089220394639E-11</v>
      </c>
      <c r="D47" s="58">
        <f>_V2*_V3*(_G23*SIN(_T2-_T3)-_B23*COS(_T2-_T3))+(_B23)*_V2*_V2</f>
        <v>8.819608580896201E-12</v>
      </c>
      <c r="E47" s="58">
        <f>_V3*_V2*(_G32*SIN(_T3-_T2)-_B32*COS(_T3-_T2))+(_B32)*_V3*_V3</f>
        <v>-5.1903535341027414E-12</v>
      </c>
      <c r="F47" s="58">
        <f t="shared" si="1"/>
        <v>1.6886089220394639E-11</v>
      </c>
      <c r="G47" s="58">
        <f t="shared" si="2"/>
        <v>7.0049810574994712E-12</v>
      </c>
      <c r="H47" s="88">
        <f>(F47*F47)^0.5*Sbase</f>
        <v>3.377217844078928E-9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3.6292550467934596E-12</v>
      </c>
      <c r="Y47" s="88" t="s">
        <v>175</v>
      </c>
      <c r="Z47" s="15" t="s">
        <v>29</v>
      </c>
      <c r="AA47" s="56">
        <f>J47</f>
        <v>200</v>
      </c>
    </row>
    <row r="48" spans="1:27" s="2" customFormat="1" x14ac:dyDescent="0.2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0.21732479005416588</v>
      </c>
    </row>
    <row r="49" spans="1:30" s="2" customFormat="1" x14ac:dyDescent="0.2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5.4800608495497727E-11</v>
      </c>
      <c r="M49" s="19">
        <f>M48*Sbase</f>
        <v>43.464958010833179</v>
      </c>
    </row>
    <row r="50" spans="1:30" s="2" customFormat="1" x14ac:dyDescent="0.2">
      <c r="C50" s="37"/>
      <c r="L50" s="12" t="s">
        <v>50</v>
      </c>
      <c r="M50" s="12" t="s">
        <v>116</v>
      </c>
    </row>
    <row r="51" spans="1:30" s="2" customFormat="1" x14ac:dyDescent="0.2">
      <c r="A51" s="38" t="s">
        <v>140</v>
      </c>
    </row>
    <row r="52" spans="1:30" s="2" customFormat="1" x14ac:dyDescent="0.2">
      <c r="A52" s="2" t="s">
        <v>141</v>
      </c>
      <c r="D52" s="37">
        <v>0</v>
      </c>
      <c r="E52" s="37" t="s">
        <v>47</v>
      </c>
    </row>
    <row r="53" spans="1:30" x14ac:dyDescent="0.2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G7:N7"/>
    <mergeCell ref="A9:B9"/>
    <mergeCell ref="C9:D9"/>
    <mergeCell ref="E12:F12"/>
    <mergeCell ref="A22:E22"/>
    <mergeCell ref="K41:L41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2E7A-838F-4728-9FF1-34A078167FED}">
  <dimension ref="A1:AD140"/>
  <sheetViews>
    <sheetView topLeftCell="C1" zoomScale="200" zoomScaleNormal="200" zoomScalePageLayoutView="130" workbookViewId="0">
      <pane ySplit="5" topLeftCell="A6" activePane="bottomLeft" state="frozen"/>
      <selection pane="bottomLeft" activeCell="E3" sqref="E3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3.6640625" customWidth="1"/>
    <col min="25" max="25" width="15" customWidth="1"/>
    <col min="26" max="26" width="6.33203125" customWidth="1"/>
    <col min="27" max="27" width="10" customWidth="1"/>
    <col min="28" max="28" width="5.1640625" customWidth="1"/>
  </cols>
  <sheetData>
    <row r="1" spans="1:30" s="2" customFormat="1" x14ac:dyDescent="0.2"/>
    <row r="2" spans="1:30" s="2" customFormat="1" ht="19" x14ac:dyDescent="0.25">
      <c r="E2" s="9" t="s">
        <v>38</v>
      </c>
    </row>
    <row r="3" spans="1:30" s="2" customFormat="1" ht="19" x14ac:dyDescent="0.25">
      <c r="E3" s="70" t="s">
        <v>181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105" t="s">
        <v>53</v>
      </c>
      <c r="H7" s="105"/>
      <c r="I7" s="105"/>
      <c r="J7" s="105"/>
      <c r="K7" s="105"/>
      <c r="L7" s="105"/>
      <c r="M7" s="105"/>
      <c r="N7" s="105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</row>
    <row r="9" spans="1:30" s="2" customFormat="1" x14ac:dyDescent="0.2">
      <c r="A9" s="102" t="s">
        <v>147</v>
      </c>
      <c r="B9" s="102"/>
      <c r="C9" s="106" t="s">
        <v>148</v>
      </c>
      <c r="D9" s="106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0" t="s">
        <v>26</v>
      </c>
      <c r="P9" s="2">
        <v>0</v>
      </c>
      <c r="Q9" s="16" t="s">
        <v>2</v>
      </c>
      <c r="R9" s="39">
        <v>0.1</v>
      </c>
    </row>
    <row r="10" spans="1:30" s="2" customFormat="1" x14ac:dyDescent="0.2">
      <c r="A10" s="21" t="s">
        <v>33</v>
      </c>
      <c r="B10" s="22">
        <f>Database!M12</f>
        <v>0</v>
      </c>
      <c r="C10" s="27" t="s">
        <v>32</v>
      </c>
      <c r="D10" s="28">
        <v>0.99770891780497195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0" t="s">
        <v>27</v>
      </c>
      <c r="P10" s="2">
        <v>0</v>
      </c>
      <c r="Q10" s="16" t="s">
        <v>2</v>
      </c>
      <c r="R10" s="39">
        <v>0.1</v>
      </c>
    </row>
    <row r="11" spans="1:30" x14ac:dyDescent="0.2">
      <c r="A11" s="21" t="s">
        <v>31</v>
      </c>
      <c r="B11" s="101">
        <v>1.03</v>
      </c>
      <c r="C11" s="27" t="s">
        <v>35</v>
      </c>
      <c r="D11" s="28">
        <v>7.8863926108690296E-11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1" t="s">
        <v>34</v>
      </c>
      <c r="B12" s="101">
        <v>1.03</v>
      </c>
      <c r="C12" s="27" t="s">
        <v>36</v>
      </c>
      <c r="D12" s="28">
        <v>-4.8674379873314307E-2</v>
      </c>
      <c r="E12" s="108" t="s">
        <v>55</v>
      </c>
      <c r="F12" s="108"/>
      <c r="G12" s="75" t="s">
        <v>169</v>
      </c>
      <c r="H12" s="12"/>
      <c r="I12" s="75" t="s">
        <v>169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ht="17" x14ac:dyDescent="0.25">
      <c r="A13" s="21" t="s">
        <v>17</v>
      </c>
      <c r="B13" s="22">
        <f>Database!M15</f>
        <v>0</v>
      </c>
      <c r="C13" s="89" t="s">
        <v>11</v>
      </c>
      <c r="D13" s="90">
        <v>0.5</v>
      </c>
      <c r="E13" s="91">
        <f>_PG1*Sbase</f>
        <v>100</v>
      </c>
      <c r="F13" s="92" t="s">
        <v>50</v>
      </c>
      <c r="G13" s="42">
        <f>Database!F13</f>
        <v>50</v>
      </c>
      <c r="H13" s="12" t="s">
        <v>168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17" x14ac:dyDescent="0.25">
      <c r="A14" s="21" t="s">
        <v>18</v>
      </c>
      <c r="B14" s="22">
        <f>Database!M16</f>
        <v>0</v>
      </c>
      <c r="C14" s="89" t="s">
        <v>12</v>
      </c>
      <c r="D14" s="90">
        <v>0.5</v>
      </c>
      <c r="E14" s="91">
        <f>_PG2*Sbase</f>
        <v>100</v>
      </c>
      <c r="F14" s="92" t="s">
        <v>50</v>
      </c>
      <c r="G14" s="42">
        <f>Database!F14</f>
        <v>50</v>
      </c>
      <c r="H14" s="12" t="s">
        <v>170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ht="17" x14ac:dyDescent="0.25">
      <c r="A15" s="21" t="s">
        <v>19</v>
      </c>
      <c r="B15" s="22">
        <f>Database!M17/Sbase</f>
        <v>1</v>
      </c>
      <c r="C15" s="93" t="s">
        <v>14</v>
      </c>
      <c r="D15" s="94">
        <v>0</v>
      </c>
      <c r="E15" s="95">
        <f>_QG1*Sbase</f>
        <v>0</v>
      </c>
      <c r="F15" s="92" t="s">
        <v>56</v>
      </c>
      <c r="G15" s="97">
        <f>Database!H13</f>
        <v>-150</v>
      </c>
      <c r="H15" s="12" t="s">
        <v>171</v>
      </c>
      <c r="I15" s="75">
        <f>Database!I13</f>
        <v>150</v>
      </c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ht="17" x14ac:dyDescent="0.25">
      <c r="A16" s="21" t="s">
        <v>20</v>
      </c>
      <c r="B16" s="22">
        <f>Database!M18</f>
        <v>0</v>
      </c>
      <c r="C16" s="93" t="s">
        <v>15</v>
      </c>
      <c r="D16" s="94">
        <v>0</v>
      </c>
      <c r="E16" s="95">
        <f>_QG2*Sbase</f>
        <v>0</v>
      </c>
      <c r="F16" s="92" t="s">
        <v>56</v>
      </c>
      <c r="G16" s="97">
        <f>Database!H14</f>
        <v>-150</v>
      </c>
      <c r="H16" s="12" t="s">
        <v>172</v>
      </c>
      <c r="I16" s="75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84">
        <f>H45</f>
        <v>1.6733347841741902E-7</v>
      </c>
      <c r="Z16" s="2" t="s">
        <v>50</v>
      </c>
      <c r="AA16" s="2"/>
      <c r="AB16" s="2"/>
      <c r="AC16" s="2"/>
      <c r="AD16" s="2"/>
    </row>
    <row r="17" spans="1:30" ht="15" customHeight="1" x14ac:dyDescent="0.25">
      <c r="A17" s="21" t="s">
        <v>21</v>
      </c>
      <c r="B17" s="22">
        <f>Database!M19</f>
        <v>0</v>
      </c>
      <c r="C17" s="7"/>
      <c r="D17" s="32"/>
      <c r="E17" s="32"/>
      <c r="F17" s="7"/>
      <c r="G17" s="97">
        <f>Database!G23</f>
        <v>0.95</v>
      </c>
      <c r="H17" s="12" t="s">
        <v>176</v>
      </c>
      <c r="I17" s="97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</row>
    <row r="18" spans="1:30" x14ac:dyDescent="0.2">
      <c r="A18" s="21" t="s">
        <v>22</v>
      </c>
      <c r="B18" s="101">
        <v>0.62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2"/>
      <c r="Z18" s="2"/>
      <c r="AA18" s="2"/>
      <c r="AB18" s="112">
        <f>_PG2*Sbase</f>
        <v>100</v>
      </c>
      <c r="AC18" s="2" t="s">
        <v>50</v>
      </c>
      <c r="AD18" s="2"/>
    </row>
    <row r="19" spans="1:30" x14ac:dyDescent="0.2">
      <c r="A19" s="21" t="s">
        <v>13</v>
      </c>
      <c r="B19" s="22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11">
        <f>D33*Sbase</f>
        <v>68.953828933562278</v>
      </c>
      <c r="AC19" s="2" t="s">
        <v>116</v>
      </c>
      <c r="AD19" s="2"/>
    </row>
    <row r="20" spans="1:30" x14ac:dyDescent="0.2">
      <c r="A20" s="21" t="s">
        <v>16</v>
      </c>
      <c r="B20" s="22"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11">
        <f>_PG1*Sbase</f>
        <v>100</v>
      </c>
      <c r="X20" s="2" t="s">
        <v>50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111">
        <f>D32*Sbase</f>
        <v>68.953828925675964</v>
      </c>
      <c r="X21" s="7" t="s">
        <v>116</v>
      </c>
      <c r="Y21" s="7"/>
      <c r="Z21" s="7"/>
      <c r="AA21" s="7"/>
    </row>
    <row r="22" spans="1:30" s="7" customFormat="1" ht="13" customHeight="1" x14ac:dyDescent="0.2">
      <c r="A22" s="107" t="s">
        <v>60</v>
      </c>
      <c r="B22" s="107"/>
      <c r="C22" s="107"/>
      <c r="D22" s="107"/>
      <c r="E22" s="107"/>
      <c r="F22" s="19"/>
      <c r="G22" s="19"/>
      <c r="H22" s="19"/>
      <c r="P22" s="2"/>
      <c r="Q22" s="2"/>
      <c r="W22" s="37"/>
      <c r="Y22" s="2"/>
      <c r="AA22" s="112">
        <f>H47</f>
        <v>100.00000016579069</v>
      </c>
      <c r="AB22" s="80" t="s">
        <v>50</v>
      </c>
    </row>
    <row r="23" spans="1:30" s="2" customFormat="1" ht="13" customHeight="1" x14ac:dyDescent="0.2">
      <c r="A23" s="2" t="s">
        <v>149</v>
      </c>
      <c r="B23" s="98" t="s">
        <v>59</v>
      </c>
      <c r="C23" s="98" t="s">
        <v>107</v>
      </c>
      <c r="D23" s="98" t="s">
        <v>106</v>
      </c>
      <c r="F23" s="98" t="s">
        <v>105</v>
      </c>
      <c r="H23" s="98" t="s">
        <v>37</v>
      </c>
      <c r="I23" s="38"/>
      <c r="K23" s="7"/>
      <c r="M23" s="7"/>
      <c r="N23" s="7"/>
      <c r="W23" s="111">
        <f>H46</f>
        <v>100.00000000389517</v>
      </c>
      <c r="X23" s="80" t="s">
        <v>50</v>
      </c>
    </row>
    <row r="24" spans="1:30" s="2" customFormat="1" ht="13" customHeight="1" x14ac:dyDescent="0.25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2100</v>
      </c>
      <c r="E24" s="2" t="s">
        <v>47</v>
      </c>
      <c r="F24" s="6">
        <f>B24*_PG1+C24</f>
        <v>10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</row>
    <row r="25" spans="1:30" s="2" customFormat="1" ht="13" customHeight="1" x14ac:dyDescent="0.25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1200</v>
      </c>
      <c r="E25" s="2" t="s">
        <v>47</v>
      </c>
      <c r="F25" s="6">
        <f>B25*_PG1+C25</f>
        <v>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W25" s="81">
        <f>_V3</f>
        <v>0.99770891780497195</v>
      </c>
      <c r="X25" s="2" t="s">
        <v>126</v>
      </c>
    </row>
    <row r="26" spans="1:30" s="2" customFormat="1" ht="13" customHeight="1" x14ac:dyDescent="0.25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3">
        <f>_PD3*Sbase</f>
        <v>200</v>
      </c>
      <c r="AA26" s="80" t="s">
        <v>50</v>
      </c>
    </row>
    <row r="27" spans="1:30" s="2" customFormat="1" ht="13" customHeight="1" x14ac:dyDescent="0.2">
      <c r="A27" s="43" t="s">
        <v>61</v>
      </c>
      <c r="B27" s="44"/>
      <c r="C27" s="7"/>
      <c r="D27" s="45">
        <f>D24+D25</f>
        <v>3300</v>
      </c>
      <c r="E27" s="2" t="s">
        <v>47</v>
      </c>
      <c r="F27" s="41" t="s">
        <v>108</v>
      </c>
      <c r="M27" s="7"/>
      <c r="N27" s="7"/>
      <c r="Z27" s="80">
        <f>_QD3*Sbase</f>
        <v>124</v>
      </c>
      <c r="AA27" s="80" t="s">
        <v>116</v>
      </c>
    </row>
    <row r="28" spans="1:30" s="2" customFormat="1" ht="13" customHeight="1" x14ac:dyDescent="0.25">
      <c r="A28" s="42" t="s">
        <v>115</v>
      </c>
      <c r="B28" s="20"/>
      <c r="C28" s="20"/>
      <c r="G28" s="69" t="s">
        <v>138</v>
      </c>
      <c r="H28" s="6">
        <f>H24-H25</f>
        <v>1.6652279555273708E-10</v>
      </c>
      <c r="I28" s="2" t="s">
        <v>48</v>
      </c>
      <c r="M28" s="7"/>
      <c r="N28" s="7"/>
      <c r="Z28" s="80"/>
      <c r="AA28" s="80"/>
    </row>
    <row r="29" spans="1:30" s="2" customFormat="1" ht="13" customHeight="1" x14ac:dyDescent="0.25">
      <c r="B29" s="30" t="s">
        <v>62</v>
      </c>
      <c r="C29" s="31"/>
      <c r="D29" s="33">
        <f>(_V1*_V1*_G11+_V1*_V2*(_G12*COS(_T1-_T2)+_B12*SIN(_T1-_T2))+_V1*_V3*(_G13*COS(_T1-_T3)+_B13*SIN(_T1-_T3)))</f>
        <v>0.49999999918280846</v>
      </c>
      <c r="F29" s="41" t="s">
        <v>109</v>
      </c>
      <c r="G29" s="69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30" s="2" customFormat="1" ht="13" customHeight="1" x14ac:dyDescent="0.2">
      <c r="B30" s="30" t="s">
        <v>63</v>
      </c>
      <c r="C30" s="31">
        <f>_PG2-_PD2</f>
        <v>0.5</v>
      </c>
      <c r="D30" s="33">
        <f>(_V2*_V2*_G22+_V2*_V1*(_G21*COS(_T2-_T1)+_B21*SIN(_T2-_T1))+_V2*_V3*(_G23*COS(_T2-_T3)+_B23*SIN(_T2-_T3)))</f>
        <v>0.50000000166562086</v>
      </c>
      <c r="F30" s="41" t="s">
        <v>110</v>
      </c>
      <c r="M30" s="7"/>
      <c r="N30" s="32"/>
    </row>
    <row r="31" spans="1:30" s="2" customFormat="1" ht="13" customHeight="1" x14ac:dyDescent="0.2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-1.0000000008484293</v>
      </c>
      <c r="F31" s="41" t="s">
        <v>111</v>
      </c>
      <c r="M31" s="32"/>
      <c r="N31" s="7"/>
    </row>
    <row r="32" spans="1:30" s="2" customFormat="1" ht="13" customHeight="1" x14ac:dyDescent="0.2">
      <c r="B32" s="30" t="s">
        <v>65</v>
      </c>
      <c r="C32" s="31">
        <f>_QG1-_QD1</f>
        <v>0</v>
      </c>
      <c r="D32" s="33">
        <f>(-_V1*_V1*_B11+_V1*_V2*(_G12*SIN(_T1-_T2)-_B12*COS(_T1-_T2))+_V1*_V3*(_G13*SIN(_T1-_T3)-_B13*COS(_T1-_T3)))</f>
        <v>0.34476914462837982</v>
      </c>
      <c r="F32" s="41" t="s">
        <v>112</v>
      </c>
      <c r="M32" s="7"/>
      <c r="N32" s="7"/>
      <c r="P32" s="8"/>
    </row>
    <row r="33" spans="1:27" s="2" customFormat="1" ht="13" customHeight="1" x14ac:dyDescent="0.2">
      <c r="B33" s="30" t="s">
        <v>66</v>
      </c>
      <c r="C33" s="31"/>
      <c r="D33" s="33">
        <f>(-_V2*_V2*_B22+_V2*_V1*(_G21*SIN(_T2-_T1)-_B21*COS(_T2-_T1))+_V2*_V3*(_G23*SIN(_T2-_T3)-_B23*COS(_T2-_T3)))</f>
        <v>0.34476914466781139</v>
      </c>
      <c r="F33" s="41" t="s">
        <v>113</v>
      </c>
      <c r="H33" s="97"/>
      <c r="I33" s="7"/>
      <c r="K33" s="7"/>
      <c r="L33" s="7"/>
      <c r="M33" s="7"/>
      <c r="N33" s="7"/>
    </row>
    <row r="34" spans="1:27" s="2" customFormat="1" ht="13" customHeight="1" x14ac:dyDescent="0.2">
      <c r="A34"/>
      <c r="B34" s="30" t="s">
        <v>67</v>
      </c>
      <c r="C34" s="31">
        <f>_QG3-_QD3</f>
        <v>-0.62</v>
      </c>
      <c r="D34" s="33">
        <f>(-_V3*_V3*_B33+_V3*_V1*(_G31*SIN(_T3-_T1)-_B31*COS(_T3-_T1))+_V3*_V2*(_G32*SIN(_T3-_T2)-_B32*COS(_T3-_T2)))</f>
        <v>-0.62000001735244226</v>
      </c>
      <c r="F34" s="41" t="s">
        <v>114</v>
      </c>
      <c r="H34" s="7"/>
      <c r="I34" s="7"/>
      <c r="K34" s="7"/>
      <c r="L34" s="7"/>
      <c r="M34" s="7"/>
      <c r="N34" s="7"/>
    </row>
    <row r="35" spans="1:27" s="2" customFormat="1" x14ac:dyDescent="0.2">
      <c r="F35" s="7"/>
      <c r="G35" s="7"/>
      <c r="H35" s="7"/>
      <c r="I35" s="7"/>
      <c r="K35" s="7"/>
      <c r="L35" s="7"/>
      <c r="M35" s="7"/>
      <c r="N35" s="7"/>
    </row>
    <row r="36" spans="1:27" s="2" customFormat="1" x14ac:dyDescent="0.2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 x14ac:dyDescent="0.2">
      <c r="A37" s="2" t="s">
        <v>117</v>
      </c>
      <c r="B37" s="46">
        <f>E13*H24</f>
        <v>1000.0000000166523</v>
      </c>
      <c r="C37" s="46">
        <f>D24</f>
        <v>2100</v>
      </c>
      <c r="D37" s="46">
        <f>B37-C37</f>
        <v>-1099.9999999833476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2.9994157557666767E-7</v>
      </c>
      <c r="L37" s="7"/>
      <c r="M37" s="7"/>
      <c r="N37" s="7"/>
    </row>
    <row r="38" spans="1:27" s="2" customFormat="1" x14ac:dyDescent="0.2">
      <c r="A38" s="47" t="s">
        <v>118</v>
      </c>
      <c r="B38" s="48">
        <f>E14*H25</f>
        <v>1000</v>
      </c>
      <c r="C38" s="48">
        <f>D25</f>
        <v>1200</v>
      </c>
      <c r="D38" s="48">
        <f t="shared" ref="D38:D39" si="0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 x14ac:dyDescent="0.2">
      <c r="A39" s="2" t="s">
        <v>120</v>
      </c>
      <c r="B39" s="46">
        <f>SUM(B37:B38)</f>
        <v>2000.0000000166524</v>
      </c>
      <c r="C39" s="46">
        <f>SUM(C37:C38)</f>
        <v>3300</v>
      </c>
      <c r="D39" s="46">
        <f t="shared" si="0"/>
        <v>-1299.9999999833476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2.9994157557666767E-7</v>
      </c>
      <c r="L39" s="32"/>
      <c r="M39" s="63" t="s">
        <v>143</v>
      </c>
      <c r="N39" s="63"/>
      <c r="O39" s="64"/>
      <c r="P39" s="64"/>
    </row>
    <row r="40" spans="1:27" s="2" customFormat="1" x14ac:dyDescent="0.2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 x14ac:dyDescent="0.2">
      <c r="A41" s="7" t="s">
        <v>57</v>
      </c>
      <c r="B41" s="49"/>
      <c r="C41" s="7"/>
      <c r="D41" s="7"/>
      <c r="E41" s="7"/>
      <c r="F41" s="7"/>
      <c r="I41" s="7"/>
      <c r="J41" s="7"/>
      <c r="K41" s="103"/>
      <c r="L41" s="103"/>
    </row>
    <row r="42" spans="1:27" s="2" customFormat="1" x14ac:dyDescent="0.2">
      <c r="A42" s="7" t="s">
        <v>58</v>
      </c>
      <c r="B42" s="97"/>
      <c r="C42" s="97"/>
      <c r="D42" s="97"/>
      <c r="E42" s="97"/>
      <c r="F42" s="97"/>
      <c r="G42" s="97"/>
      <c r="H42" s="97"/>
      <c r="I42" s="7"/>
      <c r="J42" s="7"/>
      <c r="K42" s="7"/>
      <c r="L42" s="7"/>
    </row>
    <row r="43" spans="1:27" s="2" customFormat="1" x14ac:dyDescent="0.2">
      <c r="A43" s="7"/>
      <c r="B43" s="97" t="s">
        <v>3</v>
      </c>
      <c r="C43" s="97" t="s">
        <v>4</v>
      </c>
      <c r="D43" s="97" t="s">
        <v>5</v>
      </c>
      <c r="E43" s="97" t="s">
        <v>6</v>
      </c>
      <c r="F43" s="97" t="s">
        <v>7</v>
      </c>
      <c r="G43" s="97" t="s">
        <v>8</v>
      </c>
      <c r="H43" s="50" t="s">
        <v>9</v>
      </c>
      <c r="I43" s="7"/>
      <c r="J43" s="42" t="s">
        <v>28</v>
      </c>
      <c r="L43" s="103" t="s">
        <v>123</v>
      </c>
      <c r="M43" s="103"/>
      <c r="Y43" s="50" t="s">
        <v>9</v>
      </c>
      <c r="Z43" s="7"/>
      <c r="AA43" s="42" t="s">
        <v>28</v>
      </c>
    </row>
    <row r="44" spans="1:27" s="2" customFormat="1" x14ac:dyDescent="0.2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7" x14ac:dyDescent="0.25">
      <c r="A45" s="97">
        <v>12</v>
      </c>
      <c r="B45" s="51">
        <f>_V1*_V2*(_G12*COS(_T1-_T2)+_B12*SIN(_T1-_T2))-_G12*_V1*_V1</f>
        <v>-8.366673920870951E-10</v>
      </c>
      <c r="C45" s="51">
        <f>_V1*_V2*(_G12*COS(_T2-_T1)+_B12*SIN(_T2-_T1))-_G12*_V2*_V2</f>
        <v>8.366673920870951E-10</v>
      </c>
      <c r="D45" s="51">
        <f>_V1*_V2*(_G12*SIN(_T1-_T2)-_B12*COS(_T1-_T2))+(_B12)*_V1*_V1</f>
        <v>0</v>
      </c>
      <c r="E45" s="51">
        <f>_V2*_V1*(_G21*SIN(_T2-_T1)-_B21*COS(_T2-_T1))+(_B21)*_V2*_V2</f>
        <v>0</v>
      </c>
      <c r="F45" s="51">
        <f>ABS(B45-C45)/2</f>
        <v>8.366673920870951E-10</v>
      </c>
      <c r="G45" s="51">
        <f>ABS(D45-E45)/2</f>
        <v>0</v>
      </c>
      <c r="H45" s="85">
        <f>(F45*F45)^0.5*Sbase</f>
        <v>1.6733347841741902E-7</v>
      </c>
      <c r="I45" s="86" t="s">
        <v>29</v>
      </c>
      <c r="J45" s="87">
        <f>Database!G18</f>
        <v>100</v>
      </c>
      <c r="L45" s="53">
        <f>B45+C45</f>
        <v>0</v>
      </c>
      <c r="M45" s="53">
        <f>D45+E45</f>
        <v>0</v>
      </c>
      <c r="Y45" s="85" t="s">
        <v>173</v>
      </c>
      <c r="Z45" s="86" t="s">
        <v>29</v>
      </c>
      <c r="AA45" s="87">
        <f>J45</f>
        <v>100</v>
      </c>
    </row>
    <row r="46" spans="1:27" s="2" customFormat="1" ht="17" x14ac:dyDescent="0.25">
      <c r="A46" s="97">
        <v>13</v>
      </c>
      <c r="B46" s="51">
        <f>_V1*_V3*(_G13*COS(_T1-_T3)+_B13*SIN(_T1-_T3))-_G13*_V1*_V1</f>
        <v>0.50000000001947587</v>
      </c>
      <c r="C46" s="51">
        <f>_V3*_V1*(_G13*COS(_T3-_T1)+_B13*SIN(_T3-_T1))-_G13*_V3*_V3</f>
        <v>-0.50000000001947587</v>
      </c>
      <c r="D46" s="51">
        <f>_V1*_V3*(_G13*SIN(_T1-_T3)-_B13*COS(_T1-_T3))+(_B13)*_V1*_V1</f>
        <v>0.3447691446283816</v>
      </c>
      <c r="E46" s="51">
        <f>_V3*_V1*(_G31*SIN(_T3-_T1)-_B31*COS(_T3-_T1))+(_B31)*_V3*_V3</f>
        <v>-0.31000000869593691</v>
      </c>
      <c r="F46" s="51">
        <f t="shared" ref="F46:F47" si="1">ABS(B46-C46)/2</f>
        <v>0.50000000001947587</v>
      </c>
      <c r="G46" s="51">
        <f t="shared" ref="G46:G47" si="2">ABS(D46-E46)/2</f>
        <v>0.32738457666215925</v>
      </c>
      <c r="H46" s="52">
        <f>(F46*F46)^0.5*Sbase</f>
        <v>100.00000000389517</v>
      </c>
      <c r="I46" s="97" t="s">
        <v>29</v>
      </c>
      <c r="J46" s="42">
        <f>Database!G20</f>
        <v>200</v>
      </c>
      <c r="L46" s="53">
        <f>B46+C46</f>
        <v>0</v>
      </c>
      <c r="M46" s="53">
        <f>D46+E46</f>
        <v>3.4769135932444684E-2</v>
      </c>
      <c r="Y46" s="52" t="s">
        <v>174</v>
      </c>
      <c r="Z46" s="97" t="s">
        <v>29</v>
      </c>
      <c r="AA46" s="42">
        <f>J46</f>
        <v>200</v>
      </c>
    </row>
    <row r="47" spans="1:27" s="2" customFormat="1" ht="17" x14ac:dyDescent="0.25">
      <c r="A47" s="15">
        <v>23</v>
      </c>
      <c r="B47" s="58">
        <f>_V2*_V3*(_G23*COS(_T2-_T3)+_B23*SIN(_T2-_T3))-_G23*_V2*_V2</f>
        <v>0.50000000082895346</v>
      </c>
      <c r="C47" s="58">
        <f>_V3*_V2*(_G23*COS(_T3-_T2)+_B23*SIN(_T3-_T2))-_G23*_V3*_V3</f>
        <v>-0.50000000082895346</v>
      </c>
      <c r="D47" s="58">
        <f>_V2*_V3*(_G23*SIN(_T2-_T3)-_B23*COS(_T2-_T3))+(_B23)*_V2*_V2</f>
        <v>0.34476914466781317</v>
      </c>
      <c r="E47" s="58">
        <f>_V3*_V2*(_G32*SIN(_T3-_T2)-_B32*COS(_T3-_T2))+(_B32)*_V3*_V3</f>
        <v>-0.31000000865650534</v>
      </c>
      <c r="F47" s="58">
        <f t="shared" si="1"/>
        <v>0.50000000082895346</v>
      </c>
      <c r="G47" s="58">
        <f t="shared" si="2"/>
        <v>0.32738457666215925</v>
      </c>
      <c r="H47" s="88">
        <f>(F47*F47)^0.5*Sbase</f>
        <v>100.00000016579069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3.4769136011307822E-2</v>
      </c>
      <c r="Y47" s="88" t="s">
        <v>175</v>
      </c>
      <c r="Z47" s="15" t="s">
        <v>29</v>
      </c>
      <c r="AA47" s="56">
        <f>J47</f>
        <v>200</v>
      </c>
    </row>
    <row r="48" spans="1:27" s="2" customFormat="1" x14ac:dyDescent="0.2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6.9538271943752505E-2</v>
      </c>
    </row>
    <row r="49" spans="1:30" s="2" customFormat="1" x14ac:dyDescent="0.2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0</v>
      </c>
      <c r="M49" s="19">
        <f>M48*Sbase</f>
        <v>13.907654388750501</v>
      </c>
    </row>
    <row r="50" spans="1:30" s="2" customFormat="1" x14ac:dyDescent="0.2">
      <c r="C50" s="37"/>
      <c r="L50" s="12" t="s">
        <v>50</v>
      </c>
      <c r="M50" s="12" t="s">
        <v>116</v>
      </c>
    </row>
    <row r="51" spans="1:30" s="2" customFormat="1" x14ac:dyDescent="0.2">
      <c r="A51" s="38" t="s">
        <v>140</v>
      </c>
    </row>
    <row r="52" spans="1:30" s="2" customFormat="1" x14ac:dyDescent="0.2">
      <c r="A52" s="2" t="s">
        <v>141</v>
      </c>
      <c r="D52" s="37">
        <v>0</v>
      </c>
      <c r="E52" s="37" t="s">
        <v>47</v>
      </c>
    </row>
    <row r="53" spans="1:30" x14ac:dyDescent="0.2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G7:N7"/>
    <mergeCell ref="A9:B9"/>
    <mergeCell ref="C9:D9"/>
    <mergeCell ref="E12:F12"/>
    <mergeCell ref="A22:E22"/>
    <mergeCell ref="K41:L41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43CC-6DCB-CF48-A3CB-0DAA94224573}">
  <dimension ref="A1:AD140"/>
  <sheetViews>
    <sheetView tabSelected="1" zoomScale="200" zoomScaleNormal="200" zoomScalePageLayoutView="130" workbookViewId="0">
      <pane ySplit="5" topLeftCell="A14" activePane="bottomLeft" state="frozen"/>
      <selection pane="bottomLeft" activeCell="A21" sqref="A21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3.6640625" customWidth="1"/>
    <col min="25" max="25" width="15" customWidth="1"/>
    <col min="26" max="26" width="6.33203125" customWidth="1"/>
    <col min="27" max="27" width="10" customWidth="1"/>
    <col min="28" max="28" width="5.83203125" customWidth="1"/>
  </cols>
  <sheetData>
    <row r="1" spans="1:30" s="2" customFormat="1" x14ac:dyDescent="0.2"/>
    <row r="2" spans="1:30" s="2" customFormat="1" ht="19" x14ac:dyDescent="0.25">
      <c r="E2" s="9" t="s">
        <v>38</v>
      </c>
    </row>
    <row r="3" spans="1:30" s="2" customFormat="1" ht="19" x14ac:dyDescent="0.25">
      <c r="E3" s="70" t="s">
        <v>182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105" t="s">
        <v>53</v>
      </c>
      <c r="H7" s="105"/>
      <c r="I7" s="105"/>
      <c r="J7" s="105"/>
      <c r="K7" s="105"/>
      <c r="L7" s="105"/>
      <c r="M7" s="105"/>
      <c r="N7" s="105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</row>
    <row r="9" spans="1:30" s="2" customFormat="1" x14ac:dyDescent="0.2">
      <c r="A9" s="102" t="s">
        <v>147</v>
      </c>
      <c r="B9" s="102"/>
      <c r="C9" s="106" t="s">
        <v>148</v>
      </c>
      <c r="D9" s="106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-10.000000000099998</v>
      </c>
      <c r="M9" s="5">
        <f>R10/(R10*R10+P10*P10)</f>
        <v>1E-10</v>
      </c>
      <c r="N9" s="7"/>
      <c r="O9" s="40" t="s">
        <v>26</v>
      </c>
      <c r="P9" s="2">
        <v>0</v>
      </c>
      <c r="Q9" s="16" t="s">
        <v>2</v>
      </c>
      <c r="R9" s="39">
        <v>0.1</v>
      </c>
    </row>
    <row r="10" spans="1:30" s="2" customFormat="1" x14ac:dyDescent="0.2">
      <c r="A10" s="21" t="s">
        <v>33</v>
      </c>
      <c r="B10" s="96">
        <f>Database!M12</f>
        <v>0</v>
      </c>
      <c r="C10" s="27" t="s">
        <v>32</v>
      </c>
      <c r="D10" s="28">
        <v>0.96014733686537845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1E-10</v>
      </c>
      <c r="M10" s="5">
        <f>-R9/(R9*R9+P9*P9)-R10/(R10*R10+P10*P10)</f>
        <v>-10.000000000099998</v>
      </c>
      <c r="O10" s="40" t="s">
        <v>27</v>
      </c>
      <c r="P10" s="2">
        <v>0</v>
      </c>
      <c r="Q10" s="16" t="s">
        <v>2</v>
      </c>
      <c r="R10" s="39">
        <v>10000000000</v>
      </c>
    </row>
    <row r="11" spans="1:30" x14ac:dyDescent="0.2">
      <c r="A11" s="21" t="s">
        <v>31</v>
      </c>
      <c r="B11" s="96">
        <v>1.03</v>
      </c>
      <c r="C11" s="27" t="s">
        <v>35</v>
      </c>
      <c r="D11" s="28">
        <v>4.7147259208117721E-2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1" t="s">
        <v>34</v>
      </c>
      <c r="B12" s="96">
        <v>1.03</v>
      </c>
      <c r="C12" s="27" t="s">
        <v>36</v>
      </c>
      <c r="D12" s="28">
        <v>-0.10129027987111079</v>
      </c>
      <c r="E12" s="108" t="s">
        <v>55</v>
      </c>
      <c r="F12" s="108"/>
      <c r="G12" s="75" t="s">
        <v>169</v>
      </c>
      <c r="H12" s="12"/>
      <c r="I12" s="75" t="s">
        <v>169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ht="17" x14ac:dyDescent="0.25">
      <c r="A13" s="21" t="s">
        <v>17</v>
      </c>
      <c r="B13" s="96">
        <f>Database!M15</f>
        <v>0</v>
      </c>
      <c r="C13" s="89" t="s">
        <v>11</v>
      </c>
      <c r="D13" s="90">
        <v>0.5</v>
      </c>
      <c r="E13" s="91">
        <f>_PG1*Sbase</f>
        <v>100</v>
      </c>
      <c r="F13" s="92" t="s">
        <v>50</v>
      </c>
      <c r="G13" s="42">
        <f>Database!F13</f>
        <v>50</v>
      </c>
      <c r="H13" s="12" t="s">
        <v>168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17" x14ac:dyDescent="0.25">
      <c r="A14" s="21" t="s">
        <v>18</v>
      </c>
      <c r="B14" s="96">
        <f>Database!M16</f>
        <v>0</v>
      </c>
      <c r="C14" s="89" t="s">
        <v>12</v>
      </c>
      <c r="D14" s="90">
        <v>0.5</v>
      </c>
      <c r="E14" s="91">
        <f>_PG2*Sbase</f>
        <v>100</v>
      </c>
      <c r="F14" s="92" t="s">
        <v>50</v>
      </c>
      <c r="G14" s="42">
        <f>Database!F14</f>
        <v>50</v>
      </c>
      <c r="H14" s="12" t="s">
        <v>170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ht="17" x14ac:dyDescent="0.25">
      <c r="A15" s="21" t="s">
        <v>19</v>
      </c>
      <c r="B15" s="96">
        <f>Database!M17/Sbase</f>
        <v>1</v>
      </c>
      <c r="C15" s="93" t="s">
        <v>14</v>
      </c>
      <c r="D15" s="94">
        <v>0</v>
      </c>
      <c r="E15" s="95">
        <f>_QG1*Sbase</f>
        <v>0</v>
      </c>
      <c r="F15" s="92" t="s">
        <v>56</v>
      </c>
      <c r="G15" s="99">
        <f>Database!H13</f>
        <v>-150</v>
      </c>
      <c r="H15" s="12" t="s">
        <v>171</v>
      </c>
      <c r="I15" s="75">
        <f>Database!I13</f>
        <v>150</v>
      </c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ht="17" x14ac:dyDescent="0.25">
      <c r="A16" s="21" t="s">
        <v>20</v>
      </c>
      <c r="B16" s="96">
        <f>Database!M18</f>
        <v>0</v>
      </c>
      <c r="C16" s="93" t="s">
        <v>15</v>
      </c>
      <c r="D16" s="94">
        <v>0</v>
      </c>
      <c r="E16" s="95">
        <f>_QG2*Sbase</f>
        <v>0</v>
      </c>
      <c r="F16" s="92" t="s">
        <v>56</v>
      </c>
      <c r="G16" s="99">
        <f>Database!H14</f>
        <v>-150</v>
      </c>
      <c r="H16" s="12" t="s">
        <v>172</v>
      </c>
      <c r="I16" s="75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112">
        <f>H45</f>
        <v>99.999997244629938</v>
      </c>
      <c r="Z16" s="2" t="s">
        <v>50</v>
      </c>
      <c r="AA16" s="2"/>
      <c r="AB16" s="2"/>
      <c r="AC16" s="2"/>
      <c r="AD16" s="2"/>
    </row>
    <row r="17" spans="1:30" ht="15" customHeight="1" x14ac:dyDescent="0.25">
      <c r="A17" s="21" t="s">
        <v>21</v>
      </c>
      <c r="B17" s="96">
        <f>Database!M19</f>
        <v>0</v>
      </c>
      <c r="C17" s="7"/>
      <c r="D17" s="32"/>
      <c r="E17" s="32"/>
      <c r="F17" s="7"/>
      <c r="G17" s="99">
        <f>Database!G23</f>
        <v>0.95</v>
      </c>
      <c r="H17" s="12" t="s">
        <v>176</v>
      </c>
      <c r="I17" s="99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</row>
    <row r="18" spans="1:30" x14ac:dyDescent="0.2">
      <c r="A18" s="21" t="s">
        <v>22</v>
      </c>
      <c r="B18" s="96">
        <v>0.62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2"/>
      <c r="Z18" s="2"/>
      <c r="AA18" s="2"/>
      <c r="AB18" s="112">
        <f>_PG2*Sbase</f>
        <v>100</v>
      </c>
      <c r="AC18" s="2" t="s">
        <v>50</v>
      </c>
      <c r="AD18" s="2"/>
    </row>
    <row r="19" spans="1:30" x14ac:dyDescent="0.2">
      <c r="A19" s="21" t="s">
        <v>13</v>
      </c>
      <c r="B19" s="96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11">
        <f>D33*Sbase</f>
        <v>2.3577996689664293</v>
      </c>
      <c r="AC19" s="2" t="s">
        <v>116</v>
      </c>
      <c r="AD19" s="2"/>
    </row>
    <row r="20" spans="1:30" x14ac:dyDescent="0.2">
      <c r="A20" s="21" t="s">
        <v>16</v>
      </c>
      <c r="B20" s="96"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11">
        <f>_PG1*Sbase</f>
        <v>100</v>
      </c>
      <c r="X20" s="2" t="s">
        <v>50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111">
        <f>D32*Sbase</f>
        <v>156.3919826890878</v>
      </c>
      <c r="X21" s="7" t="s">
        <v>116</v>
      </c>
      <c r="Y21" s="7"/>
      <c r="Z21" s="7"/>
      <c r="AA21" s="7"/>
    </row>
    <row r="22" spans="1:30" s="7" customFormat="1" ht="13" customHeight="1" x14ac:dyDescent="0.2">
      <c r="A22" s="107" t="s">
        <v>60</v>
      </c>
      <c r="B22" s="107"/>
      <c r="C22" s="107"/>
      <c r="D22" s="107"/>
      <c r="E22" s="107"/>
      <c r="F22" s="19"/>
      <c r="G22" s="19"/>
      <c r="H22" s="19"/>
      <c r="P22" s="2"/>
      <c r="Q22" s="2"/>
      <c r="W22" s="2"/>
      <c r="Y22" s="2"/>
      <c r="AA22" s="84"/>
      <c r="AB22" s="80"/>
    </row>
    <row r="23" spans="1:30" s="2" customFormat="1" ht="13" customHeight="1" x14ac:dyDescent="0.2">
      <c r="A23" s="2" t="s">
        <v>149</v>
      </c>
      <c r="B23" s="100" t="s">
        <v>59</v>
      </c>
      <c r="C23" s="100" t="s">
        <v>107</v>
      </c>
      <c r="D23" s="100" t="s">
        <v>106</v>
      </c>
      <c r="F23" s="100" t="s">
        <v>105</v>
      </c>
      <c r="H23" s="100" t="s">
        <v>37</v>
      </c>
      <c r="I23" s="38"/>
      <c r="K23" s="7"/>
      <c r="M23" s="7"/>
      <c r="N23" s="7"/>
      <c r="W23" s="111">
        <f>H46</f>
        <v>199.99999999707487</v>
      </c>
      <c r="X23" s="80" t="s">
        <v>50</v>
      </c>
    </row>
    <row r="24" spans="1:30" s="2" customFormat="1" ht="13" customHeight="1" x14ac:dyDescent="0.25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2100</v>
      </c>
      <c r="E24" s="2" t="s">
        <v>47</v>
      </c>
      <c r="F24" s="6">
        <f>B24*_PG1+C24</f>
        <v>10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</row>
    <row r="25" spans="1:30" s="2" customFormat="1" ht="13" customHeight="1" x14ac:dyDescent="0.25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1200</v>
      </c>
      <c r="E25" s="2" t="s">
        <v>47</v>
      </c>
      <c r="F25" s="6">
        <f>B25*_PG1+C25</f>
        <v>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W25" s="81">
        <f>_V3</f>
        <v>0.96014733686537845</v>
      </c>
      <c r="X25" s="2" t="s">
        <v>126</v>
      </c>
    </row>
    <row r="26" spans="1:30" s="2" customFormat="1" ht="13" customHeight="1" x14ac:dyDescent="0.25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3">
        <f>_PD3*Sbase</f>
        <v>200</v>
      </c>
      <c r="AA26" s="80" t="s">
        <v>50</v>
      </c>
    </row>
    <row r="27" spans="1:30" s="2" customFormat="1" ht="13" customHeight="1" x14ac:dyDescent="0.2">
      <c r="A27" s="43" t="s">
        <v>61</v>
      </c>
      <c r="B27" s="44"/>
      <c r="C27" s="7"/>
      <c r="D27" s="45">
        <f>D24+D25</f>
        <v>3300</v>
      </c>
      <c r="E27" s="2" t="s">
        <v>47</v>
      </c>
      <c r="F27" s="41" t="s">
        <v>108</v>
      </c>
      <c r="M27" s="7"/>
      <c r="N27" s="7"/>
      <c r="Z27" s="80">
        <f>_QD3*Sbase</f>
        <v>124</v>
      </c>
      <c r="AA27" s="80" t="s">
        <v>116</v>
      </c>
    </row>
    <row r="28" spans="1:30" s="2" customFormat="1" ht="13" customHeight="1" x14ac:dyDescent="0.25">
      <c r="A28" s="42" t="s">
        <v>115</v>
      </c>
      <c r="B28" s="20"/>
      <c r="C28" s="20"/>
      <c r="G28" s="69" t="s">
        <v>138</v>
      </c>
      <c r="H28" s="6">
        <f>H24-H25</f>
        <v>1.6652279555273708E-10</v>
      </c>
      <c r="I28" s="2" t="s">
        <v>48</v>
      </c>
      <c r="M28" s="7"/>
      <c r="N28" s="7"/>
      <c r="Z28" s="80"/>
      <c r="AA28" s="80"/>
    </row>
    <row r="29" spans="1:30" s="2" customFormat="1" ht="13" customHeight="1" x14ac:dyDescent="0.25">
      <c r="B29" s="30" t="s">
        <v>62</v>
      </c>
      <c r="C29" s="31"/>
      <c r="D29" s="33">
        <f>(_V1*_V1*_G11+_V1*_V2*(_G12*COS(_T1-_T2)+_B12*SIN(_T1-_T2))+_V1*_V3*(_G13*COS(_T1-_T3)+_B13*SIN(_T1-_T3)))</f>
        <v>0.50000001376222469</v>
      </c>
      <c r="F29" s="41" t="s">
        <v>109</v>
      </c>
      <c r="G29" s="69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30" s="2" customFormat="1" ht="13" customHeight="1" x14ac:dyDescent="0.2">
      <c r="B30" s="30" t="s">
        <v>63</v>
      </c>
      <c r="C30" s="31">
        <f>_PG2-_PD2</f>
        <v>0.5</v>
      </c>
      <c r="D30" s="33">
        <f>(_V2*_V2*_G22+_V2*_V1*(_G21*COS(_T2-_T1)+_B21*SIN(_T2-_T1))+_V2*_V3*(_G23*COS(_T2-_T3)+_B23*SIN(_T2-_T3)))</f>
        <v>0.49999998623777558</v>
      </c>
      <c r="F30" s="41" t="s">
        <v>110</v>
      </c>
      <c r="M30" s="7"/>
      <c r="N30" s="32"/>
    </row>
    <row r="31" spans="1:30" s="2" customFormat="1" ht="13" customHeight="1" x14ac:dyDescent="0.2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-1.0000000000000002</v>
      </c>
      <c r="F31" s="41" t="s">
        <v>111</v>
      </c>
      <c r="M31" s="32"/>
      <c r="N31" s="7"/>
    </row>
    <row r="32" spans="1:30" s="2" customFormat="1" ht="13" customHeight="1" x14ac:dyDescent="0.2">
      <c r="B32" s="30" t="s">
        <v>65</v>
      </c>
      <c r="C32" s="31">
        <f>_QG1-_QD1</f>
        <v>0</v>
      </c>
      <c r="D32" s="33">
        <f>(-_V1*_V1*_B11+_V1*_V2*(_G12*SIN(_T1-_T2)-_B12*COS(_T1-_T2))+_V1*_V3*(_G13*SIN(_T1-_T3)-_B13*COS(_T1-_T3)))</f>
        <v>0.78195991344543891</v>
      </c>
      <c r="F32" s="41" t="s">
        <v>112</v>
      </c>
      <c r="M32" s="7"/>
      <c r="N32" s="7"/>
      <c r="P32" s="8"/>
    </row>
    <row r="33" spans="1:27" s="2" customFormat="1" ht="13" customHeight="1" x14ac:dyDescent="0.2">
      <c r="B33" s="30" t="s">
        <v>66</v>
      </c>
      <c r="C33" s="31"/>
      <c r="D33" s="33">
        <f>(-_V2*_V2*_B22+_V2*_V1*(_G21*SIN(_T2-_T1)-_B21*COS(_T2-_T1))+_V2*_V3*(_G23*SIN(_T2-_T3)-_B23*COS(_T2-_T3)))</f>
        <v>1.1788998344832147E-2</v>
      </c>
      <c r="F33" s="41" t="s">
        <v>113</v>
      </c>
      <c r="H33" s="99"/>
      <c r="I33" s="7"/>
      <c r="K33" s="7"/>
      <c r="L33" s="7"/>
      <c r="M33" s="7"/>
      <c r="N33" s="7"/>
    </row>
    <row r="34" spans="1:27" s="2" customFormat="1" ht="13" customHeight="1" x14ac:dyDescent="0.2">
      <c r="A34"/>
      <c r="B34" s="30" t="s">
        <v>67</v>
      </c>
      <c r="C34" s="31">
        <f>_QG3-_QD3</f>
        <v>-0.62</v>
      </c>
      <c r="D34" s="33">
        <f>(-_V3*_V3*_B33+_V3*_V1*(_G31*SIN(_T3-_T1)-_B31*COS(_T3-_T1))+_V3*_V2*(_G32*SIN(_T3-_T2)-_B32*COS(_T3-_T2)))</f>
        <v>-0.61999999999994559</v>
      </c>
      <c r="F34" s="41" t="s">
        <v>114</v>
      </c>
      <c r="H34" s="7"/>
      <c r="I34" s="7"/>
      <c r="K34" s="7"/>
      <c r="L34" s="7"/>
      <c r="M34" s="7"/>
      <c r="N34" s="7"/>
    </row>
    <row r="35" spans="1:27" s="2" customFormat="1" x14ac:dyDescent="0.2">
      <c r="F35" s="7"/>
      <c r="G35" s="7"/>
      <c r="H35" s="7"/>
      <c r="I35" s="7"/>
      <c r="K35" s="7"/>
      <c r="L35" s="7"/>
      <c r="M35" s="7"/>
      <c r="N35" s="7"/>
    </row>
    <row r="36" spans="1:27" s="2" customFormat="1" x14ac:dyDescent="0.2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 x14ac:dyDescent="0.2">
      <c r="A37" s="2" t="s">
        <v>117</v>
      </c>
      <c r="B37" s="46">
        <f>E13*H24</f>
        <v>1000.0000000166523</v>
      </c>
      <c r="C37" s="46">
        <f>D24</f>
        <v>2100</v>
      </c>
      <c r="D37" s="46">
        <f>B37-C37</f>
        <v>-1099.9999999833476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2.9994157557666767E-7</v>
      </c>
      <c r="L37" s="7"/>
      <c r="M37" s="7"/>
      <c r="N37" s="7"/>
    </row>
    <row r="38" spans="1:27" s="2" customFormat="1" x14ac:dyDescent="0.2">
      <c r="A38" s="47" t="s">
        <v>118</v>
      </c>
      <c r="B38" s="48">
        <f>E14*H25</f>
        <v>1000</v>
      </c>
      <c r="C38" s="48">
        <f>D25</f>
        <v>1200</v>
      </c>
      <c r="D38" s="48">
        <f t="shared" ref="D38:D39" si="0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 x14ac:dyDescent="0.2">
      <c r="A39" s="2" t="s">
        <v>120</v>
      </c>
      <c r="B39" s="46">
        <f>SUM(B37:B38)</f>
        <v>2000.0000000166524</v>
      </c>
      <c r="C39" s="46">
        <f>SUM(C37:C38)</f>
        <v>3300</v>
      </c>
      <c r="D39" s="46">
        <f t="shared" si="0"/>
        <v>-1299.9999999833476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2.9994157557666767E-7</v>
      </c>
      <c r="L39" s="32"/>
      <c r="M39" s="63" t="s">
        <v>143</v>
      </c>
      <c r="N39" s="63"/>
      <c r="O39" s="64"/>
      <c r="P39" s="64"/>
    </row>
    <row r="40" spans="1:27" s="2" customFormat="1" x14ac:dyDescent="0.2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 x14ac:dyDescent="0.2">
      <c r="A41" s="7" t="s">
        <v>57</v>
      </c>
      <c r="B41" s="49"/>
      <c r="C41" s="7"/>
      <c r="D41" s="7"/>
      <c r="E41" s="7"/>
      <c r="F41" s="7"/>
      <c r="I41" s="7"/>
      <c r="J41" s="7"/>
      <c r="K41" s="103"/>
      <c r="L41" s="103"/>
    </row>
    <row r="42" spans="1:27" s="2" customFormat="1" x14ac:dyDescent="0.2">
      <c r="A42" s="7" t="s">
        <v>58</v>
      </c>
      <c r="B42" s="99"/>
      <c r="C42" s="99"/>
      <c r="D42" s="99"/>
      <c r="E42" s="99"/>
      <c r="F42" s="99"/>
      <c r="G42" s="99"/>
      <c r="H42" s="99"/>
      <c r="I42" s="7"/>
      <c r="J42" s="7"/>
      <c r="K42" s="7"/>
      <c r="L42" s="7"/>
    </row>
    <row r="43" spans="1:27" s="2" customFormat="1" x14ac:dyDescent="0.2">
      <c r="A43" s="7"/>
      <c r="B43" s="99" t="s">
        <v>3</v>
      </c>
      <c r="C43" s="99" t="s">
        <v>4</v>
      </c>
      <c r="D43" s="99" t="s">
        <v>5</v>
      </c>
      <c r="E43" s="99" t="s">
        <v>6</v>
      </c>
      <c r="F43" s="99" t="s">
        <v>7</v>
      </c>
      <c r="G43" s="99" t="s">
        <v>8</v>
      </c>
      <c r="H43" s="50" t="s">
        <v>9</v>
      </c>
      <c r="I43" s="7"/>
      <c r="J43" s="42" t="s">
        <v>28</v>
      </c>
      <c r="L43" s="103" t="s">
        <v>123</v>
      </c>
      <c r="M43" s="103"/>
      <c r="Y43" s="50" t="s">
        <v>9</v>
      </c>
      <c r="Z43" s="7"/>
      <c r="AA43" s="42" t="s">
        <v>28</v>
      </c>
    </row>
    <row r="44" spans="1:27" s="2" customFormat="1" x14ac:dyDescent="0.2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7" x14ac:dyDescent="0.25">
      <c r="A45" s="99">
        <v>12</v>
      </c>
      <c r="B45" s="51">
        <f>_V1*_V2*(_G12*COS(_T1-_T2)+_B12*SIN(_T1-_T2))-_G12*_V1*_V1</f>
        <v>-0.49999998622314967</v>
      </c>
      <c r="C45" s="51">
        <f>_V1*_V2*(_G12*COS(_T2-_T1)+_B12*SIN(_T2-_T1))-_G12*_V2*_V2</f>
        <v>0.49999998622314967</v>
      </c>
      <c r="D45" s="51">
        <f>_V1*_V2*(_G12*SIN(_T1-_T2)-_B12*COS(_T1-_T2))+(_B12)*_V1*_V1</f>
        <v>1.1788998336552226E-2</v>
      </c>
      <c r="E45" s="51">
        <f>_V2*_V1*(_G21*SIN(_T2-_T1)-_B21*COS(_T2-_T1))+(_B21)*_V2*_V2</f>
        <v>1.1788998336552226E-2</v>
      </c>
      <c r="F45" s="51">
        <f>ABS(B45-C45)/2</f>
        <v>0.49999998622314967</v>
      </c>
      <c r="G45" s="51">
        <f>ABS(D45-E45)/2</f>
        <v>0</v>
      </c>
      <c r="H45" s="85">
        <f>(F45*F45)^0.5*Sbase</f>
        <v>99.999997244629938</v>
      </c>
      <c r="I45" s="86" t="s">
        <v>29</v>
      </c>
      <c r="J45" s="87">
        <f>Database!G18</f>
        <v>100</v>
      </c>
      <c r="L45" s="53">
        <f>B45+C45</f>
        <v>0</v>
      </c>
      <c r="M45" s="53">
        <f>D45+E45</f>
        <v>2.3577996673104451E-2</v>
      </c>
      <c r="Y45" s="85" t="s">
        <v>173</v>
      </c>
      <c r="Z45" s="86" t="s">
        <v>29</v>
      </c>
      <c r="AA45" s="87">
        <f>J45</f>
        <v>100</v>
      </c>
    </row>
    <row r="46" spans="1:27" s="2" customFormat="1" ht="17" x14ac:dyDescent="0.25">
      <c r="A46" s="99">
        <v>13</v>
      </c>
      <c r="B46" s="51">
        <f>_V1*_V3*(_G13*COS(_T1-_T3)+_B13*SIN(_T1-_T3))-_G13*_V1*_V1</f>
        <v>0.99999999998537437</v>
      </c>
      <c r="C46" s="51">
        <f>_V3*_V1*(_G13*COS(_T3-_T1)+_B13*SIN(_T3-_T1))-_G13*_V3*_V3</f>
        <v>-0.99999999998537437</v>
      </c>
      <c r="D46" s="51">
        <f>_V1*_V3*(_G13*SIN(_T1-_T3)-_B13*COS(_T1-_T3))+(_B13)*_V1*_V1</f>
        <v>0.77017091510889024</v>
      </c>
      <c r="E46" s="51">
        <f>_V3*_V1*(_G31*SIN(_T3-_T1)-_B31*COS(_T3-_T1))+(_B31)*_V3*_V3</f>
        <v>-0.61999999999432553</v>
      </c>
      <c r="F46" s="51">
        <f t="shared" ref="F46:F47" si="1">ABS(B46-C46)/2</f>
        <v>0.99999999998537437</v>
      </c>
      <c r="G46" s="51">
        <f t="shared" ref="G46:G47" si="2">ABS(D46-E46)/2</f>
        <v>0.69508545755160789</v>
      </c>
      <c r="H46" s="52">
        <f>(F46*F46)^0.5*Sbase</f>
        <v>199.99999999707487</v>
      </c>
      <c r="I46" s="99" t="s">
        <v>29</v>
      </c>
      <c r="J46" s="42">
        <f>Database!G20</f>
        <v>200</v>
      </c>
      <c r="L46" s="53">
        <f>B46+C46</f>
        <v>0</v>
      </c>
      <c r="M46" s="53">
        <f>D46+E46</f>
        <v>0.15017091511456471</v>
      </c>
      <c r="Y46" s="52" t="s">
        <v>174</v>
      </c>
      <c r="Z46" s="99" t="s">
        <v>29</v>
      </c>
      <c r="AA46" s="42">
        <f>J46</f>
        <v>200</v>
      </c>
    </row>
    <row r="47" spans="1:27" s="2" customFormat="1" ht="17" x14ac:dyDescent="0.25">
      <c r="A47" s="15">
        <v>23</v>
      </c>
      <c r="B47" s="58">
        <f>_V2*_V3*(_G23*COS(_T2-_T3)+_B23*SIN(_T2-_T3))-_G23*_V2*_V2</f>
        <v>1.462590763352431E-11</v>
      </c>
      <c r="C47" s="58">
        <f>_V3*_V2*(_G23*COS(_T3-_T2)+_B23*SIN(_T3-_T2))-_G23*_V3*_V3</f>
        <v>-1.462590763352431E-11</v>
      </c>
      <c r="D47" s="58">
        <f>_V2*_V3*(_G23*SIN(_T2-_T3)-_B23*COS(_T2-_T3))+(_B23)*_V2*_V2</f>
        <v>8.2823387353392678E-12</v>
      </c>
      <c r="E47" s="58">
        <f>_V3*_V2*(_G32*SIN(_T3-_T2)-_B32*COS(_T3-_T2))+(_B32)*_V3*_V3</f>
        <v>-5.6193704156928836E-12</v>
      </c>
      <c r="F47" s="58">
        <f t="shared" si="1"/>
        <v>1.462590763352431E-11</v>
      </c>
      <c r="G47" s="58">
        <f t="shared" si="2"/>
        <v>6.9508545755160757E-12</v>
      </c>
      <c r="H47" s="88">
        <f>(F47*F47)^0.5*Sbase</f>
        <v>2.9251815267048619E-9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2.6629683196463842E-12</v>
      </c>
      <c r="Y47" s="88" t="s">
        <v>175</v>
      </c>
      <c r="Z47" s="15" t="s">
        <v>29</v>
      </c>
      <c r="AA47" s="56">
        <f>J47</f>
        <v>200</v>
      </c>
    </row>
    <row r="48" spans="1:27" s="2" customFormat="1" x14ac:dyDescent="0.2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0.17374891179033214</v>
      </c>
    </row>
    <row r="49" spans="1:30" s="2" customFormat="1" x14ac:dyDescent="0.2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0</v>
      </c>
      <c r="M49" s="19">
        <f>M48*Sbase</f>
        <v>34.749782358066426</v>
      </c>
    </row>
    <row r="50" spans="1:30" s="2" customFormat="1" x14ac:dyDescent="0.2">
      <c r="C50" s="37"/>
      <c r="L50" s="12" t="s">
        <v>50</v>
      </c>
      <c r="M50" s="12" t="s">
        <v>116</v>
      </c>
    </row>
    <row r="51" spans="1:30" s="2" customFormat="1" x14ac:dyDescent="0.2">
      <c r="A51" s="38" t="s">
        <v>140</v>
      </c>
    </row>
    <row r="52" spans="1:30" s="2" customFormat="1" x14ac:dyDescent="0.2">
      <c r="A52" s="2" t="s">
        <v>141</v>
      </c>
      <c r="D52" s="37">
        <v>0</v>
      </c>
      <c r="E52" s="37" t="s">
        <v>47</v>
      </c>
    </row>
    <row r="53" spans="1:30" x14ac:dyDescent="0.2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G7:N7"/>
    <mergeCell ref="A9:B9"/>
    <mergeCell ref="C9:D9"/>
    <mergeCell ref="E12:F12"/>
    <mergeCell ref="A22:E22"/>
    <mergeCell ref="K41:L4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148</vt:i4>
      </vt:variant>
    </vt:vector>
  </HeadingPairs>
  <TitlesOfParts>
    <vt:vector size="155" baseType="lpstr">
      <vt:lpstr>Database</vt:lpstr>
      <vt:lpstr>Sensitivity Report 2</vt:lpstr>
      <vt:lpstr>Sensitivity Report 3</vt:lpstr>
      <vt:lpstr>OPF (a)</vt:lpstr>
      <vt:lpstr>PF (b) </vt:lpstr>
      <vt:lpstr>PF (c)</vt:lpstr>
      <vt:lpstr>PF (d)</vt:lpstr>
      <vt:lpstr>'OPF (a)'!_B11</vt:lpstr>
      <vt:lpstr>'PF (b) '!_B11</vt:lpstr>
      <vt:lpstr>'PF (c)'!_B11</vt:lpstr>
      <vt:lpstr>'PF (d)'!_B11</vt:lpstr>
      <vt:lpstr>'OPF (a)'!_B12</vt:lpstr>
      <vt:lpstr>'PF (b) '!_B12</vt:lpstr>
      <vt:lpstr>'PF (c)'!_B12</vt:lpstr>
      <vt:lpstr>'PF (d)'!_B12</vt:lpstr>
      <vt:lpstr>'OPF (a)'!_B13</vt:lpstr>
      <vt:lpstr>'PF (b) '!_B13</vt:lpstr>
      <vt:lpstr>'PF (c)'!_B13</vt:lpstr>
      <vt:lpstr>'PF (d)'!_B13</vt:lpstr>
      <vt:lpstr>'OPF (a)'!_B21</vt:lpstr>
      <vt:lpstr>'PF (b) '!_B21</vt:lpstr>
      <vt:lpstr>'PF (c)'!_B21</vt:lpstr>
      <vt:lpstr>'PF (d)'!_B21</vt:lpstr>
      <vt:lpstr>'OPF (a)'!_B22</vt:lpstr>
      <vt:lpstr>'PF (b) '!_B22</vt:lpstr>
      <vt:lpstr>'PF (c)'!_B22</vt:lpstr>
      <vt:lpstr>'PF (d)'!_B22</vt:lpstr>
      <vt:lpstr>'OPF (a)'!_B23</vt:lpstr>
      <vt:lpstr>'PF (b) '!_B23</vt:lpstr>
      <vt:lpstr>'PF (c)'!_B23</vt:lpstr>
      <vt:lpstr>'PF (d)'!_B23</vt:lpstr>
      <vt:lpstr>'OPF (a)'!_B31</vt:lpstr>
      <vt:lpstr>'PF (b) '!_B31</vt:lpstr>
      <vt:lpstr>'PF (c)'!_B31</vt:lpstr>
      <vt:lpstr>'PF (d)'!_B31</vt:lpstr>
      <vt:lpstr>'OPF (a)'!_B32</vt:lpstr>
      <vt:lpstr>'PF (b) '!_B32</vt:lpstr>
      <vt:lpstr>'PF (c)'!_B32</vt:lpstr>
      <vt:lpstr>'PF (d)'!_B32</vt:lpstr>
      <vt:lpstr>'OPF (a)'!_B33</vt:lpstr>
      <vt:lpstr>'PF (b) '!_B33</vt:lpstr>
      <vt:lpstr>'PF (c)'!_B33</vt:lpstr>
      <vt:lpstr>'PF (d)'!_B33</vt:lpstr>
      <vt:lpstr>'OPF (a)'!_G11</vt:lpstr>
      <vt:lpstr>'PF (b) '!_G11</vt:lpstr>
      <vt:lpstr>'PF (c)'!_G11</vt:lpstr>
      <vt:lpstr>'PF (d)'!_G11</vt:lpstr>
      <vt:lpstr>'OPF (a)'!_G12</vt:lpstr>
      <vt:lpstr>'PF (b) '!_G12</vt:lpstr>
      <vt:lpstr>'PF (c)'!_G12</vt:lpstr>
      <vt:lpstr>'PF (d)'!_G12</vt:lpstr>
      <vt:lpstr>'OPF (a)'!_G13</vt:lpstr>
      <vt:lpstr>'PF (b) '!_G13</vt:lpstr>
      <vt:lpstr>'PF (c)'!_G13</vt:lpstr>
      <vt:lpstr>'PF (d)'!_G13</vt:lpstr>
      <vt:lpstr>'OPF (a)'!_G21</vt:lpstr>
      <vt:lpstr>'PF (b) '!_G21</vt:lpstr>
      <vt:lpstr>'PF (c)'!_G21</vt:lpstr>
      <vt:lpstr>'PF (d)'!_G21</vt:lpstr>
      <vt:lpstr>'OPF (a)'!_G22</vt:lpstr>
      <vt:lpstr>'PF (b) '!_G22</vt:lpstr>
      <vt:lpstr>'PF (c)'!_G22</vt:lpstr>
      <vt:lpstr>'PF (d)'!_G22</vt:lpstr>
      <vt:lpstr>'OPF (a)'!_G23</vt:lpstr>
      <vt:lpstr>'PF (b) '!_G23</vt:lpstr>
      <vt:lpstr>'PF (c)'!_G23</vt:lpstr>
      <vt:lpstr>'PF (d)'!_G23</vt:lpstr>
      <vt:lpstr>'OPF (a)'!_G31</vt:lpstr>
      <vt:lpstr>'PF (b) '!_G31</vt:lpstr>
      <vt:lpstr>'PF (c)'!_G31</vt:lpstr>
      <vt:lpstr>'PF (d)'!_G31</vt:lpstr>
      <vt:lpstr>'OPF (a)'!_G32</vt:lpstr>
      <vt:lpstr>'PF (b) '!_G32</vt:lpstr>
      <vt:lpstr>'PF (c)'!_G32</vt:lpstr>
      <vt:lpstr>'PF (d)'!_G32</vt:lpstr>
      <vt:lpstr>'OPF (a)'!_G33</vt:lpstr>
      <vt:lpstr>'PF (b) '!_G33</vt:lpstr>
      <vt:lpstr>'PF (c)'!_G33</vt:lpstr>
      <vt:lpstr>'PF (d)'!_G33</vt:lpstr>
      <vt:lpstr>'OPF (a)'!_PD1</vt:lpstr>
      <vt:lpstr>'PF (b) '!_PD1</vt:lpstr>
      <vt:lpstr>'PF (c)'!_PD1</vt:lpstr>
      <vt:lpstr>'PF (d)'!_PD1</vt:lpstr>
      <vt:lpstr>'OPF (a)'!_PD2</vt:lpstr>
      <vt:lpstr>'PF (b) '!_PD2</vt:lpstr>
      <vt:lpstr>'PF (c)'!_PD2</vt:lpstr>
      <vt:lpstr>'PF (d)'!_PD2</vt:lpstr>
      <vt:lpstr>'OPF (a)'!_PD3</vt:lpstr>
      <vt:lpstr>'PF (b) '!_PD3</vt:lpstr>
      <vt:lpstr>'PF (c)'!_PD3</vt:lpstr>
      <vt:lpstr>'PF (d)'!_PD3</vt:lpstr>
      <vt:lpstr>'OPF (a)'!_PG1</vt:lpstr>
      <vt:lpstr>'PF (b) '!_PG1</vt:lpstr>
      <vt:lpstr>'PF (c)'!_PG1</vt:lpstr>
      <vt:lpstr>'PF (d)'!_PG1</vt:lpstr>
      <vt:lpstr>'OPF (a)'!_PG2</vt:lpstr>
      <vt:lpstr>'PF (b) '!_PG2</vt:lpstr>
      <vt:lpstr>'PF (c)'!_PG2</vt:lpstr>
      <vt:lpstr>'PF (d)'!_PG2</vt:lpstr>
      <vt:lpstr>'OPF (a)'!_PG3</vt:lpstr>
      <vt:lpstr>'PF (b) '!_PG3</vt:lpstr>
      <vt:lpstr>'PF (c)'!_PG3</vt:lpstr>
      <vt:lpstr>'PF (d)'!_PG3</vt:lpstr>
      <vt:lpstr>'OPF (a)'!_QD1</vt:lpstr>
      <vt:lpstr>'PF (b) '!_QD1</vt:lpstr>
      <vt:lpstr>'PF (c)'!_QD1</vt:lpstr>
      <vt:lpstr>'PF (d)'!_QD1</vt:lpstr>
      <vt:lpstr>'OPF (a)'!_QD2</vt:lpstr>
      <vt:lpstr>'PF (b) '!_QD2</vt:lpstr>
      <vt:lpstr>'PF (c)'!_QD2</vt:lpstr>
      <vt:lpstr>'PF (d)'!_QD2</vt:lpstr>
      <vt:lpstr>'OPF (a)'!_QD3</vt:lpstr>
      <vt:lpstr>'PF (b) '!_QD3</vt:lpstr>
      <vt:lpstr>'PF (c)'!_QD3</vt:lpstr>
      <vt:lpstr>'PF (d)'!_QD3</vt:lpstr>
      <vt:lpstr>'OPF (a)'!_QG1</vt:lpstr>
      <vt:lpstr>'PF (b) '!_QG1</vt:lpstr>
      <vt:lpstr>'PF (c)'!_QG1</vt:lpstr>
      <vt:lpstr>'PF (d)'!_QG1</vt:lpstr>
      <vt:lpstr>'OPF (a)'!_QG2</vt:lpstr>
      <vt:lpstr>'PF (b) '!_QG2</vt:lpstr>
      <vt:lpstr>'PF (c)'!_QG2</vt:lpstr>
      <vt:lpstr>'PF (d)'!_QG2</vt:lpstr>
      <vt:lpstr>'OPF (a)'!_QG3</vt:lpstr>
      <vt:lpstr>'PF (b) '!_QG3</vt:lpstr>
      <vt:lpstr>'PF (c)'!_QG3</vt:lpstr>
      <vt:lpstr>'PF (d)'!_QG3</vt:lpstr>
      <vt:lpstr>'OPF (a)'!_T1</vt:lpstr>
      <vt:lpstr>'PF (b) '!_T1</vt:lpstr>
      <vt:lpstr>'PF (c)'!_T1</vt:lpstr>
      <vt:lpstr>'PF (d)'!_T1</vt:lpstr>
      <vt:lpstr>'OPF (a)'!_T2</vt:lpstr>
      <vt:lpstr>'PF (b) '!_T2</vt:lpstr>
      <vt:lpstr>'PF (c)'!_T2</vt:lpstr>
      <vt:lpstr>'PF (d)'!_T2</vt:lpstr>
      <vt:lpstr>'OPF (a)'!_T3</vt:lpstr>
      <vt:lpstr>'PF (b) '!_T3</vt:lpstr>
      <vt:lpstr>'PF (c)'!_T3</vt:lpstr>
      <vt:lpstr>'PF (d)'!_T3</vt:lpstr>
      <vt:lpstr>'OPF (a)'!_V1</vt:lpstr>
      <vt:lpstr>'PF (b) '!_V1</vt:lpstr>
      <vt:lpstr>'PF (c)'!_V1</vt:lpstr>
      <vt:lpstr>'PF (d)'!_V1</vt:lpstr>
      <vt:lpstr>'OPF (a)'!_V2</vt:lpstr>
      <vt:lpstr>'PF (b) '!_V2</vt:lpstr>
      <vt:lpstr>'PF (c)'!_V2</vt:lpstr>
      <vt:lpstr>'PF (d)'!_V2</vt:lpstr>
      <vt:lpstr>'OPF (a)'!_V3</vt:lpstr>
      <vt:lpstr>'PF (b) '!_V3</vt:lpstr>
      <vt:lpstr>'PF (c)'!_V3</vt:lpstr>
      <vt:lpstr>'PF (d)'!_V3</vt:lpstr>
      <vt:lpstr>'PF (b) '!Sbase</vt:lpstr>
      <vt:lpstr>'PF (c)'!Sbase</vt:lpstr>
      <vt:lpstr>'PF (d)'!Sbase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Microsoft Office User</cp:lastModifiedBy>
  <dcterms:created xsi:type="dcterms:W3CDTF">2017-09-02T16:46:35Z</dcterms:created>
  <dcterms:modified xsi:type="dcterms:W3CDTF">2021-04-15T13:23:52Z</dcterms:modified>
</cp:coreProperties>
</file>