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DEE-OPF/"/>
    </mc:Choice>
  </mc:AlternateContent>
  <xr:revisionPtr revIDLastSave="1039" documentId="8_{5760BE0F-1F64-447B-A6AD-E34E46961D31}" xr6:coauthVersionLast="46" xr6:coauthVersionMax="46" xr10:uidLastSave="{4592952C-53CD-7F42-A035-DAEF28EDEEF4}"/>
  <bookViews>
    <workbookView xWindow="35480" yWindow="400" windowWidth="36520" windowHeight="20540" activeTab="4" xr2:uid="{00000000-000D-0000-FFFF-FFFF00000000}"/>
  </bookViews>
  <sheets>
    <sheet name="Database" sheetId="33" r:id="rId1"/>
    <sheet name="Sensitivity Report 1" sheetId="40" r:id="rId2"/>
    <sheet name="DEE no congestion" sheetId="21" r:id="rId3"/>
    <sheet name="Sensitivity Report 2" sheetId="42" r:id="rId4"/>
    <sheet name="DEE congestion TRANSM" sheetId="41" r:id="rId5"/>
  </sheets>
  <definedNames>
    <definedName name="_B11" localSheetId="4">'DEE congestion TRANSM'!$K$8</definedName>
    <definedName name="_B11" localSheetId="2">'DEE no congestion'!$K$8</definedName>
    <definedName name="_B11">#REF!</definedName>
    <definedName name="_B12" localSheetId="4">'DEE congestion TRANSM'!$L$8</definedName>
    <definedName name="_B12" localSheetId="2">'DEE no congestion'!$L$8</definedName>
    <definedName name="_B12">#REF!</definedName>
    <definedName name="_B13" localSheetId="4">'DEE congestion TRANSM'!$M$8</definedName>
    <definedName name="_B13" localSheetId="2">'DEE no congestion'!$M$8</definedName>
    <definedName name="_B13">#REF!</definedName>
    <definedName name="_B21" localSheetId="4">'DEE congestion TRANSM'!$K$9</definedName>
    <definedName name="_B21" localSheetId="2">'DEE no congestion'!$K$9</definedName>
    <definedName name="_B21">#REF!</definedName>
    <definedName name="_B22" localSheetId="4">'DEE congestion TRANSM'!$L$9</definedName>
    <definedName name="_B22" localSheetId="2">'DEE no congestion'!$L$9</definedName>
    <definedName name="_B22">#REF!</definedName>
    <definedName name="_B23" localSheetId="4">'DEE congestion TRANSM'!$M$9</definedName>
    <definedName name="_B23" localSheetId="2">'DEE no congestion'!$M$9</definedName>
    <definedName name="_B23">#REF!</definedName>
    <definedName name="_B31" localSheetId="4">'DEE congestion TRANSM'!$K$10</definedName>
    <definedName name="_B31" localSheetId="2">'DEE no congestion'!$K$10</definedName>
    <definedName name="_B31">#REF!</definedName>
    <definedName name="_B32" localSheetId="4">'DEE congestion TRANSM'!$L$10</definedName>
    <definedName name="_B32" localSheetId="2">'DEE no congestion'!$L$10</definedName>
    <definedName name="_B32">#REF!</definedName>
    <definedName name="_B33" localSheetId="4">'DEE congestion TRANSM'!$M$10</definedName>
    <definedName name="_B33" localSheetId="2">'DEE no congestion'!$M$10</definedName>
    <definedName name="_B33">#REF!</definedName>
    <definedName name="_G11" localSheetId="4">'DEE congestion TRANSM'!$G$8</definedName>
    <definedName name="_G11" localSheetId="2">'DEE no congestion'!$G$8</definedName>
    <definedName name="_G11">#REF!</definedName>
    <definedName name="_G12" localSheetId="4">'DEE congestion TRANSM'!$H$8</definedName>
    <definedName name="_G12" localSheetId="2">'DEE no congestion'!$H$8</definedName>
    <definedName name="_G12">#REF!</definedName>
    <definedName name="_G13" localSheetId="4">'DEE congestion TRANSM'!$I$8</definedName>
    <definedName name="_G13" localSheetId="2">'DEE no congestion'!$I$8</definedName>
    <definedName name="_G13">#REF!</definedName>
    <definedName name="_G21" localSheetId="4">'DEE congestion TRANSM'!$G$9</definedName>
    <definedName name="_G21" localSheetId="2">'DEE no congestion'!$G$9</definedName>
    <definedName name="_G21">#REF!</definedName>
    <definedName name="_G22" localSheetId="4">'DEE congestion TRANSM'!$H$9</definedName>
    <definedName name="_G22" localSheetId="2">'DEE no congestion'!$H$9</definedName>
    <definedName name="_G22">#REF!</definedName>
    <definedName name="_G23" localSheetId="4">'DEE congestion TRANSM'!$I$9</definedName>
    <definedName name="_G23" localSheetId="2">'DEE no congestion'!$I$9</definedName>
    <definedName name="_G23">#REF!</definedName>
    <definedName name="_G31" localSheetId="4">'DEE congestion TRANSM'!$G$10</definedName>
    <definedName name="_G31" localSheetId="2">'DEE no congestion'!$G$10</definedName>
    <definedName name="_G31">#REF!</definedName>
    <definedName name="_G32" localSheetId="4">'DEE congestion TRANSM'!$H$10</definedName>
    <definedName name="_G32" localSheetId="2">'DEE no congestion'!$H$10</definedName>
    <definedName name="_G32">#REF!</definedName>
    <definedName name="_G33" localSheetId="4">'DEE congestion TRANSM'!$I$10</definedName>
    <definedName name="_G33" localSheetId="2">'DEE no congestion'!$I$10</definedName>
    <definedName name="_G33">#REF!</definedName>
    <definedName name="_PD1" localSheetId="4">'DEE congestion TRANSM'!$B$13</definedName>
    <definedName name="_PD1" localSheetId="2">'DEE no congestion'!$B$13</definedName>
    <definedName name="_PD1">#REF!</definedName>
    <definedName name="_PD2" localSheetId="4">'DEE congestion TRANSM'!$B$14</definedName>
    <definedName name="_PD2" localSheetId="2">'DEE no congestion'!$B$14</definedName>
    <definedName name="_PD2">#REF!</definedName>
    <definedName name="_PD3" localSheetId="4">'DEE congestion TRANSM'!$D$17</definedName>
    <definedName name="_PD3" localSheetId="2">'DEE no congestion'!$D$17</definedName>
    <definedName name="_PD3">#REF!</definedName>
    <definedName name="_PG1" localSheetId="4">'DEE congestion TRANSM'!$D$13</definedName>
    <definedName name="_PG1" localSheetId="2">'DEE no congestion'!$D$13</definedName>
    <definedName name="_PG1">#REF!</definedName>
    <definedName name="_PG2" localSheetId="4">'DEE congestion TRANSM'!$D$14</definedName>
    <definedName name="_PG2" localSheetId="2">'DEE no congestion'!$D$14</definedName>
    <definedName name="_PG2">#REF!</definedName>
    <definedName name="_PG3" localSheetId="4">'DEE congestion TRANSM'!$B$19</definedName>
    <definedName name="_PG3" localSheetId="2">'DEE no congestion'!$B$19</definedName>
    <definedName name="_PG3">#REF!</definedName>
    <definedName name="_QD1" localSheetId="4">'DEE congestion TRANSM'!$B$16</definedName>
    <definedName name="_QD1" localSheetId="2">'DEE no congestion'!$B$16</definedName>
    <definedName name="_QD1">#REF!</definedName>
    <definedName name="_QD2" localSheetId="4">'DEE congestion TRANSM'!$B$17</definedName>
    <definedName name="_QD2" localSheetId="2">'DEE no congestion'!$B$17</definedName>
    <definedName name="_QD2">#REF!</definedName>
    <definedName name="_QD3" localSheetId="4">'DEE congestion TRANSM'!$B$18</definedName>
    <definedName name="_QD3" localSheetId="2">'DEE no congestion'!$B$18</definedName>
    <definedName name="_QD3">#REF!</definedName>
    <definedName name="_QG1" localSheetId="4">'DEE congestion TRANSM'!$D$15</definedName>
    <definedName name="_QG1" localSheetId="2">'DEE no congestion'!$D$15</definedName>
    <definedName name="_QG1">#REF!</definedName>
    <definedName name="_QG2" localSheetId="4">'DEE congestion TRANSM'!$D$16</definedName>
    <definedName name="_QG2" localSheetId="2">'DEE no congestion'!$D$16</definedName>
    <definedName name="_QG2">#REF!</definedName>
    <definedName name="_QG3" localSheetId="4">'DEE congestion TRANSM'!$B$20</definedName>
    <definedName name="_QG3" localSheetId="2">'DEE no congestion'!$B$20</definedName>
    <definedName name="_QG3">#REF!</definedName>
    <definedName name="_T1" localSheetId="4">'DEE congestion TRANSM'!$B$10</definedName>
    <definedName name="_T1" localSheetId="2">'DEE no congestion'!$B$10</definedName>
    <definedName name="_T1">#REF!</definedName>
    <definedName name="_T2" localSheetId="4">'DEE congestion TRANSM'!$D$11</definedName>
    <definedName name="_T2" localSheetId="2">'DEE no congestion'!$D$11</definedName>
    <definedName name="_T2">#REF!</definedName>
    <definedName name="_T3" localSheetId="4">'DEE congestion TRANSM'!$D$12</definedName>
    <definedName name="_T3" localSheetId="2">'DEE no congestion'!$D$12</definedName>
    <definedName name="_T3">#REF!</definedName>
    <definedName name="_V1" localSheetId="4">'DEE congestion TRANSM'!$B$11</definedName>
    <definedName name="_V1" localSheetId="2">'DEE no congestion'!$B$11</definedName>
    <definedName name="_V1">#REF!</definedName>
    <definedName name="_V2" localSheetId="4">'DEE congestion TRANSM'!$B$12</definedName>
    <definedName name="_V2" localSheetId="2">'DEE no congestion'!$B$12</definedName>
    <definedName name="_V2">#REF!</definedName>
    <definedName name="_V3" localSheetId="4">'DEE congestion TRANSM'!$D$10</definedName>
    <definedName name="_V3" localSheetId="2">'DEE no congestion'!$D$10</definedName>
    <definedName name="_V3">#REF!</definedName>
    <definedName name="Sbase" localSheetId="4">'DEE congestion TRANSM'!$B$7</definedName>
    <definedName name="Sbase">'DEE no congestion'!$B$7</definedName>
    <definedName name="solver_adj" localSheetId="4" hidden="1">'DEE congestion TRANSM'!$D$10,'DEE congestion TRANSM'!$D$11,'DEE congestion TRANSM'!$D$12,'DEE congestion TRANSM'!$D$13,'DEE congestion TRANSM'!$D$14,'DEE congestion TRANSM'!$D$15,'DEE congestion TRANSM'!$D$16,'DEE congestion TRANSM'!$D$17</definedName>
    <definedName name="solver_adj" localSheetId="2" hidden="1">'DEE no congestion'!$D$10,'DEE no congestion'!$D$11,'DEE no congestion'!$D$12,'DEE no congestion'!$D$13,'DEE no congestion'!$D$14,'DEE no congestion'!$D$15,'DEE no congestion'!$D$16,'DEE no congestion'!$D$17</definedName>
    <definedName name="solver_cvg" localSheetId="4" hidden="1">0.0001</definedName>
    <definedName name="solver_cvg" localSheetId="2" hidden="1">0.0001</definedName>
    <definedName name="solver_drv" localSheetId="4" hidden="1">1</definedName>
    <definedName name="solver_drv" localSheetId="2" hidden="1">1</definedName>
    <definedName name="solver_eng" localSheetId="4" hidden="1">1</definedName>
    <definedName name="solver_eng" localSheetId="2" hidden="1">1</definedName>
    <definedName name="solver_est" localSheetId="4" hidden="1">1</definedName>
    <definedName name="solver_est" localSheetId="2" hidden="1">1</definedName>
    <definedName name="solver_itr" localSheetId="4" hidden="1">100</definedName>
    <definedName name="solver_itr" localSheetId="2" hidden="1">100</definedName>
    <definedName name="solver_lhs0" localSheetId="4" hidden="1">'DEE congestion TRANSM'!$C$30:$C$31</definedName>
    <definedName name="solver_lhs0" localSheetId="2" hidden="1">'DEE no congestion'!$C$30:$C$31</definedName>
    <definedName name="solver_lhs1" localSheetId="4" hidden="1">'DEE congestion TRANSM'!$C$29:$C$34</definedName>
    <definedName name="solver_lhs1" localSheetId="2" hidden="1">'DEE no congestion'!$C$29:$C$34</definedName>
    <definedName name="solver_lhs2" localSheetId="4" hidden="1">'DEE congestion TRANSM'!$D$13:$D$14</definedName>
    <definedName name="solver_lhs2" localSheetId="2" hidden="1">'DEE no congestion'!$D$13:$D$14</definedName>
    <definedName name="solver_lhs3" localSheetId="4" hidden="1">'DEE congestion TRANSM'!$D$13:$D$14</definedName>
    <definedName name="solver_lhs3" localSheetId="2" hidden="1">'DEE no congestion'!$D$13:$D$14</definedName>
    <definedName name="solver_lhs4" localSheetId="4" hidden="1">'DEE congestion TRANSM'!$H$45:$H$47</definedName>
    <definedName name="solver_lhs4" localSheetId="2" hidden="1">'DEE no congestion'!$H$45:$H$47</definedName>
    <definedName name="solver_lin" localSheetId="4" hidden="1">2</definedName>
    <definedName name="solver_lin" localSheetId="2" hidden="1">2</definedName>
    <definedName name="solver_mip" localSheetId="4" hidden="1">2147483647</definedName>
    <definedName name="solver_mip" localSheetId="2" hidden="1">2147483647</definedName>
    <definedName name="solver_mni" localSheetId="4" hidden="1">30</definedName>
    <definedName name="solver_mni" localSheetId="2" hidden="1">30</definedName>
    <definedName name="solver_mrt" localSheetId="4" hidden="1">0.0001</definedName>
    <definedName name="solver_mrt" localSheetId="2" hidden="1">0.0001</definedName>
    <definedName name="solver_msl" localSheetId="4" hidden="1">2</definedName>
    <definedName name="solver_msl" localSheetId="2" hidden="1">2</definedName>
    <definedName name="solver_neg" localSheetId="4" hidden="1">2</definedName>
    <definedName name="solver_neg" localSheetId="2" hidden="1">2</definedName>
    <definedName name="solver_nod" localSheetId="4" hidden="1">2147483647</definedName>
    <definedName name="solver_nod" localSheetId="2" hidden="1">2147483647</definedName>
    <definedName name="solver_num" localSheetId="4" hidden="1">4</definedName>
    <definedName name="solver_num" localSheetId="2" hidden="1">4</definedName>
    <definedName name="solver_nwt" localSheetId="4" hidden="1">1</definedName>
    <definedName name="solver_nwt" localSheetId="2" hidden="1">1</definedName>
    <definedName name="solver_opt" localSheetId="4" hidden="1">'DEE congestion TRANSM'!$D$27</definedName>
    <definedName name="solver_opt" localSheetId="2" hidden="1">'DEE no congestion'!$D$27</definedName>
    <definedName name="solver_pre" localSheetId="4" hidden="1">0.000001</definedName>
    <definedName name="solver_pre" localSheetId="2" hidden="1">0.000001</definedName>
    <definedName name="solver_rbv" localSheetId="4" hidden="1">2</definedName>
    <definedName name="solver_rbv" localSheetId="2" hidden="1">2</definedName>
    <definedName name="solver_rel0" localSheetId="4" hidden="1">2</definedName>
    <definedName name="solver_rel0" localSheetId="2" hidden="1">2</definedName>
    <definedName name="solver_rel1" localSheetId="4" hidden="1">2</definedName>
    <definedName name="solver_rel1" localSheetId="2" hidden="1">2</definedName>
    <definedName name="solver_rel2" localSheetId="4" hidden="1">1</definedName>
    <definedName name="solver_rel2" localSheetId="2" hidden="1">1</definedName>
    <definedName name="solver_rel3" localSheetId="4" hidden="1">3</definedName>
    <definedName name="solver_rel3" localSheetId="2" hidden="1">3</definedName>
    <definedName name="solver_rel4" localSheetId="4" hidden="1">1</definedName>
    <definedName name="solver_rel4" localSheetId="2" hidden="1">1</definedName>
    <definedName name="solver_rhs0" localSheetId="4" hidden="1">'DEE congestion TRANSM'!#REF!</definedName>
    <definedName name="solver_rhs0" localSheetId="2" hidden="1">'DEE no congestion'!#REF!</definedName>
    <definedName name="solver_rhs1" localSheetId="4" hidden="1">'DEE congestion TRANSM'!$D$29:$D$34</definedName>
    <definedName name="solver_rhs1" localSheetId="2" hidden="1">'DEE no congestion'!$D$29:$D$34</definedName>
    <definedName name="solver_rhs2" localSheetId="4" hidden="1">'DEE congestion TRANSM'!$Y$10:$Y$11</definedName>
    <definedName name="solver_rhs2" localSheetId="2" hidden="1">'DEE no congestion'!$Y$10:$Y$11</definedName>
    <definedName name="solver_rhs3" localSheetId="4" hidden="1">'DEE congestion TRANSM'!$X$10:$X$11</definedName>
    <definedName name="solver_rhs3" localSheetId="2" hidden="1">'DEE no congestion'!$X$10:$X$11</definedName>
    <definedName name="solver_rhs4" localSheetId="4" hidden="1">'DEE congestion TRANSM'!$J$45:$J$47</definedName>
    <definedName name="solver_rhs4" localSheetId="2" hidden="1">'DEE no congestion'!$J$45:$J$47</definedName>
    <definedName name="solver_rlx" localSheetId="4" hidden="1">2</definedName>
    <definedName name="solver_rlx" localSheetId="2" hidden="1">2</definedName>
    <definedName name="solver_rsd" localSheetId="4" hidden="1">0</definedName>
    <definedName name="solver_rsd" localSheetId="2" hidden="1">0</definedName>
    <definedName name="solver_scl" localSheetId="4" hidden="1">2</definedName>
    <definedName name="solver_scl" localSheetId="2" hidden="1">2</definedName>
    <definedName name="solver_sho" localSheetId="4" hidden="1">2</definedName>
    <definedName name="solver_sho" localSheetId="2" hidden="1">2</definedName>
    <definedName name="solver_ssz" localSheetId="4" hidden="1">100</definedName>
    <definedName name="solver_ssz" localSheetId="2" hidden="1">100</definedName>
    <definedName name="solver_tim" localSheetId="4" hidden="1">100</definedName>
    <definedName name="solver_tim" localSheetId="2" hidden="1">100</definedName>
    <definedName name="solver_tol" localSheetId="4" hidden="1">0.05</definedName>
    <definedName name="solver_tol" localSheetId="2" hidden="1">0.05</definedName>
    <definedName name="solver_typ" localSheetId="4" hidden="1">1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41" l="1"/>
  <c r="C21" i="33"/>
  <c r="H14" i="41"/>
  <c r="H13" i="41"/>
  <c r="H25" i="41"/>
  <c r="G22" i="42"/>
  <c r="G23" i="42"/>
  <c r="G21" i="42"/>
  <c r="H24" i="41"/>
  <c r="H25" i="21"/>
  <c r="H24" i="21"/>
  <c r="B7" i="41"/>
  <c r="E14" i="41"/>
  <c r="B20" i="41"/>
  <c r="B16" i="41"/>
  <c r="B17" i="41"/>
  <c r="B18" i="41"/>
  <c r="M49" i="41"/>
  <c r="B19" i="41"/>
  <c r="B13" i="41"/>
  <c r="B14" i="41"/>
  <c r="L49" i="41"/>
  <c r="B11" i="41"/>
  <c r="B12" i="41"/>
  <c r="H8" i="41"/>
  <c r="B10" i="41"/>
  <c r="L8" i="41"/>
  <c r="D45" i="41"/>
  <c r="G9" i="41"/>
  <c r="K9" i="41"/>
  <c r="E45" i="41"/>
  <c r="M45" i="41"/>
  <c r="I8" i="41"/>
  <c r="M8" i="41"/>
  <c r="D46" i="41"/>
  <c r="G10" i="41"/>
  <c r="K10" i="41"/>
  <c r="E46" i="41"/>
  <c r="M46" i="41"/>
  <c r="I9" i="41"/>
  <c r="M9" i="41"/>
  <c r="D47" i="41"/>
  <c r="H10" i="41"/>
  <c r="L10" i="41"/>
  <c r="E47" i="41"/>
  <c r="M47" i="41"/>
  <c r="M48" i="41"/>
  <c r="B45" i="41"/>
  <c r="C45" i="41"/>
  <c r="L45" i="41"/>
  <c r="B46" i="41"/>
  <c r="C46" i="41"/>
  <c r="L46" i="41"/>
  <c r="B47" i="41"/>
  <c r="C47" i="41"/>
  <c r="L47" i="41"/>
  <c r="L48" i="41"/>
  <c r="F47" i="41"/>
  <c r="H47" i="41"/>
  <c r="G47" i="41"/>
  <c r="F46" i="41"/>
  <c r="H46" i="41"/>
  <c r="G46" i="41"/>
  <c r="F45" i="41"/>
  <c r="H45" i="41"/>
  <c r="G45" i="41"/>
  <c r="AB8" i="41"/>
  <c r="AB9" i="41"/>
  <c r="E19" i="41"/>
  <c r="H26" i="41"/>
  <c r="G37" i="41"/>
  <c r="G39" i="41"/>
  <c r="E13" i="41"/>
  <c r="B37" i="41"/>
  <c r="B38" i="41"/>
  <c r="B39" i="41"/>
  <c r="K39" i="41"/>
  <c r="B24" i="41"/>
  <c r="C24" i="41"/>
  <c r="D24" i="41"/>
  <c r="C37" i="41"/>
  <c r="B25" i="41"/>
  <c r="C25" i="41"/>
  <c r="D25" i="41"/>
  <c r="C38" i="41"/>
  <c r="C39" i="41"/>
  <c r="D39" i="41"/>
  <c r="D38" i="41"/>
  <c r="K37" i="41"/>
  <c r="D37" i="41"/>
  <c r="M10" i="41"/>
  <c r="D34" i="41"/>
  <c r="C34" i="41"/>
  <c r="L9" i="41"/>
  <c r="D33" i="41"/>
  <c r="C33" i="41"/>
  <c r="K8" i="41"/>
  <c r="D32" i="41"/>
  <c r="C32" i="41"/>
  <c r="I10" i="41"/>
  <c r="D31" i="41"/>
  <c r="C31" i="41"/>
  <c r="H9" i="41"/>
  <c r="D30" i="41"/>
  <c r="C30" i="41"/>
  <c r="G8" i="41"/>
  <c r="D29" i="41"/>
  <c r="C29" i="41"/>
  <c r="Y27" i="41"/>
  <c r="D26" i="41"/>
  <c r="D27" i="41"/>
  <c r="Y26" i="41"/>
  <c r="F25" i="41"/>
  <c r="F24" i="41"/>
  <c r="W23" i="41"/>
  <c r="Z22" i="41"/>
  <c r="W21" i="41"/>
  <c r="W20" i="41"/>
  <c r="AA19" i="41"/>
  <c r="AA18" i="41"/>
  <c r="Y17" i="41"/>
  <c r="E16" i="41"/>
  <c r="E15" i="41"/>
  <c r="Y11" i="41"/>
  <c r="X11" i="41"/>
  <c r="Y10" i="41"/>
  <c r="X10" i="41"/>
  <c r="Y9" i="41"/>
  <c r="X9" i="41"/>
  <c r="Y8" i="41"/>
  <c r="X8" i="41"/>
  <c r="G22" i="40"/>
  <c r="G23" i="40"/>
  <c r="G21" i="40"/>
  <c r="E14" i="21"/>
  <c r="E13" i="21"/>
  <c r="D24" i="21"/>
  <c r="AB8" i="21"/>
  <c r="D21" i="33"/>
  <c r="AB9" i="21"/>
  <c r="B7" i="21"/>
  <c r="E19" i="21"/>
  <c r="H26" i="21"/>
  <c r="D26" i="21"/>
  <c r="B25" i="21"/>
  <c r="C25" i="21"/>
  <c r="D25" i="21"/>
  <c r="B24" i="21"/>
  <c r="C24" i="21"/>
  <c r="D27" i="21"/>
  <c r="Y8" i="21"/>
  <c r="Y9" i="21"/>
  <c r="Y10" i="21"/>
  <c r="Y11" i="21"/>
  <c r="X11" i="21"/>
  <c r="X9" i="21"/>
  <c r="X10" i="21"/>
  <c r="X8" i="21"/>
  <c r="C20" i="33"/>
  <c r="I8" i="21"/>
  <c r="M8" i="21"/>
  <c r="B11" i="21"/>
  <c r="B10" i="21"/>
  <c r="B46" i="21"/>
  <c r="C46" i="21"/>
  <c r="F46" i="21"/>
  <c r="H46" i="21"/>
  <c r="I9" i="21"/>
  <c r="M9" i="21"/>
  <c r="B12" i="21"/>
  <c r="B47" i="21"/>
  <c r="C47" i="21"/>
  <c r="F47" i="21"/>
  <c r="H47" i="21"/>
  <c r="H8" i="21"/>
  <c r="L8" i="21"/>
  <c r="B45" i="21"/>
  <c r="C45" i="21"/>
  <c r="F45" i="21"/>
  <c r="H45" i="21"/>
  <c r="D45" i="21"/>
  <c r="G9" i="21"/>
  <c r="K9" i="21"/>
  <c r="E45" i="21"/>
  <c r="G45" i="21"/>
  <c r="D46" i="21"/>
  <c r="G10" i="21"/>
  <c r="K10" i="21"/>
  <c r="E46" i="21"/>
  <c r="G46" i="21"/>
  <c r="D47" i="21"/>
  <c r="H10" i="21"/>
  <c r="L10" i="21"/>
  <c r="E47" i="21"/>
  <c r="G47" i="21"/>
  <c r="I10" i="21"/>
  <c r="D31" i="21"/>
  <c r="G37" i="21"/>
  <c r="G39" i="21"/>
  <c r="B37" i="21"/>
  <c r="B38" i="21"/>
  <c r="B39" i="21"/>
  <c r="K39" i="21"/>
  <c r="B13" i="21"/>
  <c r="B14" i="21"/>
  <c r="B19" i="21"/>
  <c r="L49" i="21"/>
  <c r="K37" i="21"/>
  <c r="B16" i="21"/>
  <c r="B17" i="21"/>
  <c r="B18" i="21"/>
  <c r="B20" i="21"/>
  <c r="M49" i="21"/>
  <c r="C38" i="21"/>
  <c r="D38" i="21"/>
  <c r="C37" i="21"/>
  <c r="C39" i="21"/>
  <c r="D39" i="21"/>
  <c r="D37" i="21"/>
  <c r="Z22" i="21"/>
  <c r="W23" i="21"/>
  <c r="Y17" i="21"/>
  <c r="Y27" i="21"/>
  <c r="Y26" i="21"/>
  <c r="AA19" i="21"/>
  <c r="AA18" i="21"/>
  <c r="W21" i="21"/>
  <c r="W20" i="21"/>
  <c r="F25" i="21"/>
  <c r="F24" i="21"/>
  <c r="C30" i="21"/>
  <c r="C32" i="21"/>
  <c r="C33" i="21"/>
  <c r="C29" i="21"/>
  <c r="M10" i="21"/>
  <c r="D34" i="21"/>
  <c r="L9" i="21"/>
  <c r="D33" i="21"/>
  <c r="K8" i="21"/>
  <c r="D32" i="21"/>
  <c r="H9" i="21"/>
  <c r="D30" i="21"/>
  <c r="G8" i="21"/>
  <c r="D29" i="21"/>
  <c r="C34" i="21"/>
  <c r="C31" i="21"/>
  <c r="E16" i="21"/>
  <c r="E15" i="21"/>
  <c r="L45" i="21"/>
  <c r="M45" i="21"/>
  <c r="M46" i="21"/>
  <c r="M47" i="21"/>
  <c r="M48" i="21"/>
  <c r="L46" i="21"/>
  <c r="L47" i="21"/>
  <c r="L48" i="21"/>
</calcChain>
</file>

<file path=xl/sharedStrings.xml><?xml version="1.0" encoding="utf-8"?>
<sst xmlns="http://schemas.openxmlformats.org/spreadsheetml/2006/main" count="419" uniqueCount="163">
  <si>
    <t>Sbase</t>
  </si>
  <si>
    <t>MVA</t>
  </si>
  <si>
    <t>+j</t>
  </si>
  <si>
    <t>Pij</t>
  </si>
  <si>
    <t>Pji</t>
  </si>
  <si>
    <t>Qij</t>
  </si>
  <si>
    <t>Qji</t>
  </si>
  <si>
    <t>Pline</t>
  </si>
  <si>
    <t>Qline</t>
  </si>
  <si>
    <t>Sline</t>
  </si>
  <si>
    <t>(pu)</t>
  </si>
  <si>
    <t>PG1=</t>
  </si>
  <si>
    <t>PG2=</t>
  </si>
  <si>
    <t>PG3=</t>
  </si>
  <si>
    <t>QG1=</t>
  </si>
  <si>
    <t>QG2=</t>
  </si>
  <si>
    <t>QG3=</t>
  </si>
  <si>
    <t>PD1=</t>
  </si>
  <si>
    <t>PD2=</t>
  </si>
  <si>
    <t>PD3=</t>
  </si>
  <si>
    <t>QD1=</t>
  </si>
  <si>
    <t>QD2=</t>
  </si>
  <si>
    <t>QD3=</t>
  </si>
  <si>
    <t>Real (pu)</t>
  </si>
  <si>
    <t>Reactive (pu)</t>
  </si>
  <si>
    <t>z12 (pu)=</t>
  </si>
  <si>
    <t>z13 (pu)=</t>
  </si>
  <si>
    <t>z23 (pu)=</t>
  </si>
  <si>
    <t>Smax</t>
  </si>
  <si>
    <t>&lt;</t>
  </si>
  <si>
    <t>Ybus=</t>
  </si>
  <si>
    <t>v1=</t>
  </si>
  <si>
    <t>v3=</t>
  </si>
  <si>
    <t>theta1=</t>
  </si>
  <si>
    <t>v2=</t>
  </si>
  <si>
    <t>theta2=</t>
  </si>
  <si>
    <t>theta3=</t>
  </si>
  <si>
    <t>PG1-&gt;</t>
  </si>
  <si>
    <t>PG2-&gt;</t>
  </si>
  <si>
    <t>LMPs</t>
  </si>
  <si>
    <t>Operación Económica de Sistemas de Potencia</t>
  </si>
  <si>
    <t xml:space="preserve">Database tomada de </t>
  </si>
  <si>
    <t>Generation data</t>
  </si>
  <si>
    <t>Unit</t>
  </si>
  <si>
    <t>Co</t>
  </si>
  <si>
    <t>a</t>
  </si>
  <si>
    <t>b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</si>
  <si>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</si>
  <si>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</si>
  <si>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$/h</t>
  </si>
  <si>
    <t>$/MWh</t>
  </si>
  <si>
    <r>
      <t>$/MWh</t>
    </r>
    <r>
      <rPr>
        <vertAlign val="superscript"/>
        <sz val="12"/>
        <color theme="1"/>
        <rFont val="Calibri (Body)"/>
      </rPr>
      <t>2</t>
    </r>
  </si>
  <si>
    <t>MW</t>
  </si>
  <si>
    <t>Demand data</t>
  </si>
  <si>
    <t>Sistema de Ttransmisión</t>
  </si>
  <si>
    <t>Control</t>
  </si>
  <si>
    <t>Despacho</t>
  </si>
  <si>
    <t>mvar</t>
  </si>
  <si>
    <t>Otras variables de interes:</t>
  </si>
  <si>
    <t>Flujos por las lineas</t>
  </si>
  <si>
    <t>a =$/MWh</t>
  </si>
  <si>
    <t>Production Cost Curves= aPg+(1/2)bPg^2</t>
  </si>
  <si>
    <t>P1=PG1-PD1=0 -&gt;</t>
  </si>
  <si>
    <t>P2=PG2-PD2=0 -&gt;</t>
  </si>
  <si>
    <t>P3=PG3-PD3=0 -&gt;</t>
  </si>
  <si>
    <t>Q1=QG1-QD1=0 -&gt;</t>
  </si>
  <si>
    <t>Q2=QG2-QD2=0 -&gt;</t>
  </si>
  <si>
    <t>Q3=QG3-QD3=0 -&gt;</t>
  </si>
  <si>
    <t>ICs</t>
  </si>
  <si>
    <t>C(Pg)</t>
  </si>
  <si>
    <r>
      <t>b =$/MWh</t>
    </r>
    <r>
      <rPr>
        <b/>
        <vertAlign val="superscript"/>
        <sz val="11"/>
        <color theme="1"/>
        <rFont val="Calibri (Body)"/>
      </rPr>
      <t>2</t>
    </r>
  </si>
  <si>
    <t>(53)</t>
  </si>
  <si>
    <t>(54)</t>
  </si>
  <si>
    <t>(55)</t>
  </si>
  <si>
    <t>(56)</t>
  </si>
  <si>
    <t>(57)</t>
  </si>
  <si>
    <t>(58)</t>
  </si>
  <si>
    <t>(59)</t>
  </si>
  <si>
    <t>Sujeto a:</t>
  </si>
  <si>
    <t>Mvar</t>
  </si>
  <si>
    <t>G1</t>
  </si>
  <si>
    <t>G2</t>
  </si>
  <si>
    <t>Ingreso $/h</t>
  </si>
  <si>
    <t>Total</t>
  </si>
  <si>
    <t>Costo $/h</t>
  </si>
  <si>
    <t>Lucro $/h</t>
  </si>
  <si>
    <t>Pérdidas</t>
  </si>
  <si>
    <t>Pago $/h</t>
  </si>
  <si>
    <t>D1</t>
  </si>
  <si>
    <t>pu</t>
  </si>
  <si>
    <t>Modelo:</t>
  </si>
  <si>
    <t>Red</t>
  </si>
  <si>
    <t>Remun. $/h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</si>
  <si>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1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</si>
  <si>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</si>
  <si>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</t>
    </r>
    <r>
      <rPr>
        <vertAlign val="subscript"/>
        <sz val="11"/>
        <color theme="1"/>
        <rFont val="Calibri (Body)"/>
      </rPr>
      <t>3</t>
    </r>
    <r>
      <rPr>
        <sz val="11"/>
        <color theme="1"/>
        <rFont val="Calibri"/>
        <family val="2"/>
        <charset val="2"/>
        <scheme val="minor"/>
      </rPr>
      <t xml:space="preserve"> =</t>
    </r>
  </si>
  <si>
    <t>La red recibe ingresos por congestion</t>
  </si>
  <si>
    <t>Caso de Estudio 2</t>
  </si>
  <si>
    <t>l</t>
  </si>
  <si>
    <r>
      <t>l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Symbol"/>
        <family val="1"/>
        <charset val="2"/>
      </rPr>
      <t xml:space="preserve">  </t>
    </r>
  </si>
  <si>
    <r>
      <t>P</t>
    </r>
    <r>
      <rPr>
        <vertAlign val="subscript"/>
        <sz val="12"/>
        <color theme="1"/>
        <rFont val="Calibri (Body)"/>
      </rPr>
      <t>DO</t>
    </r>
  </si>
  <si>
    <r>
      <t>l</t>
    </r>
    <r>
      <rPr>
        <vertAlign val="subscript"/>
        <sz val="12"/>
        <color theme="1"/>
        <rFont val="Symbol"/>
        <family val="1"/>
        <charset val="2"/>
      </rPr>
      <t>0</t>
    </r>
  </si>
  <si>
    <r>
      <t>l</t>
    </r>
    <r>
      <rPr>
        <vertAlign val="subscript"/>
        <sz val="12"/>
        <color theme="1"/>
        <rFont val="Calibri (Body)"/>
      </rPr>
      <t>max</t>
    </r>
    <r>
      <rPr>
        <sz val="12"/>
        <color theme="1"/>
        <rFont val="Symbol"/>
        <family val="1"/>
        <charset val="2"/>
      </rPr>
      <t xml:space="preserve"> =4 l</t>
    </r>
    <r>
      <rPr>
        <vertAlign val="subscript"/>
        <sz val="12"/>
        <color theme="1"/>
        <rFont val="Symbol"/>
        <family val="1"/>
        <charset val="2"/>
      </rPr>
      <t>0</t>
    </r>
  </si>
  <si>
    <t>m</t>
  </si>
  <si>
    <r>
      <t>$/MW</t>
    </r>
    <r>
      <rPr>
        <vertAlign val="superscript"/>
        <sz val="12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h</t>
    </r>
  </si>
  <si>
    <r>
      <t>P</t>
    </r>
    <r>
      <rPr>
        <vertAlign val="subscript"/>
        <sz val="12"/>
        <color theme="1"/>
        <rFont val="Calibri (Body)"/>
      </rPr>
      <t>D</t>
    </r>
  </si>
  <si>
    <r>
      <t>P</t>
    </r>
    <r>
      <rPr>
        <vertAlign val="subscript"/>
        <sz val="12"/>
        <color rgb="FF000000"/>
        <rFont val="Calibri"/>
        <family val="2"/>
        <scheme val="minor"/>
      </rPr>
      <t>DO</t>
    </r>
  </si>
  <si>
    <t>bus 3</t>
  </si>
  <si>
    <t>Ejemplo 2: Despacho Económico con red con restricciones en la capacidad de generación y  de  transmisión (demanda elastica)</t>
  </si>
  <si>
    <r>
      <t>l</t>
    </r>
    <r>
      <rPr>
        <vertAlign val="subscript"/>
        <sz val="12"/>
        <color rgb="FF000000"/>
        <rFont val="Calibri"/>
        <family val="2"/>
      </rPr>
      <t>max</t>
    </r>
    <r>
      <rPr>
        <sz val="12"/>
        <color rgb="FF000000"/>
        <rFont val="Symbol"/>
        <family val="1"/>
        <charset val="2"/>
      </rPr>
      <t xml:space="preserve"> =</t>
    </r>
  </si>
  <si>
    <t>m=</t>
  </si>
  <si>
    <t>$/MW2h</t>
  </si>
  <si>
    <t>Utilidad demanda -----&gt;</t>
  </si>
  <si>
    <t>OBJETIVO - Maximizar Bienestar Social =</t>
  </si>
  <si>
    <t>LMP3=</t>
  </si>
  <si>
    <t>Microsoft Excel 16.0 Sensitivity Report</t>
  </si>
  <si>
    <t>Worksheet: [E2_Despacho_Economico_Basico_Red_Congest_Elastica.xlsx]DEE no congestion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</si>
  <si>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</si>
  <si>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</si>
  <si>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</si>
  <si>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</si>
  <si>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</si>
  <si>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</si>
  <si>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</si>
  <si>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</si>
  <si>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</si>
  <si>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</si>
  <si>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$D$10</t>
  </si>
  <si>
    <t>_V3</t>
  </si>
  <si>
    <t>$D$11</t>
  </si>
  <si>
    <t>_T2</t>
  </si>
  <si>
    <t>$D$12</t>
  </si>
  <si>
    <t>_T3</t>
  </si>
  <si>
    <t>$D$13</t>
  </si>
  <si>
    <t>_PG1</t>
  </si>
  <si>
    <t>$D$14</t>
  </si>
  <si>
    <t>_PG2</t>
  </si>
  <si>
    <t>$D$15</t>
  </si>
  <si>
    <t>_QG1</t>
  </si>
  <si>
    <t>$D$16</t>
  </si>
  <si>
    <t>_QG2</t>
  </si>
  <si>
    <t>$D$17</t>
  </si>
  <si>
    <t>_PD3</t>
  </si>
  <si>
    <t>$C$29</t>
  </si>
  <si>
    <t>P1=PG1-PD1=0 -&gt; b =$/MWh2</t>
  </si>
  <si>
    <t>$C$30</t>
  </si>
  <si>
    <t>P2=PG2-PD2=0 -&gt; b =$/MWh2</t>
  </si>
  <si>
    <t>$C$31</t>
  </si>
  <si>
    <t>P3=PG3-PD3=0 -&gt; b =$/MWh2</t>
  </si>
  <si>
    <t>$C$32</t>
  </si>
  <si>
    <t>Q1=QG1-QD1=0 -&gt; b =$/MWh2</t>
  </si>
  <si>
    <t>$C$33</t>
  </si>
  <si>
    <t>Q2=QG2-QD2=0 -&gt; b =$/MWh2</t>
  </si>
  <si>
    <t>$C$34</t>
  </si>
  <si>
    <t>Q3=QG3-QD3=0 -&gt; b =$/MWh2</t>
  </si>
  <si>
    <t>$H$45</t>
  </si>
  <si>
    <t>$H$46</t>
  </si>
  <si>
    <t>$H$47</t>
  </si>
  <si>
    <t>Report Created: 02/04/2021 11:13:59 p. m.</t>
  </si>
  <si>
    <t>Worksheet: [E2_Despacho_Economico_Basico_Red_Congest_Elastica.xlsx]DEE congestion TRANSM</t>
  </si>
  <si>
    <t>Report Created: 02/04/2021 11:16:14 p. m.</t>
  </si>
  <si>
    <t>La red recibe ingresos por congestion y pérdidas</t>
  </si>
  <si>
    <t>Incógnitas 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</si>
</sst>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b/>
      <sz val="1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vertAlign val="superscript"/>
      <sz val="11"/>
      <color theme="1"/>
      <name val="Calibri (Body)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"/>
      <scheme val="minor"/>
    </font>
    <font>
      <vertAlign val="subscript"/>
      <sz val="11"/>
      <color theme="1"/>
      <name val="Calibri (Body)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vertAlign val="subscript"/>
      <sz val="12"/>
      <color theme="1"/>
      <name val="Symbol"/>
      <family val="1"/>
      <charset val="2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sz val="12"/>
      <color rgb="FF000000"/>
      <name val="Symbol"/>
      <family val="1"/>
      <charset val="2"/>
    </font>
    <font>
      <vertAlign val="subscript"/>
      <sz val="12"/>
      <color rgb="FF000000"/>
      <name val="Calibri"/>
      <family val="2"/>
    </font>
    <font>
      <b/>
      <sz val="11"/>
      <color indexed="1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6" borderId="0" applyNumberFormat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Border="1"/>
    <xf numFmtId="2" fontId="0" fillId="2" borderId="0" xfId="0" applyNumberFormat="1" applyFill="1"/>
    <xf numFmtId="0" fontId="3" fillId="2" borderId="0" xfId="0" applyFont="1" applyFill="1" applyAlignment="1">
      <alignment horizontal="right"/>
    </xf>
    <xf numFmtId="0" fontId="8" fillId="2" borderId="0" xfId="0" applyFon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2" fontId="3" fillId="2" borderId="0" xfId="0" applyNumberFormat="1" applyFont="1" applyFill="1" applyAlignment="1">
      <alignment horizontal="right"/>
    </xf>
    <xf numFmtId="0" fontId="0" fillId="2" borderId="0" xfId="0" quotePrefix="1" applyFill="1"/>
    <xf numFmtId="0" fontId="0" fillId="2" borderId="0" xfId="0" applyFill="1" applyBorder="1" applyAlignment="1">
      <alignment horizontal="right"/>
    </xf>
    <xf numFmtId="164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64" fontId="1" fillId="4" borderId="0" xfId="0" applyNumberFormat="1" applyFont="1" applyFill="1" applyBorder="1" applyAlignment="1">
      <alignment horizontal="left"/>
    </xf>
    <xf numFmtId="164" fontId="0" fillId="4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5" borderId="0" xfId="0" applyFill="1" applyBorder="1"/>
    <xf numFmtId="0" fontId="3" fillId="2" borderId="0" xfId="0" applyFont="1" applyFill="1"/>
    <xf numFmtId="0" fontId="6" fillId="2" borderId="0" xfId="0" applyFont="1" applyFill="1" applyBorder="1" applyAlignment="1">
      <alignment horizontal="right"/>
    </xf>
    <xf numFmtId="166" fontId="1" fillId="2" borderId="0" xfId="0" applyNumberFormat="1" applyFont="1" applyFill="1" applyBorder="1"/>
    <xf numFmtId="2" fontId="0" fillId="2" borderId="0" xfId="0" applyNumberFormat="1" applyFill="1" applyBorder="1"/>
    <xf numFmtId="0" fontId="7" fillId="2" borderId="0" xfId="0" applyFont="1" applyFill="1" applyBorder="1" applyAlignment="1">
      <alignment horizontal="center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4" fillId="2" borderId="0" xfId="0" applyFont="1" applyFill="1" applyBorder="1"/>
    <xf numFmtId="0" fontId="15" fillId="2" borderId="0" xfId="0" applyFont="1" applyFill="1" applyBorder="1"/>
    <xf numFmtId="2" fontId="12" fillId="6" borderId="0" xfId="13" applyNumberFormat="1"/>
    <xf numFmtId="2" fontId="3" fillId="2" borderId="0" xfId="0" applyNumberFormat="1" applyFont="1" applyFill="1"/>
    <xf numFmtId="0" fontId="16" fillId="2" borderId="0" xfId="0" applyFont="1" applyFill="1"/>
    <xf numFmtId="2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6" fontId="0" fillId="2" borderId="0" xfId="0" applyNumberFormat="1" applyFill="1" applyBorder="1"/>
    <xf numFmtId="0" fontId="17" fillId="2" borderId="0" xfId="0" applyFon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17" fillId="2" borderId="0" xfId="0" applyNumberFormat="1" applyFon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0" fontId="17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0" fontId="0" fillId="2" borderId="2" xfId="0" applyFill="1" applyBorder="1" applyAlignment="1">
      <alignment horizontal="left"/>
    </xf>
    <xf numFmtId="0" fontId="0" fillId="7" borderId="0" xfId="0" applyFill="1" applyBorder="1"/>
    <xf numFmtId="0" fontId="0" fillId="7" borderId="0" xfId="0" applyFill="1"/>
    <xf numFmtId="2" fontId="0" fillId="5" borderId="0" xfId="0" applyNumberFormat="1" applyFill="1" applyBorder="1" applyAlignment="1">
      <alignment horizontal="center"/>
    </xf>
    <xf numFmtId="2" fontId="7" fillId="2" borderId="0" xfId="0" applyNumberFormat="1" applyFont="1" applyFill="1"/>
    <xf numFmtId="2" fontId="16" fillId="2" borderId="0" xfId="0" applyNumberFormat="1" applyFont="1" applyFill="1"/>
    <xf numFmtId="0" fontId="22" fillId="8" borderId="0" xfId="0" applyFont="1" applyFill="1"/>
    <xf numFmtId="0" fontId="0" fillId="0" borderId="0" xfId="0" applyFill="1"/>
    <xf numFmtId="0" fontId="23" fillId="2" borderId="0" xfId="0" applyFont="1" applyFill="1" applyAlignment="1">
      <alignment horizontal="right"/>
    </xf>
    <xf numFmtId="0" fontId="25" fillId="8" borderId="0" xfId="0" applyFont="1" applyFill="1" applyAlignment="1">
      <alignment horizontal="right"/>
    </xf>
    <xf numFmtId="0" fontId="25" fillId="8" borderId="0" xfId="0" applyFont="1" applyFill="1"/>
    <xf numFmtId="0" fontId="27" fillId="8" borderId="0" xfId="0" applyFont="1" applyFill="1"/>
    <xf numFmtId="2" fontId="25" fillId="8" borderId="0" xfId="0" applyNumberFormat="1" applyFont="1" applyFill="1"/>
    <xf numFmtId="0" fontId="23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0" xfId="0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164" fontId="1" fillId="9" borderId="0" xfId="0" applyNumberFormat="1" applyFont="1" applyFill="1" applyBorder="1" applyAlignment="1">
      <alignment horizontal="center"/>
    </xf>
    <xf numFmtId="0" fontId="1" fillId="9" borderId="0" xfId="0" applyFont="1" applyFill="1" applyBorder="1" applyAlignment="1">
      <alignment horizontal="right"/>
    </xf>
    <xf numFmtId="2" fontId="0" fillId="2" borderId="0" xfId="0" applyNumberFormat="1" applyFill="1" applyAlignment="1">
      <alignment horizontal="right"/>
    </xf>
    <xf numFmtId="2" fontId="17" fillId="2" borderId="4" xfId="0" applyNumberFormat="1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Fill="1" applyBorder="1" applyAlignment="1"/>
    <xf numFmtId="166" fontId="0" fillId="10" borderId="0" xfId="0" applyNumberFormat="1" applyFill="1" applyAlignment="1">
      <alignment horizontal="center"/>
    </xf>
    <xf numFmtId="166" fontId="1" fillId="10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0" fillId="0" borderId="8" xfId="0" applyFill="1" applyBorder="1" applyAlignment="1"/>
    <xf numFmtId="0" fontId="29" fillId="0" borderId="5" xfId="0" applyFont="1" applyFill="1" applyBorder="1" applyAlignment="1">
      <alignment horizontal="center"/>
    </xf>
    <xf numFmtId="0" fontId="29" fillId="0" borderId="6" xfId="0" applyFont="1" applyFill="1" applyBorder="1" applyAlignment="1">
      <alignment horizontal="center"/>
    </xf>
    <xf numFmtId="0" fontId="0" fillId="0" borderId="9" xfId="0" applyFill="1" applyBorder="1" applyAlignment="1"/>
    <xf numFmtId="2" fontId="0" fillId="4" borderId="0" xfId="0" applyNumberFormat="1" applyFill="1" applyBorder="1"/>
    <xf numFmtId="0" fontId="0" fillId="4" borderId="0" xfId="0" applyFill="1"/>
    <xf numFmtId="0" fontId="0" fillId="11" borderId="0" xfId="0" applyFill="1" applyBorder="1"/>
    <xf numFmtId="0" fontId="0" fillId="11" borderId="0" xfId="0" applyFill="1"/>
    <xf numFmtId="0" fontId="0" fillId="10" borderId="0" xfId="0" applyFont="1" applyFill="1" applyBorder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164" fontId="1" fillId="10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1" fontId="1" fillId="5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0" fillId="12" borderId="0" xfId="0" applyFill="1" applyBorder="1" applyAlignment="1">
      <alignment horizontal="left"/>
    </xf>
    <xf numFmtId="164" fontId="0" fillId="12" borderId="0" xfId="0" applyNumberFormat="1" applyFill="1" applyBorder="1" applyAlignment="1">
      <alignment horizont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5</xdr:row>
      <xdr:rowOff>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F3E115-E927-C542-974D-EF2D0599F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11131" cy="861598"/>
        </a:xfrm>
        <a:prstGeom prst="rect">
          <a:avLst/>
        </a:prstGeom>
      </xdr:spPr>
    </xdr:pic>
    <xdr:clientData/>
  </xdr:twoCellAnchor>
  <xdr:twoCellAnchor>
    <xdr:from>
      <xdr:col>5</xdr:col>
      <xdr:colOff>135466</xdr:colOff>
      <xdr:row>15</xdr:row>
      <xdr:rowOff>42336</xdr:rowOff>
    </xdr:from>
    <xdr:to>
      <xdr:col>5</xdr:col>
      <xdr:colOff>135466</xdr:colOff>
      <xdr:row>21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5FD363F-1F1C-A84E-BDBA-8509FFED79D1}"/>
            </a:ext>
          </a:extLst>
        </xdr:cNvPr>
        <xdr:cNvCxnSpPr/>
      </xdr:nvCxnSpPr>
      <xdr:spPr>
        <a:xfrm flipV="1">
          <a:off x="4262966" y="3090336"/>
          <a:ext cx="0" cy="13546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110067</xdr:rowOff>
    </xdr:from>
    <xdr:to>
      <xdr:col>7</xdr:col>
      <xdr:colOff>381000</xdr:colOff>
      <xdr:row>20</xdr:row>
      <xdr:rowOff>127002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BE9417-E21E-7B44-9EFB-4CC7C097AF85}"/>
            </a:ext>
          </a:extLst>
        </xdr:cNvPr>
        <xdr:cNvCxnSpPr/>
      </xdr:nvCxnSpPr>
      <xdr:spPr>
        <a:xfrm flipV="1">
          <a:off x="4127500" y="4301067"/>
          <a:ext cx="2032000" cy="169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33867</xdr:colOff>
      <xdr:row>18</xdr:row>
      <xdr:rowOff>127000</xdr:rowOff>
    </xdr:from>
    <xdr:to>
      <xdr:col>5</xdr:col>
      <xdr:colOff>685800</xdr:colOff>
      <xdr:row>18</xdr:row>
      <xdr:rowOff>127002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EC73561-D021-504A-8EBD-E2DDC4B0A9B6}"/>
            </a:ext>
          </a:extLst>
        </xdr:cNvPr>
        <xdr:cNvCxnSpPr/>
      </xdr:nvCxnSpPr>
      <xdr:spPr>
        <a:xfrm flipV="1">
          <a:off x="4161367" y="3860800"/>
          <a:ext cx="651933" cy="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702733</xdr:colOff>
      <xdr:row>18</xdr:row>
      <xdr:rowOff>127000</xdr:rowOff>
    </xdr:from>
    <xdr:to>
      <xdr:col>5</xdr:col>
      <xdr:colOff>702733</xdr:colOff>
      <xdr:row>21</xdr:row>
      <xdr:rowOff>16934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4F9E036-E028-5047-A96C-8BB93A62BFF9}"/>
            </a:ext>
          </a:extLst>
        </xdr:cNvPr>
        <xdr:cNvCxnSpPr/>
      </xdr:nvCxnSpPr>
      <xdr:spPr>
        <a:xfrm flipV="1">
          <a:off x="4830233" y="3860800"/>
          <a:ext cx="0" cy="6011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16</xdr:row>
      <xdr:rowOff>84668</xdr:rowOff>
    </xdr:from>
    <xdr:to>
      <xdr:col>6</xdr:col>
      <xdr:colOff>474133</xdr:colOff>
      <xdr:row>20</xdr:row>
      <xdr:rowOff>93134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47482ED-6E05-9848-93F2-B64DC87BEDEA}"/>
            </a:ext>
          </a:extLst>
        </xdr:cNvPr>
        <xdr:cNvCxnSpPr/>
      </xdr:nvCxnSpPr>
      <xdr:spPr>
        <a:xfrm flipH="1" flipV="1">
          <a:off x="4254500" y="3361268"/>
          <a:ext cx="1172633" cy="922866"/>
        </a:xfrm>
        <a:prstGeom prst="straightConnector1">
          <a:avLst/>
        </a:prstGeom>
        <a:ln w="28575">
          <a:solidFill>
            <a:srgbClr val="FF0000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8098693" y="633696"/>
          <a:ext cx="44938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7291102" y="636955"/>
          <a:ext cx="58615" cy="3360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7349717" y="801727"/>
          <a:ext cx="748976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rot="5400000">
          <a:off x="8925167" y="1330246"/>
          <a:ext cx="65455" cy="452966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5" idx="1"/>
          <a:endCxn id="21" idx="1"/>
        </xdr:cNvCxnSpPr>
      </xdr:nvCxnSpPr>
      <xdr:spPr>
        <a:xfrm flipH="1">
          <a:off x="14092928" y="3549409"/>
          <a:ext cx="416027" cy="89260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H="1">
          <a:off x="14052176" y="4492528"/>
          <a:ext cx="2154" cy="47541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cxnSpLocks/>
          <a:endCxn id="7" idx="1"/>
        </xdr:cNvCxnSpPr>
      </xdr:nvCxnSpPr>
      <xdr:spPr>
        <a:xfrm>
          <a:off x="13155628" y="3384751"/>
          <a:ext cx="434923" cy="167917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cxnSpLocks/>
          <a:stCxn id="33" idx="2"/>
          <a:endCxn id="5" idx="3"/>
        </xdr:cNvCxnSpPr>
      </xdr:nvCxnSpPr>
      <xdr:spPr>
        <a:xfrm flipH="1">
          <a:off x="13552835" y="3538020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/>
      </xdr:nvSpPr>
      <xdr:spPr>
        <a:xfrm>
          <a:off x="13395013" y="319492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4515850" y="3201396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8568267" y="162560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2B57BDF-1008-2C4A-9C3D-93CBD1D0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2112280" cy="928086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24" name="Conector recto de flecha 21">
          <a:extLst>
            <a:ext uri="{FF2B5EF4-FFF2-40B4-BE49-F238E27FC236}">
              <a16:creationId xmlns:a16="http://schemas.microsoft.com/office/drawing/2014/main" id="{81598B2E-B2C1-AA4E-A61B-22485A74E404}"/>
            </a:ext>
          </a:extLst>
        </xdr:cNvPr>
        <xdr:cNvCxnSpPr>
          <a:cxnSpLocks/>
          <a:stCxn id="7" idx="3"/>
        </xdr:cNvCxnSpPr>
      </xdr:nvCxnSpPr>
      <xdr:spPr>
        <a:xfrm>
          <a:off x="13598366" y="3552668"/>
          <a:ext cx="395769" cy="895205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95250</xdr:rowOff>
    </xdr:from>
    <xdr:to>
      <xdr:col>11</xdr:col>
      <xdr:colOff>642938</xdr:colOff>
      <xdr:row>38</xdr:row>
      <xdr:rowOff>103188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C997370A-207D-1D46-9B42-D3597FEA7F96}"/>
            </a:ext>
          </a:extLst>
        </xdr:cNvPr>
        <xdr:cNvCxnSpPr/>
      </xdr:nvCxnSpPr>
      <xdr:spPr>
        <a:xfrm flipV="1">
          <a:off x="6881813" y="6969125"/>
          <a:ext cx="69850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9" name="Rectángulo 6">
          <a:extLst>
            <a:ext uri="{FF2B5EF4-FFF2-40B4-BE49-F238E27FC236}">
              <a16:creationId xmlns:a16="http://schemas.microsoft.com/office/drawing/2014/main" id="{5AFA94EF-1C1D-C148-87A1-E3D1F86E2E4C}"/>
            </a:ext>
          </a:extLst>
        </xdr:cNvPr>
        <xdr:cNvSpPr/>
      </xdr:nvSpPr>
      <xdr:spPr>
        <a:xfrm flipH="1">
          <a:off x="12573344" y="3386132"/>
          <a:ext cx="65339" cy="368932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22</xdr:col>
      <xdr:colOff>831089</xdr:colOff>
      <xdr:row>18</xdr:row>
      <xdr:rowOff>75410</xdr:rowOff>
    </xdr:to>
    <xdr:grpSp>
      <xdr:nvGrpSpPr>
        <xdr:cNvPr id="25" name="Agrupar 51">
          <a:extLst>
            <a:ext uri="{FF2B5EF4-FFF2-40B4-BE49-F238E27FC236}">
              <a16:creationId xmlns:a16="http://schemas.microsoft.com/office/drawing/2014/main" id="{224E9DAA-5BFA-C54E-B6C3-CF49455B3045}"/>
            </a:ext>
          </a:extLst>
        </xdr:cNvPr>
        <xdr:cNvGrpSpPr/>
      </xdr:nvGrpSpPr>
      <xdr:grpSpPr>
        <a:xfrm>
          <a:off x="11085555" y="3193757"/>
          <a:ext cx="357972" cy="334466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26" name="Elipse 24">
            <a:extLst>
              <a:ext uri="{FF2B5EF4-FFF2-40B4-BE49-F238E27FC236}">
                <a16:creationId xmlns:a16="http://schemas.microsoft.com/office/drawing/2014/main" id="{CF8A47DC-5BF6-594C-99F5-E28BF63D4D73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7" name="Agrupar 50">
            <a:extLst>
              <a:ext uri="{FF2B5EF4-FFF2-40B4-BE49-F238E27FC236}">
                <a16:creationId xmlns:a16="http://schemas.microsoft.com/office/drawing/2014/main" id="{BEE458AA-8FB0-5642-955E-937ABD7932DF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9" name="Arco 25">
              <a:extLst>
                <a:ext uri="{FF2B5EF4-FFF2-40B4-BE49-F238E27FC236}">
                  <a16:creationId xmlns:a16="http://schemas.microsoft.com/office/drawing/2014/main" id="{FDBC8BCB-E9EF-C64D-8D3B-CAE1A3B2876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0" name="Arco 26">
              <a:extLst>
                <a:ext uri="{FF2B5EF4-FFF2-40B4-BE49-F238E27FC236}">
                  <a16:creationId xmlns:a16="http://schemas.microsoft.com/office/drawing/2014/main" id="{0B0483F9-7FD2-E148-988F-A00A43A60D28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31" name="Agrupar 51">
          <a:extLst>
            <a:ext uri="{FF2B5EF4-FFF2-40B4-BE49-F238E27FC236}">
              <a16:creationId xmlns:a16="http://schemas.microsoft.com/office/drawing/2014/main" id="{9D5979D2-15E1-B046-812C-B339C0394BD2}"/>
            </a:ext>
          </a:extLst>
        </xdr:cNvPr>
        <xdr:cNvGrpSpPr/>
      </xdr:nvGrpSpPr>
      <xdr:grpSpPr>
        <a:xfrm>
          <a:off x="13043604" y="3364717"/>
          <a:ext cx="363468" cy="334466"/>
          <a:chOff x="513989" y="2399805"/>
          <a:chExt cx="713232" cy="713205"/>
        </a:xfrm>
      </xdr:grpSpPr>
      <xdr:sp macro="" textlink="">
        <xdr:nvSpPr>
          <xdr:cNvPr id="33" name="Elipse 24">
            <a:extLst>
              <a:ext uri="{FF2B5EF4-FFF2-40B4-BE49-F238E27FC236}">
                <a16:creationId xmlns:a16="http://schemas.microsoft.com/office/drawing/2014/main" id="{A9D20259-347D-A049-86F3-FA87D765701F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34" name="Agrupar 50">
            <a:extLst>
              <a:ext uri="{FF2B5EF4-FFF2-40B4-BE49-F238E27FC236}">
                <a16:creationId xmlns:a16="http://schemas.microsoft.com/office/drawing/2014/main" id="{F1CABBC6-FAE8-EC4D-AECA-0A3AE9A1C914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35" name="Arco 25">
              <a:extLst>
                <a:ext uri="{FF2B5EF4-FFF2-40B4-BE49-F238E27FC236}">
                  <a16:creationId xmlns:a16="http://schemas.microsoft.com/office/drawing/2014/main" id="{18004015-65ED-4A47-B8CD-6355E5C5EB15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36" name="Arco 26">
              <a:extLst>
                <a:ext uri="{FF2B5EF4-FFF2-40B4-BE49-F238E27FC236}">
                  <a16:creationId xmlns:a16="http://schemas.microsoft.com/office/drawing/2014/main" id="{4F954D13-CB9A-6646-9C9C-A042F3215E30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38426</xdr:colOff>
      <xdr:row>17</xdr:row>
      <xdr:rowOff>100296</xdr:rowOff>
    </xdr:from>
    <xdr:to>
      <xdr:col>25</xdr:col>
      <xdr:colOff>83364</xdr:colOff>
      <xdr:row>19</xdr:row>
      <xdr:rowOff>80757</xdr:rowOff>
    </xdr:to>
    <xdr:sp macro="" textlink="">
      <xdr:nvSpPr>
        <xdr:cNvPr id="2" name="Rectángulo 4">
          <a:extLst>
            <a:ext uri="{FF2B5EF4-FFF2-40B4-BE49-F238E27FC236}">
              <a16:creationId xmlns:a16="http://schemas.microsoft.com/office/drawing/2014/main" id="{EA929716-321D-4E6B-974D-FAFEABDFDBCD}"/>
            </a:ext>
          </a:extLst>
        </xdr:cNvPr>
        <xdr:cNvSpPr/>
      </xdr:nvSpPr>
      <xdr:spPr>
        <a:xfrm>
          <a:off x="11154101" y="3357846"/>
          <a:ext cx="44938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670169</xdr:colOff>
      <xdr:row>17</xdr:row>
      <xdr:rowOff>103555</xdr:rowOff>
    </xdr:from>
    <xdr:to>
      <xdr:col>23</xdr:col>
      <xdr:colOff>728784</xdr:colOff>
      <xdr:row>19</xdr:row>
      <xdr:rowOff>84016</xdr:rowOff>
    </xdr:to>
    <xdr:sp macro="" textlink="">
      <xdr:nvSpPr>
        <xdr:cNvPr id="3" name="Rectángulo 6">
          <a:extLst>
            <a:ext uri="{FF2B5EF4-FFF2-40B4-BE49-F238E27FC236}">
              <a16:creationId xmlns:a16="http://schemas.microsoft.com/office/drawing/2014/main" id="{F46E4BB8-5019-4C95-8A79-4AA169CFB3A9}"/>
            </a:ext>
          </a:extLst>
        </xdr:cNvPr>
        <xdr:cNvSpPr/>
      </xdr:nvSpPr>
      <xdr:spPr>
        <a:xfrm>
          <a:off x="10357094" y="3361105"/>
          <a:ext cx="0" cy="361461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728784</xdr:colOff>
      <xdr:row>18</xdr:row>
      <xdr:rowOff>90527</xdr:rowOff>
    </xdr:from>
    <xdr:to>
      <xdr:col>25</xdr:col>
      <xdr:colOff>38426</xdr:colOff>
      <xdr:row>18</xdr:row>
      <xdr:rowOff>93786</xdr:rowOff>
    </xdr:to>
    <xdr:cxnSp macro="">
      <xdr:nvCxnSpPr>
        <xdr:cNvPr id="4" name="Conector recto de flecha 9">
          <a:extLst>
            <a:ext uri="{FF2B5EF4-FFF2-40B4-BE49-F238E27FC236}">
              <a16:creationId xmlns:a16="http://schemas.microsoft.com/office/drawing/2014/main" id="{702B9E18-BBE1-42DB-BE3D-8D8B7551B321}"/>
            </a:ext>
          </a:extLst>
        </xdr:cNvPr>
        <xdr:cNvCxnSpPr>
          <a:stCxn id="3" idx="3"/>
          <a:endCxn id="2" idx="1"/>
        </xdr:cNvCxnSpPr>
      </xdr:nvCxnSpPr>
      <xdr:spPr>
        <a:xfrm flipV="1">
          <a:off x="10349034" y="3538577"/>
          <a:ext cx="805067" cy="32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44612</xdr:colOff>
      <xdr:row>23</xdr:row>
      <xdr:rowOff>101601</xdr:rowOff>
    </xdr:from>
    <xdr:to>
      <xdr:col>25</xdr:col>
      <xdr:colOff>74245</xdr:colOff>
      <xdr:row>23</xdr:row>
      <xdr:rowOff>167056</xdr:rowOff>
    </xdr:to>
    <xdr:sp macro="" textlink="">
      <xdr:nvSpPr>
        <xdr:cNvPr id="5" name="Rectángulo 20">
          <a:extLst>
            <a:ext uri="{FF2B5EF4-FFF2-40B4-BE49-F238E27FC236}">
              <a16:creationId xmlns:a16="http://schemas.microsoft.com/office/drawing/2014/main" id="{FBC37DF5-DD12-49DF-9FAE-FD942A32E8A7}"/>
            </a:ext>
          </a:extLst>
        </xdr:cNvPr>
        <xdr:cNvSpPr/>
      </xdr:nvSpPr>
      <xdr:spPr>
        <a:xfrm rot="5400000">
          <a:off x="10766139" y="4048574"/>
          <a:ext cx="55930" cy="79163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496457</xdr:colOff>
      <xdr:row>18</xdr:row>
      <xdr:rowOff>90527</xdr:rowOff>
    </xdr:from>
    <xdr:to>
      <xdr:col>25</xdr:col>
      <xdr:colOff>38426</xdr:colOff>
      <xdr:row>23</xdr:row>
      <xdr:rowOff>101601</xdr:rowOff>
    </xdr:to>
    <xdr:cxnSp macro="">
      <xdr:nvCxnSpPr>
        <xdr:cNvPr id="6" name="Conector recto de flecha 21">
          <a:extLst>
            <a:ext uri="{FF2B5EF4-FFF2-40B4-BE49-F238E27FC236}">
              <a16:creationId xmlns:a16="http://schemas.microsoft.com/office/drawing/2014/main" id="{944F2B53-DF1D-474F-9B1E-99B3CF0C1EDB}"/>
            </a:ext>
          </a:extLst>
        </xdr:cNvPr>
        <xdr:cNvCxnSpPr>
          <a:stCxn id="2" idx="1"/>
          <a:endCxn id="5" idx="1"/>
        </xdr:cNvCxnSpPr>
      </xdr:nvCxnSpPr>
      <xdr:spPr>
        <a:xfrm flipH="1">
          <a:off x="10850132" y="3538577"/>
          <a:ext cx="303969" cy="87784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455705</xdr:colOff>
      <xdr:row>23</xdr:row>
      <xdr:rowOff>152116</xdr:rowOff>
    </xdr:from>
    <xdr:to>
      <xdr:col>24</xdr:col>
      <xdr:colOff>457859</xdr:colOff>
      <xdr:row>26</xdr:row>
      <xdr:rowOff>134470</xdr:rowOff>
    </xdr:to>
    <xdr:cxnSp macro="">
      <xdr:nvCxnSpPr>
        <xdr:cNvPr id="7" name="Conector recto de flecha 10">
          <a:extLst>
            <a:ext uri="{FF2B5EF4-FFF2-40B4-BE49-F238E27FC236}">
              <a16:creationId xmlns:a16="http://schemas.microsoft.com/office/drawing/2014/main" id="{84DBC2BC-D437-417D-BACD-3753E7713F82}"/>
            </a:ext>
          </a:extLst>
        </xdr:cNvPr>
        <xdr:cNvCxnSpPr/>
      </xdr:nvCxnSpPr>
      <xdr:spPr>
        <a:xfrm flipH="1">
          <a:off x="10809380" y="4466941"/>
          <a:ext cx="2154" cy="46812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791804</xdr:colOff>
      <xdr:row>17</xdr:row>
      <xdr:rowOff>120104</xdr:rowOff>
    </xdr:from>
    <xdr:to>
      <xdr:col>23</xdr:col>
      <xdr:colOff>352669</xdr:colOff>
      <xdr:row>18</xdr:row>
      <xdr:rowOff>93786</xdr:rowOff>
    </xdr:to>
    <xdr:cxnSp macro="">
      <xdr:nvCxnSpPr>
        <xdr:cNvPr id="8" name="Conector recto de flecha 27">
          <a:extLst>
            <a:ext uri="{FF2B5EF4-FFF2-40B4-BE49-F238E27FC236}">
              <a16:creationId xmlns:a16="http://schemas.microsoft.com/office/drawing/2014/main" id="{0CD2367F-287F-48C2-BB26-5F4E81950F00}"/>
            </a:ext>
          </a:extLst>
        </xdr:cNvPr>
        <xdr:cNvCxnSpPr>
          <a:cxnSpLocks/>
          <a:endCxn id="3" idx="1"/>
        </xdr:cNvCxnSpPr>
      </xdr:nvCxnSpPr>
      <xdr:spPr>
        <a:xfrm>
          <a:off x="10040579" y="3377654"/>
          <a:ext cx="313340" cy="164182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83364</xdr:colOff>
      <xdr:row>18</xdr:row>
      <xdr:rowOff>79138</xdr:rowOff>
    </xdr:from>
    <xdr:to>
      <xdr:col>25</xdr:col>
      <xdr:colOff>327729</xdr:colOff>
      <xdr:row>18</xdr:row>
      <xdr:rowOff>90527</xdr:rowOff>
    </xdr:to>
    <xdr:cxnSp macro="">
      <xdr:nvCxnSpPr>
        <xdr:cNvPr id="9" name="Conector recto de flecha 31">
          <a:extLst>
            <a:ext uri="{FF2B5EF4-FFF2-40B4-BE49-F238E27FC236}">
              <a16:creationId xmlns:a16="http://schemas.microsoft.com/office/drawing/2014/main" id="{5A6117F9-F8A0-4CD9-ABBB-99ACFB5A75CA}"/>
            </a:ext>
          </a:extLst>
        </xdr:cNvPr>
        <xdr:cNvCxnSpPr>
          <a:cxnSpLocks/>
          <a:stCxn id="23" idx="2"/>
          <a:endCxn id="2" idx="3"/>
        </xdr:cNvCxnSpPr>
      </xdr:nvCxnSpPr>
      <xdr:spPr>
        <a:xfrm flipH="1">
          <a:off x="11199039" y="3527188"/>
          <a:ext cx="244365" cy="1138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157131</xdr:colOff>
      <xdr:row>16</xdr:row>
      <xdr:rowOff>124510</xdr:rowOff>
    </xdr:from>
    <xdr:ext cx="256162" cy="261610"/>
    <xdr:sp macro="" textlink="">
      <xdr:nvSpPr>
        <xdr:cNvPr id="10" name="CuadroTexto 51">
          <a:extLst>
            <a:ext uri="{FF2B5EF4-FFF2-40B4-BE49-F238E27FC236}">
              <a16:creationId xmlns:a16="http://schemas.microsoft.com/office/drawing/2014/main" id="{47AF1ADB-1664-4377-AE47-06588E3AD828}"/>
            </a:ext>
          </a:extLst>
        </xdr:cNvPr>
        <xdr:cNvSpPr txBox="1"/>
      </xdr:nvSpPr>
      <xdr:spPr>
        <a:xfrm>
          <a:off x="10196481" y="3191560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</a:t>
          </a:r>
        </a:p>
      </xdr:txBody>
    </xdr:sp>
    <xdr:clientData/>
  </xdr:oneCellAnchor>
  <xdr:oneCellAnchor>
    <xdr:from>
      <xdr:col>25</xdr:col>
      <xdr:colOff>45321</xdr:colOff>
      <xdr:row>16</xdr:row>
      <xdr:rowOff>130984</xdr:rowOff>
    </xdr:from>
    <xdr:ext cx="256162" cy="261610"/>
    <xdr:sp macro="" textlink="">
      <xdr:nvSpPr>
        <xdr:cNvPr id="11" name="CuadroTexto 52">
          <a:extLst>
            <a:ext uri="{FF2B5EF4-FFF2-40B4-BE49-F238E27FC236}">
              <a16:creationId xmlns:a16="http://schemas.microsoft.com/office/drawing/2014/main" id="{B1EEB230-88D2-4B77-A7DB-A06D8BB805EC}"/>
            </a:ext>
          </a:extLst>
        </xdr:cNvPr>
        <xdr:cNvSpPr txBox="1"/>
      </xdr:nvSpPr>
      <xdr:spPr>
        <a:xfrm>
          <a:off x="11160996" y="3198034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oneCellAnchor>
    <xdr:from>
      <xdr:col>23</xdr:col>
      <xdr:colOff>508000</xdr:colOff>
      <xdr:row>23</xdr:row>
      <xdr:rowOff>110067</xdr:rowOff>
    </xdr:from>
    <xdr:ext cx="256162" cy="261610"/>
    <xdr:sp macro="" textlink="">
      <xdr:nvSpPr>
        <xdr:cNvPr id="12" name="CuadroTexto 53">
          <a:extLst>
            <a:ext uri="{FF2B5EF4-FFF2-40B4-BE49-F238E27FC236}">
              <a16:creationId xmlns:a16="http://schemas.microsoft.com/office/drawing/2014/main" id="{7D46EEC7-DE4C-449F-9023-6C00F01794B1}"/>
            </a:ext>
          </a:extLst>
        </xdr:cNvPr>
        <xdr:cNvSpPr txBox="1"/>
      </xdr:nvSpPr>
      <xdr:spPr>
        <a:xfrm>
          <a:off x="10356850" y="4424892"/>
          <a:ext cx="256162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3</a:t>
          </a:r>
        </a:p>
      </xdr:txBody>
    </xdr:sp>
    <xdr:clientData/>
  </xdr:oneCellAnchor>
  <xdr:twoCellAnchor editAs="oneCell">
    <xdr:from>
      <xdr:col>0</xdr:col>
      <xdr:colOff>171824</xdr:colOff>
      <xdr:row>0</xdr:row>
      <xdr:rowOff>0</xdr:rowOff>
    </xdr:from>
    <xdr:to>
      <xdr:col>3</xdr:col>
      <xdr:colOff>192339</xdr:colOff>
      <xdr:row>5</xdr:row>
      <xdr:rowOff>2883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8E92E9-54B4-49B8-B146-92DB571F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24" y="0"/>
          <a:ext cx="1858840" cy="917283"/>
        </a:xfrm>
        <a:prstGeom prst="rect">
          <a:avLst/>
        </a:prstGeom>
      </xdr:spPr>
    </xdr:pic>
    <xdr:clientData/>
  </xdr:twoCellAnchor>
  <xdr:twoCellAnchor>
    <xdr:from>
      <xdr:col>24</xdr:col>
      <xdr:colOff>1895</xdr:colOff>
      <xdr:row>18</xdr:row>
      <xdr:rowOff>93786</xdr:rowOff>
    </xdr:from>
    <xdr:to>
      <xdr:col>24</xdr:col>
      <xdr:colOff>397664</xdr:colOff>
      <xdr:row>23</xdr:row>
      <xdr:rowOff>107461</xdr:rowOff>
    </xdr:to>
    <xdr:cxnSp macro="">
      <xdr:nvCxnSpPr>
        <xdr:cNvPr id="14" name="Conector recto de flecha 21">
          <a:extLst>
            <a:ext uri="{FF2B5EF4-FFF2-40B4-BE49-F238E27FC236}">
              <a16:creationId xmlns:a16="http://schemas.microsoft.com/office/drawing/2014/main" id="{1293BD1A-74F4-464F-B8B9-530CE578102B}"/>
            </a:ext>
          </a:extLst>
        </xdr:cNvPr>
        <xdr:cNvCxnSpPr>
          <a:cxnSpLocks/>
          <a:stCxn id="3" idx="3"/>
        </xdr:cNvCxnSpPr>
      </xdr:nvCxnSpPr>
      <xdr:spPr>
        <a:xfrm>
          <a:off x="10355570" y="3541836"/>
          <a:ext cx="395769" cy="880450"/>
        </a:xfrm>
        <a:prstGeom prst="straightConnector1">
          <a:avLst/>
        </a:prstGeom>
        <a:ln w="34925"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38</xdr:row>
      <xdr:rowOff>144097</xdr:rowOff>
    </xdr:from>
    <xdr:to>
      <xdr:col>11</xdr:col>
      <xdr:colOff>642938</xdr:colOff>
      <xdr:row>38</xdr:row>
      <xdr:rowOff>152035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E2452C8-9088-4FF9-903A-CCCFC75B2685}"/>
            </a:ext>
          </a:extLst>
        </xdr:cNvPr>
        <xdr:cNvCxnSpPr/>
      </xdr:nvCxnSpPr>
      <xdr:spPr>
        <a:xfrm flipV="1">
          <a:off x="7369663" y="7168174"/>
          <a:ext cx="697890" cy="7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312959</xdr:colOff>
      <xdr:row>17</xdr:row>
      <xdr:rowOff>93901</xdr:rowOff>
    </xdr:from>
    <xdr:to>
      <xdr:col>24</xdr:col>
      <xdr:colOff>26606</xdr:colOff>
      <xdr:row>19</xdr:row>
      <xdr:rowOff>72064</xdr:rowOff>
    </xdr:to>
    <xdr:sp macro="" textlink="">
      <xdr:nvSpPr>
        <xdr:cNvPr id="16" name="Rectángulo 6">
          <a:extLst>
            <a:ext uri="{FF2B5EF4-FFF2-40B4-BE49-F238E27FC236}">
              <a16:creationId xmlns:a16="http://schemas.microsoft.com/office/drawing/2014/main" id="{265CE01F-D230-4B8C-A340-45A04BFF4E89}"/>
            </a:ext>
          </a:extLst>
        </xdr:cNvPr>
        <xdr:cNvSpPr/>
      </xdr:nvSpPr>
      <xdr:spPr>
        <a:xfrm flipH="1">
          <a:off x="10352309" y="3351451"/>
          <a:ext cx="27972" cy="359163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473117</xdr:colOff>
      <xdr:row>16</xdr:row>
      <xdr:rowOff>121944</xdr:rowOff>
    </xdr:from>
    <xdr:to>
      <xdr:col>23</xdr:col>
      <xdr:colOff>2414</xdr:colOff>
      <xdr:row>18</xdr:row>
      <xdr:rowOff>75410</xdr:rowOff>
    </xdr:to>
    <xdr:grpSp>
      <xdr:nvGrpSpPr>
        <xdr:cNvPr id="17" name="Agrupar 51">
          <a:extLst>
            <a:ext uri="{FF2B5EF4-FFF2-40B4-BE49-F238E27FC236}">
              <a16:creationId xmlns:a16="http://schemas.microsoft.com/office/drawing/2014/main" id="{B270ACFE-0D3E-4D3E-B273-2D23B5D57255}"/>
            </a:ext>
          </a:extLst>
        </xdr:cNvPr>
        <xdr:cNvGrpSpPr/>
      </xdr:nvGrpSpPr>
      <xdr:grpSpPr>
        <a:xfrm>
          <a:off x="11092271" y="3257867"/>
          <a:ext cx="408528" cy="344235"/>
          <a:chOff x="513989" y="2399805"/>
          <a:chExt cx="713232" cy="713205"/>
        </a:xfrm>
        <a:solidFill>
          <a:srgbClr val="FFC000"/>
        </a:solidFill>
      </xdr:grpSpPr>
      <xdr:sp macro="" textlink="">
        <xdr:nvSpPr>
          <xdr:cNvPr id="18" name="Elipse 24">
            <a:extLst>
              <a:ext uri="{FF2B5EF4-FFF2-40B4-BE49-F238E27FC236}">
                <a16:creationId xmlns:a16="http://schemas.microsoft.com/office/drawing/2014/main" id="{08119E81-6DD7-403E-B163-3A5002C015E5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grpFill/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19" name="Agrupar 50">
            <a:extLst>
              <a:ext uri="{FF2B5EF4-FFF2-40B4-BE49-F238E27FC236}">
                <a16:creationId xmlns:a16="http://schemas.microsoft.com/office/drawing/2014/main" id="{FA2BE096-7DE3-4BF4-BC75-C753CA8B8D8E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  <a:grpFill/>
        </xdr:grpSpPr>
        <xdr:sp macro="" textlink="">
          <xdr:nvSpPr>
            <xdr:cNvPr id="20" name="Arco 25">
              <a:extLst>
                <a:ext uri="{FF2B5EF4-FFF2-40B4-BE49-F238E27FC236}">
                  <a16:creationId xmlns:a16="http://schemas.microsoft.com/office/drawing/2014/main" id="{E7500AC5-7236-4D02-AF0A-74ED8B11ACA6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1" name="Arco 26">
              <a:extLst>
                <a:ext uri="{FF2B5EF4-FFF2-40B4-BE49-F238E27FC236}">
                  <a16:creationId xmlns:a16="http://schemas.microsoft.com/office/drawing/2014/main" id="{A79C2A40-04BB-40A4-818F-F3F8A697359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grpFill/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>
    <xdr:from>
      <xdr:col>25</xdr:col>
      <xdr:colOff>327729</xdr:colOff>
      <xdr:row>17</xdr:row>
      <xdr:rowOff>102404</xdr:rowOff>
    </xdr:from>
    <xdr:to>
      <xdr:col>26</xdr:col>
      <xdr:colOff>207009</xdr:colOff>
      <xdr:row>19</xdr:row>
      <xdr:rowOff>55870</xdr:rowOff>
    </xdr:to>
    <xdr:grpSp>
      <xdr:nvGrpSpPr>
        <xdr:cNvPr id="22" name="Agrupar 51">
          <a:extLst>
            <a:ext uri="{FF2B5EF4-FFF2-40B4-BE49-F238E27FC236}">
              <a16:creationId xmlns:a16="http://schemas.microsoft.com/office/drawing/2014/main" id="{2BFB31DF-0F24-4F69-9797-1AC86E6EC2E5}"/>
            </a:ext>
          </a:extLst>
        </xdr:cNvPr>
        <xdr:cNvGrpSpPr/>
      </xdr:nvGrpSpPr>
      <xdr:grpSpPr>
        <a:xfrm>
          <a:off x="13057037" y="3433712"/>
          <a:ext cx="357972" cy="344235"/>
          <a:chOff x="513989" y="2399805"/>
          <a:chExt cx="713232" cy="713205"/>
        </a:xfrm>
      </xdr:grpSpPr>
      <xdr:sp macro="" textlink="">
        <xdr:nvSpPr>
          <xdr:cNvPr id="23" name="Elipse 24">
            <a:extLst>
              <a:ext uri="{FF2B5EF4-FFF2-40B4-BE49-F238E27FC236}">
                <a16:creationId xmlns:a16="http://schemas.microsoft.com/office/drawing/2014/main" id="{FCB24DA6-9216-4A5E-8ACD-8897056A4A5B}"/>
              </a:ext>
            </a:extLst>
          </xdr:cNvPr>
          <xdr:cNvSpPr/>
        </xdr:nvSpPr>
        <xdr:spPr>
          <a:xfrm>
            <a:off x="513989" y="2399805"/>
            <a:ext cx="713232" cy="713205"/>
          </a:xfrm>
          <a:prstGeom prst="ellipse">
            <a:avLst/>
          </a:prstGeom>
          <a:solidFill>
            <a:srgbClr val="FF0000">
              <a:alpha val="36000"/>
            </a:srgbClr>
          </a:solidFill>
          <a:ln w="12700" cmpd="sng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CO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5400"/>
          </a:p>
        </xdr:txBody>
      </xdr:sp>
      <xdr:grpSp>
        <xdr:nvGrpSpPr>
          <xdr:cNvPr id="24" name="Agrupar 50">
            <a:extLst>
              <a:ext uri="{FF2B5EF4-FFF2-40B4-BE49-F238E27FC236}">
                <a16:creationId xmlns:a16="http://schemas.microsoft.com/office/drawing/2014/main" id="{0BEA039E-40A8-4C93-93BF-16A98B0933CE}"/>
              </a:ext>
            </a:extLst>
          </xdr:cNvPr>
          <xdr:cNvGrpSpPr/>
        </xdr:nvGrpSpPr>
        <xdr:grpSpPr>
          <a:xfrm>
            <a:off x="640043" y="2583347"/>
            <a:ext cx="473632" cy="331761"/>
            <a:chOff x="870606" y="4138532"/>
            <a:chExt cx="473632" cy="331761"/>
          </a:xfrm>
        </xdr:grpSpPr>
        <xdr:sp macro="" textlink="">
          <xdr:nvSpPr>
            <xdr:cNvPr id="25" name="Arco 25">
              <a:extLst>
                <a:ext uri="{FF2B5EF4-FFF2-40B4-BE49-F238E27FC236}">
                  <a16:creationId xmlns:a16="http://schemas.microsoft.com/office/drawing/2014/main" id="{02FE4FA1-2F6A-4321-8CBC-9F32C5F8C362}"/>
                </a:ext>
              </a:extLst>
            </xdr:cNvPr>
            <xdr:cNvSpPr/>
          </xdr:nvSpPr>
          <xdr:spPr>
            <a:xfrm rot="10800000" flipV="1">
              <a:off x="870606" y="4202009"/>
              <a:ext cx="224650" cy="268284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  <xdr:sp macro="" textlink="">
          <xdr:nvSpPr>
            <xdr:cNvPr id="26" name="Arco 26">
              <a:extLst>
                <a:ext uri="{FF2B5EF4-FFF2-40B4-BE49-F238E27FC236}">
                  <a16:creationId xmlns:a16="http://schemas.microsoft.com/office/drawing/2014/main" id="{815836B7-FAA5-484F-87EC-F8FB0EC207BA}"/>
                </a:ext>
              </a:extLst>
            </xdr:cNvPr>
            <xdr:cNvSpPr/>
          </xdr:nvSpPr>
          <xdr:spPr>
            <a:xfrm flipV="1">
              <a:off x="1095268" y="4138532"/>
              <a:ext cx="248970" cy="331757"/>
            </a:xfrm>
            <a:prstGeom prst="arc">
              <a:avLst>
                <a:gd name="adj1" fmla="val 10746619"/>
                <a:gd name="adj2" fmla="val 0"/>
              </a:avLst>
            </a:prstGeom>
            <a:ln w="12700" cmpd="sng">
              <a:solidFill>
                <a:schemeClr val="tx1"/>
              </a:solidFill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 sz="6000"/>
            </a:p>
          </xdr:txBody>
        </xdr:sp>
      </xdr:grpSp>
    </xdr:grpSp>
    <xdr:clientData/>
  </xdr:twoCellAnchor>
  <xdr:twoCellAnchor editAs="oneCell">
    <xdr:from>
      <xdr:col>8</xdr:col>
      <xdr:colOff>634999</xdr:colOff>
      <xdr:row>11</xdr:row>
      <xdr:rowOff>166077</xdr:rowOff>
    </xdr:from>
    <xdr:to>
      <xdr:col>22</xdr:col>
      <xdr:colOff>189549</xdr:colOff>
      <xdr:row>24</xdr:row>
      <xdr:rowOff>161218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DB6276D-C099-6D4F-AFFF-AFDF2F553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0230" y="2325077"/>
          <a:ext cx="4468473" cy="2417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E0DC-F611-534C-B29D-27F4B7B8E407}">
  <dimension ref="A1:J33"/>
  <sheetViews>
    <sheetView zoomScale="200" zoomScaleNormal="200" workbookViewId="0">
      <selection activeCell="D22" sqref="D22"/>
    </sheetView>
  </sheetViews>
  <sheetFormatPr baseColWidth="10" defaultColWidth="11.5" defaultRowHeight="15" x14ac:dyDescent="0.2"/>
  <sheetData>
    <row r="1" spans="1:10" s="2" customFormat="1" x14ac:dyDescent="0.2"/>
    <row r="2" spans="1:10" s="2" customFormat="1" ht="19" x14ac:dyDescent="0.25">
      <c r="D2" s="10" t="s">
        <v>40</v>
      </c>
    </row>
    <row r="3" spans="1:10" s="2" customFormat="1" ht="19" x14ac:dyDescent="0.25">
      <c r="D3" s="67" t="s">
        <v>108</v>
      </c>
    </row>
    <row r="4" spans="1:10" s="2" customFormat="1" x14ac:dyDescent="0.2"/>
    <row r="5" spans="1:10" s="11" customFormat="1" ht="5" customHeight="1" x14ac:dyDescent="0.2"/>
    <row r="6" spans="1:10" s="2" customFormat="1" x14ac:dyDescent="0.2"/>
    <row r="7" spans="1:10" s="2" customFormat="1" x14ac:dyDescent="0.2">
      <c r="A7" s="2" t="s">
        <v>41</v>
      </c>
      <c r="C7" t="s">
        <v>97</v>
      </c>
    </row>
    <row r="8" spans="1:10" s="2" customFormat="1" x14ac:dyDescent="0.2"/>
    <row r="9" spans="1:10" s="2" customFormat="1" x14ac:dyDescent="0.2">
      <c r="B9" s="2" t="s">
        <v>42</v>
      </c>
    </row>
    <row r="10" spans="1:10" s="2" customFormat="1" x14ac:dyDescent="0.2">
      <c r="B10" s="12"/>
      <c r="C10" s="12"/>
      <c r="D10" s="12"/>
      <c r="E10" s="12"/>
    </row>
    <row r="11" spans="1:10" s="2" customFormat="1" ht="18" x14ac:dyDescent="0.25">
      <c r="B11" s="13" t="s">
        <v>43</v>
      </c>
      <c r="C11" s="13" t="s">
        <v>44</v>
      </c>
      <c r="D11" s="13" t="s">
        <v>45</v>
      </c>
      <c r="E11" s="13" t="s">
        <v>46</v>
      </c>
      <c r="F11" s="13" t="s">
        <v>47</v>
      </c>
      <c r="G11" s="13" t="s">
        <v>48</v>
      </c>
      <c r="I11" s="102" t="s">
        <v>55</v>
      </c>
      <c r="J11" s="102"/>
    </row>
    <row r="12" spans="1:10" s="2" customFormat="1" ht="19" x14ac:dyDescent="0.2">
      <c r="B12" s="14"/>
      <c r="C12" s="13" t="s">
        <v>49</v>
      </c>
      <c r="D12" s="13" t="s">
        <v>50</v>
      </c>
      <c r="E12" s="13" t="s">
        <v>51</v>
      </c>
      <c r="F12" s="13" t="s">
        <v>52</v>
      </c>
      <c r="G12" s="13" t="s">
        <v>52</v>
      </c>
      <c r="I12" s="21" t="s">
        <v>33</v>
      </c>
      <c r="J12" s="22">
        <v>0</v>
      </c>
    </row>
    <row r="13" spans="1:10" s="2" customFormat="1" x14ac:dyDescent="0.2">
      <c r="B13" s="12">
        <v>1</v>
      </c>
      <c r="C13" s="12">
        <v>100</v>
      </c>
      <c r="D13" s="12">
        <v>20</v>
      </c>
      <c r="E13" s="12">
        <v>0.05</v>
      </c>
      <c r="F13" s="12">
        <v>0</v>
      </c>
      <c r="G13" s="12">
        <v>400</v>
      </c>
      <c r="I13" s="21" t="s">
        <v>31</v>
      </c>
      <c r="J13" s="22">
        <v>1</v>
      </c>
    </row>
    <row r="14" spans="1:10" s="2" customFormat="1" x14ac:dyDescent="0.2">
      <c r="B14" s="15">
        <v>2</v>
      </c>
      <c r="C14" s="15">
        <v>200</v>
      </c>
      <c r="D14" s="15">
        <v>25</v>
      </c>
      <c r="E14" s="15">
        <v>0.1</v>
      </c>
      <c r="F14" s="15">
        <v>0</v>
      </c>
      <c r="G14" s="15">
        <v>300</v>
      </c>
      <c r="I14" s="21" t="s">
        <v>34</v>
      </c>
      <c r="J14" s="23">
        <v>1</v>
      </c>
    </row>
    <row r="15" spans="1:10" s="2" customFormat="1" x14ac:dyDescent="0.2">
      <c r="B15" s="1" t="s">
        <v>0</v>
      </c>
      <c r="C15" s="1">
        <v>200</v>
      </c>
      <c r="D15" s="1" t="s">
        <v>1</v>
      </c>
      <c r="I15" s="21" t="s">
        <v>17</v>
      </c>
      <c r="J15" s="23">
        <v>0</v>
      </c>
    </row>
    <row r="16" spans="1:10" s="2" customFormat="1" ht="16" x14ac:dyDescent="0.2">
      <c r="B16" s="2" t="s">
        <v>53</v>
      </c>
      <c r="E16" s="69" t="s">
        <v>98</v>
      </c>
      <c r="I16" s="21" t="s">
        <v>18</v>
      </c>
      <c r="J16" s="22">
        <v>0</v>
      </c>
    </row>
    <row r="17" spans="1:10" s="2" customFormat="1" ht="18" x14ac:dyDescent="0.25">
      <c r="E17" s="69" t="s">
        <v>99</v>
      </c>
    </row>
    <row r="18" spans="1:10" s="2" customFormat="1" ht="18" x14ac:dyDescent="0.25">
      <c r="B18" s="2" t="s">
        <v>100</v>
      </c>
      <c r="C18" s="2">
        <v>250</v>
      </c>
      <c r="D18" s="2" t="s">
        <v>52</v>
      </c>
      <c r="I18" s="21" t="s">
        <v>20</v>
      </c>
      <c r="J18" s="23">
        <v>0</v>
      </c>
    </row>
    <row r="19" spans="1:10" s="2" customFormat="1" ht="18" x14ac:dyDescent="0.25">
      <c r="B19" s="74" t="s">
        <v>101</v>
      </c>
      <c r="C19" s="74" t="s">
        <v>102</v>
      </c>
      <c r="D19" s="12" t="s">
        <v>103</v>
      </c>
      <c r="E19" s="69" t="s">
        <v>101</v>
      </c>
      <c r="I19" s="21" t="s">
        <v>21</v>
      </c>
      <c r="J19" s="23">
        <v>0</v>
      </c>
    </row>
    <row r="20" spans="1:10" s="2" customFormat="1" ht="19" x14ac:dyDescent="0.2">
      <c r="B20" s="12" t="s">
        <v>50</v>
      </c>
      <c r="C20" s="12" t="str">
        <f>B20</f>
        <v>$/MWh</v>
      </c>
      <c r="D20" s="12" t="s">
        <v>104</v>
      </c>
      <c r="I20" s="21" t="s">
        <v>22</v>
      </c>
      <c r="J20" s="23">
        <v>0</v>
      </c>
    </row>
    <row r="21" spans="1:10" s="2" customFormat="1" ht="18" x14ac:dyDescent="0.25">
      <c r="A21" s="2" t="s">
        <v>107</v>
      </c>
      <c r="B21" s="12">
        <v>30.962073588893112</v>
      </c>
      <c r="C21" s="6">
        <f>4*B21</f>
        <v>123.84829435557245</v>
      </c>
      <c r="D21" s="6">
        <f>(B21-C21)/C18</f>
        <v>-0.3715448830667174</v>
      </c>
      <c r="H21" s="36" t="s">
        <v>105</v>
      </c>
      <c r="I21" s="21" t="s">
        <v>13</v>
      </c>
      <c r="J21" s="23">
        <v>0</v>
      </c>
    </row>
    <row r="22" spans="1:10" s="2" customFormat="1" ht="18" x14ac:dyDescent="0.25">
      <c r="B22" s="12"/>
      <c r="C22" s="12"/>
      <c r="D22" s="12"/>
      <c r="F22" s="70" t="s">
        <v>106</v>
      </c>
      <c r="I22" s="21" t="s">
        <v>16</v>
      </c>
      <c r="J22" s="23">
        <v>0</v>
      </c>
    </row>
    <row r="23" spans="1:10" s="2" customFormat="1" x14ac:dyDescent="0.2">
      <c r="B23" s="12"/>
      <c r="C23" s="12"/>
      <c r="D23" s="12"/>
    </row>
    <row r="24" spans="1:10" s="2" customFormat="1" x14ac:dyDescent="0.2"/>
    <row r="25" spans="1:10" s="2" customFormat="1" x14ac:dyDescent="0.2"/>
    <row r="26" spans="1:10" s="2" customFormat="1" x14ac:dyDescent="0.2"/>
    <row r="27" spans="1:10" s="2" customFormat="1" x14ac:dyDescent="0.2"/>
    <row r="28" spans="1:10" s="2" customFormat="1" x14ac:dyDescent="0.2"/>
    <row r="29" spans="1:10" s="2" customFormat="1" x14ac:dyDescent="0.2"/>
    <row r="30" spans="1:10" s="2" customFormat="1" x14ac:dyDescent="0.2"/>
    <row r="31" spans="1:10" s="2" customFormat="1" x14ac:dyDescent="0.2"/>
    <row r="32" spans="1:10" s="2" customFormat="1" x14ac:dyDescent="0.2"/>
    <row r="33" s="2" customFormat="1" x14ac:dyDescent="0.2"/>
  </sheetData>
  <mergeCells count="1">
    <mergeCell ref="I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7BF0-C687-4A0D-8ECE-0CF954258D02}">
  <dimension ref="A1:H29"/>
  <sheetViews>
    <sheetView showGridLines="0" topLeftCell="A4" workbookViewId="0">
      <selection activeCell="K19" sqref="K19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5" width="12.6640625" bestFit="1" customWidth="1"/>
  </cols>
  <sheetData>
    <row r="1" spans="1:5" x14ac:dyDescent="0.2">
      <c r="A1" s="1" t="s">
        <v>115</v>
      </c>
    </row>
    <row r="2" spans="1:5" x14ac:dyDescent="0.2">
      <c r="A2" s="1" t="s">
        <v>116</v>
      </c>
    </row>
    <row r="3" spans="1:5" x14ac:dyDescent="0.2">
      <c r="A3" s="1" t="s">
        <v>158</v>
      </c>
    </row>
    <row r="6" spans="1:5" ht="16" thickBot="1" x14ac:dyDescent="0.25">
      <c r="A6" t="s">
        <v>117</v>
      </c>
    </row>
    <row r="7" spans="1:5" x14ac:dyDescent="0.2">
      <c r="B7" s="90"/>
      <c r="C7" s="90"/>
      <c r="D7" s="90" t="s">
        <v>120</v>
      </c>
      <c r="E7" s="90" t="s">
        <v>122</v>
      </c>
    </row>
    <row r="8" spans="1:5" ht="16" thickBot="1" x14ac:dyDescent="0.25">
      <c r="B8" s="91" t="s">
        <v>118</v>
      </c>
      <c r="C8" s="91" t="s">
        <v>119</v>
      </c>
      <c r="D8" s="91" t="s">
        <v>121</v>
      </c>
      <c r="E8" s="91" t="s">
        <v>123</v>
      </c>
    </row>
    <row r="9" spans="1:5" x14ac:dyDescent="0.2">
      <c r="B9" s="85" t="s">
        <v>127</v>
      </c>
      <c r="C9" s="85" t="s">
        <v>128</v>
      </c>
      <c r="D9" s="85">
        <v>0.98521658421944436</v>
      </c>
      <c r="E9" s="85">
        <v>0</v>
      </c>
    </row>
    <row r="10" spans="1:5" x14ac:dyDescent="0.2">
      <c r="B10" s="85" t="s">
        <v>129</v>
      </c>
      <c r="C10" s="85" t="s">
        <v>130</v>
      </c>
      <c r="D10" s="85">
        <v>-2.5531163690128061E-2</v>
      </c>
      <c r="E10" s="85">
        <v>0</v>
      </c>
    </row>
    <row r="11" spans="1:5" x14ac:dyDescent="0.2">
      <c r="B11" s="85" t="s">
        <v>131</v>
      </c>
      <c r="C11" s="85" t="s">
        <v>132</v>
      </c>
      <c r="D11" s="85">
        <v>-7.6251215952137213E-2</v>
      </c>
      <c r="E11" s="85">
        <v>0</v>
      </c>
    </row>
    <row r="12" spans="1:5" x14ac:dyDescent="0.2">
      <c r="B12" s="85" t="s">
        <v>133</v>
      </c>
      <c r="C12" s="85" t="s">
        <v>134</v>
      </c>
      <c r="D12" s="85">
        <v>1.0016729815779142</v>
      </c>
      <c r="E12" s="85">
        <v>0</v>
      </c>
    </row>
    <row r="13" spans="1:5" x14ac:dyDescent="0.2">
      <c r="B13" s="85" t="s">
        <v>135</v>
      </c>
      <c r="C13" s="85" t="s">
        <v>136</v>
      </c>
      <c r="D13" s="85">
        <v>0.26630464081652783</v>
      </c>
      <c r="E13" s="85">
        <v>0</v>
      </c>
    </row>
    <row r="14" spans="1:5" x14ac:dyDescent="0.2">
      <c r="B14" s="85" t="s">
        <v>137</v>
      </c>
      <c r="C14" s="85" t="s">
        <v>138</v>
      </c>
      <c r="D14" s="85">
        <v>-2.061385593096483E-2</v>
      </c>
      <c r="E14" s="85">
        <v>0</v>
      </c>
    </row>
    <row r="15" spans="1:5" x14ac:dyDescent="0.2">
      <c r="B15" s="85" t="s">
        <v>139</v>
      </c>
      <c r="C15" s="85" t="s">
        <v>140</v>
      </c>
      <c r="D15" s="85">
        <v>0.11050196783083102</v>
      </c>
      <c r="E15" s="85">
        <v>0</v>
      </c>
    </row>
    <row r="16" spans="1:5" ht="16" thickBot="1" x14ac:dyDescent="0.25">
      <c r="B16" s="89" t="s">
        <v>141</v>
      </c>
      <c r="C16" s="89" t="s">
        <v>142</v>
      </c>
      <c r="D16" s="89">
        <v>1.25</v>
      </c>
      <c r="E16" s="89">
        <v>0</v>
      </c>
    </row>
    <row r="18" spans="1:8" ht="16" thickBot="1" x14ac:dyDescent="0.25">
      <c r="A18" t="s">
        <v>124</v>
      </c>
    </row>
    <row r="19" spans="1:8" x14ac:dyDescent="0.2">
      <c r="B19" s="90"/>
      <c r="C19" s="90"/>
      <c r="D19" s="90" t="s">
        <v>120</v>
      </c>
      <c r="E19" s="90" t="s">
        <v>125</v>
      </c>
      <c r="G19" s="90" t="s">
        <v>125</v>
      </c>
    </row>
    <row r="20" spans="1:8" ht="16" thickBot="1" x14ac:dyDescent="0.25">
      <c r="B20" s="91" t="s">
        <v>118</v>
      </c>
      <c r="C20" s="91" t="s">
        <v>119</v>
      </c>
      <c r="D20" s="91" t="s">
        <v>121</v>
      </c>
      <c r="E20" s="91" t="s">
        <v>126</v>
      </c>
      <c r="G20" s="91" t="s">
        <v>126</v>
      </c>
    </row>
    <row r="21" spans="1:8" x14ac:dyDescent="0.2">
      <c r="B21" s="92" t="s">
        <v>143</v>
      </c>
      <c r="C21" s="92" t="s">
        <v>144</v>
      </c>
      <c r="D21" s="92">
        <v>1.0016729815779142</v>
      </c>
      <c r="E21" s="92">
        <v>-6003.3423612591341</v>
      </c>
      <c r="G21">
        <f>E21/200</f>
        <v>-30.016711806295671</v>
      </c>
      <c r="H21" s="2" t="s">
        <v>50</v>
      </c>
    </row>
    <row r="22" spans="1:8" x14ac:dyDescent="0.2">
      <c r="B22" s="92" t="s">
        <v>145</v>
      </c>
      <c r="C22" s="92" t="s">
        <v>146</v>
      </c>
      <c r="D22" s="92">
        <v>0.26630464081652783</v>
      </c>
      <c r="E22" s="92">
        <v>-6065.1527808340197</v>
      </c>
      <c r="G22">
        <f t="shared" ref="G22:G23" si="0">E22/200</f>
        <v>-30.325763904170099</v>
      </c>
      <c r="H22" s="2" t="s">
        <v>50</v>
      </c>
    </row>
    <row r="23" spans="1:8" x14ac:dyDescent="0.2">
      <c r="B23" s="92" t="s">
        <v>147</v>
      </c>
      <c r="C23" s="92" t="s">
        <v>148</v>
      </c>
      <c r="D23" s="92">
        <v>-1.25</v>
      </c>
      <c r="E23" s="92">
        <v>-6192.39794921875</v>
      </c>
      <c r="G23">
        <f t="shared" si="0"/>
        <v>-30.961989746093749</v>
      </c>
      <c r="H23" s="2" t="s">
        <v>50</v>
      </c>
    </row>
    <row r="24" spans="1:8" x14ac:dyDescent="0.2">
      <c r="B24" s="92" t="s">
        <v>149</v>
      </c>
      <c r="C24" s="92" t="s">
        <v>150</v>
      </c>
      <c r="D24" s="92">
        <v>-2.061385593096483E-2</v>
      </c>
      <c r="E24" s="92">
        <v>0</v>
      </c>
    </row>
    <row r="25" spans="1:8" x14ac:dyDescent="0.2">
      <c r="B25" s="92" t="s">
        <v>151</v>
      </c>
      <c r="C25" s="92" t="s">
        <v>152</v>
      </c>
      <c r="D25" s="92">
        <v>0.11050196783083102</v>
      </c>
      <c r="E25" s="92">
        <v>0</v>
      </c>
    </row>
    <row r="26" spans="1:8" x14ac:dyDescent="0.2">
      <c r="B26" s="92" t="s">
        <v>153</v>
      </c>
      <c r="C26" s="92" t="s">
        <v>154</v>
      </c>
      <c r="D26" s="92">
        <v>0</v>
      </c>
      <c r="E26" s="92">
        <v>-10.446148547786633</v>
      </c>
    </row>
    <row r="27" spans="1:8" x14ac:dyDescent="0.2">
      <c r="B27" s="92" t="s">
        <v>155</v>
      </c>
      <c r="C27" s="92" t="s">
        <v>1</v>
      </c>
      <c r="D27" s="92">
        <v>49.093057833740538</v>
      </c>
      <c r="E27" s="92">
        <v>0</v>
      </c>
    </row>
    <row r="28" spans="1:8" x14ac:dyDescent="0.2">
      <c r="B28" s="92" t="s">
        <v>156</v>
      </c>
      <c r="C28" s="92" t="s">
        <v>1</v>
      </c>
      <c r="D28" s="92">
        <v>149.97310322552531</v>
      </c>
      <c r="E28" s="92">
        <v>0</v>
      </c>
    </row>
    <row r="29" spans="1:8" ht="16" thickBot="1" x14ac:dyDescent="0.25">
      <c r="B29" s="89" t="s">
        <v>157</v>
      </c>
      <c r="C29" s="89" t="s">
        <v>1</v>
      </c>
      <c r="D29" s="89">
        <v>101.69931284267311</v>
      </c>
      <c r="E29" s="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40"/>
  <sheetViews>
    <sheetView zoomScale="160" zoomScaleNormal="160" zoomScalePageLayoutView="130" workbookViewId="0">
      <pane ySplit="5" topLeftCell="A38" activePane="bottomLeft" state="frozen"/>
      <selection pane="bottomLeft" activeCell="B45" sqref="B45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10" t="s">
        <v>40</v>
      </c>
    </row>
    <row r="3" spans="1:30" s="2" customFormat="1" ht="19" x14ac:dyDescent="0.25">
      <c r="E3" s="67" t="s">
        <v>108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Database!C15</f>
        <v>200</v>
      </c>
      <c r="C7" s="1" t="s">
        <v>1</v>
      </c>
      <c r="G7" s="105" t="s">
        <v>54</v>
      </c>
      <c r="H7" s="105"/>
      <c r="I7" s="105"/>
      <c r="J7" s="105"/>
      <c r="K7" s="105"/>
      <c r="L7" s="105"/>
      <c r="M7" s="105"/>
      <c r="N7" s="105"/>
    </row>
    <row r="8" spans="1:30" s="2" customFormat="1" ht="18" x14ac:dyDescent="0.25">
      <c r="A8" s="7"/>
      <c r="B8" s="7"/>
      <c r="C8" s="7"/>
      <c r="D8" s="7"/>
      <c r="E8" s="7"/>
      <c r="F8" s="7"/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N8" s="7"/>
      <c r="O8" s="36" t="s">
        <v>25</v>
      </c>
      <c r="P8" s="68">
        <v>0.02</v>
      </c>
      <c r="Q8" s="17" t="s">
        <v>2</v>
      </c>
      <c r="R8" s="35">
        <v>0.1</v>
      </c>
      <c r="X8" s="75" t="str">
        <f>Database!F11</f>
        <v>PGmin</v>
      </c>
      <c r="Y8" s="75" t="str">
        <f>Database!G11</f>
        <v>PGmax</v>
      </c>
      <c r="AA8" s="72" t="s">
        <v>109</v>
      </c>
      <c r="AB8" s="73">
        <f>Database!C21</f>
        <v>123.84829435557245</v>
      </c>
      <c r="AC8" s="71" t="s">
        <v>50</v>
      </c>
      <c r="AD8" s="71"/>
    </row>
    <row r="9" spans="1:30" s="2" customFormat="1" ht="16" x14ac:dyDescent="0.2">
      <c r="A9" s="102" t="s">
        <v>55</v>
      </c>
      <c r="B9" s="102"/>
      <c r="C9" s="106" t="s">
        <v>162</v>
      </c>
      <c r="D9" s="106"/>
      <c r="E9" s="7"/>
      <c r="F9" s="18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60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N9" s="7"/>
      <c r="O9" s="36" t="s">
        <v>26</v>
      </c>
      <c r="P9" s="68">
        <v>0.02</v>
      </c>
      <c r="Q9" s="17" t="s">
        <v>2</v>
      </c>
      <c r="R9" s="35">
        <v>0.1</v>
      </c>
      <c r="X9" s="15" t="str">
        <f>Database!F12</f>
        <v>MW</v>
      </c>
      <c r="Y9" s="15" t="str">
        <f>Database!G12</f>
        <v>MW</v>
      </c>
      <c r="AA9" s="71" t="s">
        <v>110</v>
      </c>
      <c r="AB9" s="73">
        <f>Database!D21</f>
        <v>-0.3715448830667174</v>
      </c>
      <c r="AC9" s="71" t="s">
        <v>111</v>
      </c>
      <c r="AD9" s="71"/>
    </row>
    <row r="10" spans="1:30" s="2" customFormat="1" x14ac:dyDescent="0.2">
      <c r="A10" s="21" t="s">
        <v>33</v>
      </c>
      <c r="B10" s="22">
        <f>Database!J12</f>
        <v>0</v>
      </c>
      <c r="C10" s="76" t="s">
        <v>32</v>
      </c>
      <c r="D10" s="86">
        <v>0.98521658421944436</v>
      </c>
      <c r="E10" s="7"/>
      <c r="F10" s="18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36" t="s">
        <v>27</v>
      </c>
      <c r="P10" s="68">
        <v>0.02</v>
      </c>
      <c r="Q10" s="17" t="s">
        <v>2</v>
      </c>
      <c r="R10" s="35">
        <v>0.1</v>
      </c>
      <c r="W10" s="36" t="s">
        <v>80</v>
      </c>
      <c r="X10" s="75">
        <f>Database!F13</f>
        <v>0</v>
      </c>
      <c r="Y10" s="75">
        <f>Database!G13</f>
        <v>400</v>
      </c>
    </row>
    <row r="11" spans="1:30" x14ac:dyDescent="0.2">
      <c r="A11" s="21" t="s">
        <v>31</v>
      </c>
      <c r="B11" s="22">
        <f>Database!J13</f>
        <v>1</v>
      </c>
      <c r="C11" s="76" t="s">
        <v>35</v>
      </c>
      <c r="D11" s="86">
        <v>-2.5531163690128061E-2</v>
      </c>
      <c r="E11" s="7"/>
      <c r="F11" s="7"/>
      <c r="G11" s="30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36" t="s">
        <v>81</v>
      </c>
      <c r="X11" s="15">
        <f>Database!F14</f>
        <v>0</v>
      </c>
      <c r="Y11" s="15">
        <f>Database!G14</f>
        <v>300</v>
      </c>
      <c r="Z11" s="2"/>
      <c r="AA11" s="2"/>
      <c r="AB11" s="2"/>
      <c r="AC11" s="2"/>
    </row>
    <row r="12" spans="1:30" x14ac:dyDescent="0.2">
      <c r="A12" s="21" t="s">
        <v>34</v>
      </c>
      <c r="B12" s="22">
        <f>Database!J14</f>
        <v>1</v>
      </c>
      <c r="C12" s="76" t="s">
        <v>36</v>
      </c>
      <c r="D12" s="86">
        <v>-7.6251215952137213E-2</v>
      </c>
      <c r="E12" s="104" t="s">
        <v>56</v>
      </c>
      <c r="F12" s="104"/>
      <c r="H12" s="7"/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1" t="s">
        <v>17</v>
      </c>
      <c r="B13" s="22">
        <f>Database!J15</f>
        <v>0</v>
      </c>
      <c r="C13" s="79" t="s">
        <v>11</v>
      </c>
      <c r="D13" s="87">
        <v>1.0016729815779142</v>
      </c>
      <c r="E13" s="88">
        <f>_PG1*Sbase</f>
        <v>200.33459631558284</v>
      </c>
      <c r="F13" s="25" t="s">
        <v>52</v>
      </c>
      <c r="H13" s="7"/>
      <c r="I13" s="7"/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1" t="s">
        <v>18</v>
      </c>
      <c r="B14" s="22">
        <f>Database!J16</f>
        <v>0</v>
      </c>
      <c r="C14" s="79" t="s">
        <v>12</v>
      </c>
      <c r="D14" s="87">
        <v>0.26630464081652783</v>
      </c>
      <c r="E14" s="88">
        <f>_PG2*Sbase</f>
        <v>53.260928163305564</v>
      </c>
      <c r="F14" s="25" t="s">
        <v>52</v>
      </c>
      <c r="H14" s="7"/>
      <c r="I14" s="7"/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C15" s="76" t="s">
        <v>14</v>
      </c>
      <c r="D15" s="86">
        <v>-2.061385593096483E-2</v>
      </c>
      <c r="E15" s="64">
        <f>_QG1*Sbase</f>
        <v>-4.1227711861929661</v>
      </c>
      <c r="F15" s="25" t="s">
        <v>57</v>
      </c>
      <c r="H15" s="7"/>
      <c r="I15" s="7"/>
      <c r="J15" s="7"/>
      <c r="K15" s="7" t="s">
        <v>90</v>
      </c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1" t="s">
        <v>20</v>
      </c>
      <c r="B16" s="22">
        <f>Database!J18</f>
        <v>0</v>
      </c>
      <c r="C16" s="76" t="s">
        <v>15</v>
      </c>
      <c r="D16" s="86">
        <v>0.11050196783083102</v>
      </c>
      <c r="E16" s="64">
        <f>_QG2*Sbase</f>
        <v>22.100393566166204</v>
      </c>
      <c r="F16" s="25" t="s">
        <v>57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21</v>
      </c>
      <c r="B17" s="22">
        <f>Database!J19</f>
        <v>0</v>
      </c>
      <c r="C17" s="77" t="s">
        <v>19</v>
      </c>
      <c r="D17" s="78">
        <v>1.25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44">
        <f>H45</f>
        <v>49.093057833740538</v>
      </c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f>Database!J20</f>
        <v>0</v>
      </c>
      <c r="C18" s="7"/>
      <c r="D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 t="s">
        <v>52</v>
      </c>
      <c r="Z18" s="2"/>
      <c r="AA18" s="16">
        <f>_PG2*Sbase</f>
        <v>53.260928163305564</v>
      </c>
      <c r="AB18" s="2" t="s">
        <v>52</v>
      </c>
      <c r="AC18" s="2"/>
      <c r="AD18" s="2"/>
    </row>
    <row r="19" spans="1:30" x14ac:dyDescent="0.2">
      <c r="A19" s="21" t="s">
        <v>13</v>
      </c>
      <c r="B19" s="22">
        <f>Database!J21</f>
        <v>0</v>
      </c>
      <c r="C19" s="7"/>
      <c r="D19" s="18" t="s">
        <v>114</v>
      </c>
      <c r="E19" s="7">
        <f>AB8+AB9*_PD3*Sbase</f>
        <v>30.962073588893105</v>
      </c>
      <c r="F19" s="2" t="s">
        <v>50</v>
      </c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6">
        <f>_QG2*Sbase</f>
        <v>22.100393566166204</v>
      </c>
      <c r="AB19" s="2" t="s">
        <v>79</v>
      </c>
      <c r="AC19" s="2"/>
      <c r="AD19" s="2"/>
    </row>
    <row r="20" spans="1:30" x14ac:dyDescent="0.2">
      <c r="A20" s="21" t="s">
        <v>16</v>
      </c>
      <c r="B20" s="22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2">
        <f>_PG1*Sbase</f>
        <v>200.33459631558284</v>
      </c>
      <c r="X20" s="2" t="s">
        <v>52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66">
        <f>_QG1*Sbase</f>
        <v>-4.1227711861929661</v>
      </c>
      <c r="X21" s="7" t="s">
        <v>79</v>
      </c>
      <c r="Y21" s="7"/>
      <c r="Z21" s="7"/>
      <c r="AA21" s="7"/>
    </row>
    <row r="22" spans="1:30" s="7" customFormat="1" ht="13" customHeight="1" x14ac:dyDescent="0.2">
      <c r="A22" s="107" t="s">
        <v>61</v>
      </c>
      <c r="B22" s="107"/>
      <c r="C22" s="107"/>
      <c r="D22" s="107"/>
      <c r="E22" s="107"/>
      <c r="F22" s="19"/>
      <c r="G22" s="19"/>
      <c r="H22" s="19"/>
      <c r="P22" s="2"/>
      <c r="Q22" s="2"/>
      <c r="W22" s="2"/>
      <c r="Y22" s="2"/>
      <c r="Z22" s="45">
        <f>H47</f>
        <v>101.69931284267311</v>
      </c>
      <c r="AA22" s="2" t="s">
        <v>52</v>
      </c>
    </row>
    <row r="23" spans="1:30" s="2" customFormat="1" ht="13" customHeight="1" x14ac:dyDescent="0.2">
      <c r="B23" s="32" t="s">
        <v>60</v>
      </c>
      <c r="C23" s="32" t="s">
        <v>70</v>
      </c>
      <c r="D23" s="32" t="s">
        <v>69</v>
      </c>
      <c r="F23" s="32" t="s">
        <v>68</v>
      </c>
      <c r="H23" s="32" t="s">
        <v>39</v>
      </c>
      <c r="I23" s="34"/>
      <c r="K23" s="7"/>
      <c r="M23" s="7"/>
      <c r="N23" s="7"/>
      <c r="W23" s="65">
        <f>H46</f>
        <v>149.97310322552531</v>
      </c>
      <c r="X23" s="2" t="s">
        <v>52</v>
      </c>
    </row>
    <row r="24" spans="1:30" s="2" customFormat="1" ht="13" customHeight="1" x14ac:dyDescent="0.25">
      <c r="A24" s="18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5110.040688334846</v>
      </c>
      <c r="E24" s="2" t="s">
        <v>49</v>
      </c>
      <c r="F24" s="6">
        <f>B24*_PG1+C24</f>
        <v>20.083459631558284</v>
      </c>
      <c r="G24" s="59" t="s">
        <v>93</v>
      </c>
      <c r="H24" s="6">
        <f>-'Sensitivity Report 1'!G21</f>
        <v>30.016711806295671</v>
      </c>
      <c r="I24" s="2" t="s">
        <v>50</v>
      </c>
      <c r="K24" s="7"/>
      <c r="M24" s="7"/>
      <c r="N24" s="7"/>
    </row>
    <row r="25" spans="1:30" s="2" customFormat="1" ht="13" customHeight="1" x14ac:dyDescent="0.25">
      <c r="A25" s="18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1673.3595275234788</v>
      </c>
      <c r="E25" s="2" t="s">
        <v>49</v>
      </c>
      <c r="F25" s="6">
        <f>B25*_PG1+C25</f>
        <v>25.141824539447857</v>
      </c>
      <c r="G25" s="59" t="s">
        <v>94</v>
      </c>
      <c r="H25" s="6">
        <f>-'Sensitivity Report 1'!G22</f>
        <v>30.325763904170099</v>
      </c>
      <c r="I25" s="2" t="s">
        <v>50</v>
      </c>
      <c r="K25" s="7"/>
      <c r="M25" s="7"/>
      <c r="N25" s="7"/>
      <c r="Q25" s="26"/>
    </row>
    <row r="26" spans="1:30" s="2" customFormat="1" ht="13" customHeight="1" x14ac:dyDescent="0.25">
      <c r="A26" s="18"/>
      <c r="B26" s="2" t="s">
        <v>112</v>
      </c>
      <c r="D26" s="80">
        <f>AB8*_PD3*Sbase+(1/2)*AB9*(_PD3*Sbase)^2</f>
        <v>19351.295993058193</v>
      </c>
      <c r="E26" s="2" t="s">
        <v>49</v>
      </c>
      <c r="F26" s="6"/>
      <c r="G26" s="59" t="s">
        <v>95</v>
      </c>
      <c r="H26" s="6">
        <f>E19</f>
        <v>30.962073588893105</v>
      </c>
      <c r="I26" s="2" t="s">
        <v>50</v>
      </c>
      <c r="K26" s="7"/>
      <c r="M26" s="7"/>
      <c r="N26" s="7"/>
      <c r="Y26" s="9">
        <f>_PD3*Sbase</f>
        <v>250</v>
      </c>
      <c r="Z26" s="2" t="s">
        <v>52</v>
      </c>
    </row>
    <row r="27" spans="1:30" s="2" customFormat="1" ht="13" customHeight="1" x14ac:dyDescent="0.2">
      <c r="A27" s="39" t="s">
        <v>113</v>
      </c>
      <c r="B27" s="40"/>
      <c r="C27" s="7"/>
      <c r="D27" s="41">
        <f>D26-D25-D24</f>
        <v>12567.895777199867</v>
      </c>
      <c r="E27" s="2" t="s">
        <v>49</v>
      </c>
      <c r="F27" s="37" t="s">
        <v>71</v>
      </c>
      <c r="K27" s="7"/>
      <c r="M27" s="7"/>
      <c r="N27" s="7"/>
      <c r="Y27" s="43">
        <f>_QD3*Sbase</f>
        <v>0</v>
      </c>
      <c r="Z27" s="2" t="s">
        <v>79</v>
      </c>
    </row>
    <row r="28" spans="1:30" s="2" customFormat="1" ht="13" customHeight="1" x14ac:dyDescent="0.2">
      <c r="A28" s="38" t="s">
        <v>78</v>
      </c>
      <c r="B28" s="20"/>
      <c r="C28" s="20"/>
      <c r="M28" s="7"/>
      <c r="N28" s="7"/>
    </row>
    <row r="29" spans="1:30" s="2" customFormat="1" ht="13" customHeight="1" x14ac:dyDescent="0.2">
      <c r="B29" s="27" t="s">
        <v>62</v>
      </c>
      <c r="C29" s="28">
        <f>_PG1-_PD1</f>
        <v>1.0016729815779142</v>
      </c>
      <c r="D29" s="31">
        <f>(_V1*_V1*_G11+_V1*_V2*(_G12*COS(_T1-_T2)+_B12*SIN(_T1-_T2))+_V1*_V3*(_G13*COS(_T1-_T3)+_B13*SIN(_T1-_T3)))</f>
        <v>1.0016729907243307</v>
      </c>
      <c r="F29" s="37" t="s">
        <v>72</v>
      </c>
      <c r="M29" s="7"/>
      <c r="N29" s="29"/>
    </row>
    <row r="30" spans="1:30" s="2" customFormat="1" ht="13" customHeight="1" x14ac:dyDescent="0.2">
      <c r="B30" s="27" t="s">
        <v>63</v>
      </c>
      <c r="C30" s="28">
        <f>_PG2-_PD2</f>
        <v>0.26630464081652783</v>
      </c>
      <c r="D30" s="31">
        <f>(_V2*_V2*_G22+_V2*_V1*(_G21*COS(_T2-_T1)+_B21*SIN(_T2-_T1))+_V2*_V3*(_G23*COS(_T2-_T3)+_B23*SIN(_T2-_T3)))</f>
        <v>0.26630464429266221</v>
      </c>
      <c r="F30" s="37" t="s">
        <v>73</v>
      </c>
      <c r="M30" s="7"/>
      <c r="N30" s="29"/>
    </row>
    <row r="31" spans="1:30" s="2" customFormat="1" ht="13" customHeight="1" x14ac:dyDescent="0.2">
      <c r="B31" s="27" t="s">
        <v>64</v>
      </c>
      <c r="C31" s="28">
        <f>_PG3-_PD3</f>
        <v>-1.25</v>
      </c>
      <c r="D31" s="31">
        <f>(_V3*_V3*_G33+_V3*_V1*(_G31*COS(_T3-_T1)+_B31*SIN(_T3-_T1))+_V3*_V2*(_G32*COS(_T3-_T2)+_B32*SIN(_T3-_T2)))</f>
        <v>-1.24999999664991</v>
      </c>
      <c r="F31" s="37" t="s">
        <v>74</v>
      </c>
      <c r="M31" s="29"/>
      <c r="N31" s="7"/>
    </row>
    <row r="32" spans="1:30" s="2" customFormat="1" ht="13" customHeight="1" x14ac:dyDescent="0.2">
      <c r="B32" s="27" t="s">
        <v>65</v>
      </c>
      <c r="C32" s="28">
        <f>_QG1-_QD1</f>
        <v>-2.061385593096483E-2</v>
      </c>
      <c r="D32" s="31">
        <f>(-_V1*_V1*_B11+_V1*_V2*(_G12*SIN(_T1-_T2)-_B12*COS(_T1-_T2))+_V1*_V3*(_G13*SIN(_T1-_T3)-_B13*COS(_T1-_T3)))</f>
        <v>-2.0613823024406841E-2</v>
      </c>
      <c r="F32" s="37" t="s">
        <v>75</v>
      </c>
      <c r="M32" s="7"/>
      <c r="N32" s="7"/>
      <c r="P32" s="8"/>
    </row>
    <row r="33" spans="1:18" s="2" customFormat="1" ht="13" customHeight="1" x14ac:dyDescent="0.2">
      <c r="B33" s="27" t="s">
        <v>66</v>
      </c>
      <c r="C33" s="28">
        <f>_QG2-_QD2</f>
        <v>0.11050196783083102</v>
      </c>
      <c r="D33" s="31">
        <f>(-_V2*_V2*_B22+_V2*_V1*(_G21*SIN(_T2-_T1)-_B21*COS(_T2-_T1))+_V2*_V3*(_G23*SIN(_T2-_T3)-_B23*COS(_T2-_T3)))</f>
        <v>0.11050200212591577</v>
      </c>
      <c r="E33" s="24"/>
      <c r="F33" s="37" t="s">
        <v>76</v>
      </c>
      <c r="H33" s="24"/>
      <c r="I33" s="7"/>
      <c r="K33" s="7"/>
      <c r="L33" s="7"/>
      <c r="M33" s="7"/>
      <c r="N33" s="7"/>
    </row>
    <row r="34" spans="1:18" s="2" customFormat="1" ht="13" customHeight="1" x14ac:dyDescent="0.2">
      <c r="A34"/>
      <c r="B34" s="27" t="s">
        <v>67</v>
      </c>
      <c r="C34" s="28">
        <f>_QG3-_QD3</f>
        <v>0</v>
      </c>
      <c r="D34" s="31">
        <f>(-_V3*_V3*_B33+_V3*_V1*(_G31*SIN(_T3-_T1)-_B31*COS(_T3-_T1))+_V3*_V2*(_G32*SIN(_T3-_T2)-_B32*COS(_T3-_T2)))</f>
        <v>1.2733902821082665E-8</v>
      </c>
      <c r="E34" s="7"/>
      <c r="F34" s="37" t="s">
        <v>77</v>
      </c>
      <c r="H34" s="7"/>
      <c r="I34" s="7"/>
      <c r="K34" s="7"/>
      <c r="L34" s="7"/>
      <c r="M34" s="7"/>
      <c r="N34" s="7"/>
    </row>
    <row r="35" spans="1:18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18" s="2" customFormat="1" x14ac:dyDescent="0.2">
      <c r="A36" s="47"/>
      <c r="B36" s="47" t="s">
        <v>82</v>
      </c>
      <c r="C36" s="15" t="s">
        <v>84</v>
      </c>
      <c r="D36" s="47" t="s">
        <v>85</v>
      </c>
      <c r="E36" s="7"/>
      <c r="F36" s="47"/>
      <c r="G36" s="61" t="s">
        <v>87</v>
      </c>
      <c r="J36" s="47"/>
      <c r="K36" s="47" t="s">
        <v>92</v>
      </c>
      <c r="L36" s="7"/>
      <c r="M36" s="7"/>
      <c r="N36" s="7"/>
    </row>
    <row r="37" spans="1:18" s="2" customFormat="1" x14ac:dyDescent="0.2">
      <c r="A37" s="2" t="s">
        <v>80</v>
      </c>
      <c r="B37" s="46">
        <f>E13*H24</f>
        <v>6013.385842435433</v>
      </c>
      <c r="C37" s="46">
        <f>D24</f>
        <v>5110.040688334846</v>
      </c>
      <c r="D37" s="46">
        <f>B37-C37</f>
        <v>903.34515410058702</v>
      </c>
      <c r="E37" s="19"/>
      <c r="F37" s="19" t="s">
        <v>88</v>
      </c>
      <c r="G37" s="19">
        <f>_PD3*Sbase*H26</f>
        <v>7740.5183972232762</v>
      </c>
      <c r="J37" s="19" t="s">
        <v>91</v>
      </c>
      <c r="K37" s="19">
        <f>G39-B39</f>
        <v>111.95422199047516</v>
      </c>
      <c r="L37" s="7"/>
      <c r="M37" s="7"/>
      <c r="N37" s="7"/>
    </row>
    <row r="38" spans="1:18" s="2" customFormat="1" x14ac:dyDescent="0.2">
      <c r="A38" s="47" t="s">
        <v>81</v>
      </c>
      <c r="B38" s="48">
        <f>E14*H25</f>
        <v>1615.1783327973685</v>
      </c>
      <c r="C38" s="48">
        <f>D25</f>
        <v>1673.3595275234788</v>
      </c>
      <c r="D38" s="48">
        <f t="shared" ref="D38:D39" si="0">B38-C38</f>
        <v>-58.181194726110334</v>
      </c>
      <c r="E38" s="19"/>
      <c r="F38" s="47"/>
      <c r="G38" s="47"/>
      <c r="J38" s="48"/>
      <c r="K38" s="47"/>
      <c r="L38" s="7"/>
      <c r="M38" s="7"/>
      <c r="N38" s="7"/>
    </row>
    <row r="39" spans="1:18" s="2" customFormat="1" x14ac:dyDescent="0.2">
      <c r="A39" s="2" t="s">
        <v>83</v>
      </c>
      <c r="B39" s="46">
        <f>SUM(B37:B38)</f>
        <v>7628.5641752328011</v>
      </c>
      <c r="C39" s="46">
        <f>SUM(C37:C38)</f>
        <v>6783.4002158583244</v>
      </c>
      <c r="D39" s="46">
        <f t="shared" si="0"/>
        <v>845.16395937447669</v>
      </c>
      <c r="E39" s="19"/>
      <c r="F39" s="19" t="s">
        <v>83</v>
      </c>
      <c r="G39" s="19">
        <f>G37</f>
        <v>7740.5183972232762</v>
      </c>
      <c r="J39" s="19" t="s">
        <v>83</v>
      </c>
      <c r="K39" s="19">
        <f>G39-B39</f>
        <v>111.95422199047516</v>
      </c>
      <c r="L39" s="29"/>
      <c r="M39" s="62" t="s">
        <v>96</v>
      </c>
      <c r="N39" s="62"/>
      <c r="O39" s="63"/>
      <c r="P39" s="63"/>
    </row>
    <row r="40" spans="1:18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29"/>
      <c r="M40" s="29"/>
      <c r="N40" s="29"/>
      <c r="O40" s="29"/>
      <c r="P40" s="29"/>
      <c r="Q40" s="29"/>
      <c r="R40" s="29"/>
    </row>
    <row r="41" spans="1:18" s="2" customFormat="1" x14ac:dyDescent="0.2">
      <c r="A41" s="7" t="s">
        <v>58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18" s="2" customFormat="1" x14ac:dyDescent="0.2">
      <c r="A42" s="7" t="s">
        <v>59</v>
      </c>
      <c r="B42" s="24"/>
      <c r="C42" s="24"/>
      <c r="D42" s="24"/>
      <c r="E42" s="24"/>
      <c r="F42" s="24"/>
      <c r="G42" s="24"/>
      <c r="H42" s="24"/>
      <c r="I42" s="7"/>
      <c r="J42" s="7"/>
      <c r="K42" s="7"/>
      <c r="L42" s="7"/>
    </row>
    <row r="43" spans="1:18" s="2" customFormat="1" x14ac:dyDescent="0.2">
      <c r="A43" s="7"/>
      <c r="B43" s="24" t="s">
        <v>3</v>
      </c>
      <c r="C43" s="24" t="s">
        <v>4</v>
      </c>
      <c r="D43" s="24" t="s">
        <v>5</v>
      </c>
      <c r="E43" s="24" t="s">
        <v>6</v>
      </c>
      <c r="F43" s="24" t="s">
        <v>7</v>
      </c>
      <c r="G43" s="24" t="s">
        <v>8</v>
      </c>
      <c r="H43" s="50" t="s">
        <v>9</v>
      </c>
      <c r="I43" s="7"/>
      <c r="J43" s="38" t="s">
        <v>28</v>
      </c>
      <c r="L43" s="103" t="s">
        <v>86</v>
      </c>
      <c r="M43" s="103"/>
    </row>
    <row r="44" spans="1:18" s="2" customFormat="1" x14ac:dyDescent="0.2">
      <c r="A44" s="47"/>
      <c r="B44" s="15" t="s">
        <v>89</v>
      </c>
      <c r="C44" s="15" t="s">
        <v>89</v>
      </c>
      <c r="D44" s="15" t="s">
        <v>89</v>
      </c>
      <c r="E44" s="15" t="s">
        <v>89</v>
      </c>
      <c r="F44" s="15" t="s">
        <v>89</v>
      </c>
      <c r="G44" s="15" t="s">
        <v>89</v>
      </c>
      <c r="H44" s="55" t="s">
        <v>1</v>
      </c>
      <c r="I44" s="15"/>
      <c r="J44" s="56" t="s">
        <v>1</v>
      </c>
      <c r="L44" s="15" t="s">
        <v>23</v>
      </c>
      <c r="M44" s="15" t="s">
        <v>24</v>
      </c>
    </row>
    <row r="45" spans="1:18" s="2" customFormat="1" x14ac:dyDescent="0.2">
      <c r="A45" s="24">
        <v>12</v>
      </c>
      <c r="B45" s="51">
        <f>_V1*_V2*(_G12*COS(_T1-_T2)+_B12*SIN(_T1-_T2))-_G12*_V1*_V1</f>
        <v>0.2460920246611622</v>
      </c>
      <c r="C45" s="51">
        <f>_V1*_V2*(_G12*COS(_T2-_T1)+_B12*SIN(_T2-_T1))-_G12*_V2*_V2</f>
        <v>-0.24483855367624319</v>
      </c>
      <c r="D45" s="51">
        <f>_V1*_V2*(_G12*SIN(_T1-_T2)-_B12*COS(_T1-_T2))+(_B12)*_V1*_V1</f>
        <v>-4.5959380371442649E-2</v>
      </c>
      <c r="E45" s="51">
        <f>_V2*_V1*(_G21*SIN(_T2-_T1)-_B21*COS(_T2-_T1))+(_B21)*_V2*_V2</f>
        <v>5.2226735296038385E-2</v>
      </c>
      <c r="F45" s="51">
        <f>ABS(B45-C45)/2</f>
        <v>0.24546528916870269</v>
      </c>
      <c r="G45" s="51">
        <f>ABS(D45-E45)/2</f>
        <v>4.9093057833740517E-2</v>
      </c>
      <c r="H45" s="81">
        <f>(F45*F45)^0.5*Sbase</f>
        <v>49.093057833740538</v>
      </c>
      <c r="I45" s="24" t="s">
        <v>29</v>
      </c>
      <c r="J45" s="38">
        <v>200</v>
      </c>
      <c r="L45" s="53">
        <f>B45+C45</f>
        <v>1.253470984919014E-3</v>
      </c>
      <c r="M45" s="53">
        <f>D45+E45</f>
        <v>6.2673549245957361E-3</v>
      </c>
    </row>
    <row r="46" spans="1:18" s="2" customFormat="1" x14ac:dyDescent="0.2">
      <c r="A46" s="24">
        <v>13</v>
      </c>
      <c r="B46" s="51">
        <f>_V1*_V3*(_G13*COS(_T1-_T3)+_B13*SIN(_T1-_T3))-_G13*_V1*_V1</f>
        <v>0.75558096606316827</v>
      </c>
      <c r="C46" s="51">
        <f>_V3*_V1*(_G13*COS(_T3-_T1)+_B13*SIN(_T3-_T1))-_G13*_V3*_V3</f>
        <v>-0.74415006619208479</v>
      </c>
      <c r="D46" s="51">
        <f>_V1*_V3*(_G13*SIN(_T1-_T3)-_B13*COS(_T1-_T3))+(_B13)*_V1*_V1</f>
        <v>2.5345557347035808E-2</v>
      </c>
      <c r="E46" s="51">
        <f>_V3*_V1*(_G31*SIN(_T3-_T1)-_B31*COS(_T3-_T1))+(_B31)*_V3*_V3</f>
        <v>3.1808942008382246E-2</v>
      </c>
      <c r="F46" s="51">
        <f t="shared" ref="F46:F47" si="1">ABS(B46-C46)/2</f>
        <v>0.74986551612762653</v>
      </c>
      <c r="G46" s="51">
        <f t="shared" ref="G46:G47" si="2">ABS(D46-E46)/2</f>
        <v>3.2316923306732193E-3</v>
      </c>
      <c r="H46" s="52">
        <f>(F46*F46)^0.5*Sbase</f>
        <v>149.97310322552531</v>
      </c>
      <c r="I46" s="24" t="s">
        <v>29</v>
      </c>
      <c r="J46" s="38">
        <v>200</v>
      </c>
      <c r="L46" s="53">
        <f>B46+C46</f>
        <v>1.1430899871083477E-2</v>
      </c>
      <c r="M46" s="53">
        <f>D46+E46</f>
        <v>5.7154499355418054E-2</v>
      </c>
    </row>
    <row r="47" spans="1:18" s="2" customFormat="1" x14ac:dyDescent="0.2">
      <c r="A47" s="15">
        <v>23</v>
      </c>
      <c r="B47" s="58">
        <f>_V2*_V3*(_G23*COS(_T2-_T3)+_B23*SIN(_T2-_T3))-_G23*_V2*_V2</f>
        <v>0.51114319796890539</v>
      </c>
      <c r="C47" s="58">
        <f>_V3*_V2*(_G23*COS(_T3-_T2)+_B23*SIN(_T3-_T2))-_G23*_V3*_V3</f>
        <v>-0.50584993045782567</v>
      </c>
      <c r="D47" s="58">
        <f>_V2*_V3*(_G23*SIN(_T2-_T3)-_B23*COS(_T2-_T3))+(_B23)*_V2*_V2</f>
        <v>5.8275266829877381E-2</v>
      </c>
      <c r="E47" s="58">
        <f>_V3*_V2*(_G32*SIN(_T3-_T2)-_B32*COS(_T3-_T2))+(_B32)*_V3*_V3</f>
        <v>-3.1808929274479425E-2</v>
      </c>
      <c r="F47" s="58">
        <f t="shared" si="1"/>
        <v>0.50849656421336553</v>
      </c>
      <c r="G47" s="58">
        <f t="shared" si="2"/>
        <v>4.5042098052178403E-2</v>
      </c>
      <c r="H47" s="82">
        <f>(F47*F47)^0.5*Sbase</f>
        <v>101.69931284267311</v>
      </c>
      <c r="I47" s="15" t="s">
        <v>29</v>
      </c>
      <c r="J47" s="38">
        <v>200</v>
      </c>
      <c r="L47" s="57">
        <f>B47+C47</f>
        <v>5.2932675110797245E-3</v>
      </c>
      <c r="M47" s="57">
        <f>D47+E47</f>
        <v>2.6466337555397956E-2</v>
      </c>
    </row>
    <row r="48" spans="1:18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1.7977638367082216E-2</v>
      </c>
      <c r="M48" s="53">
        <f>SUM(M45:M47)</f>
        <v>8.9888191835411746E-2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3.5955244788883789</v>
      </c>
      <c r="M49" s="19">
        <f>(_QG1+_QG2+_QG3-_QD1-_QD2-_QD3)*Sbase</f>
        <v>17.977622379973237</v>
      </c>
    </row>
    <row r="50" spans="1:30" s="2" customFormat="1" x14ac:dyDescent="0.2">
      <c r="C50" s="33"/>
      <c r="L50" s="12" t="s">
        <v>52</v>
      </c>
      <c r="M50" s="12" t="s">
        <v>79</v>
      </c>
    </row>
    <row r="51" spans="1:30" s="2" customFormat="1" x14ac:dyDescent="0.2">
      <c r="C51" s="33"/>
    </row>
    <row r="52" spans="1:30" s="2" customFormat="1" x14ac:dyDescent="0.2">
      <c r="C52" s="33"/>
    </row>
    <row r="53" spans="1:30" x14ac:dyDescent="0.2">
      <c r="A53" s="2"/>
      <c r="B53" s="2"/>
      <c r="C53" s="3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3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3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3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3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E12:F12"/>
    <mergeCell ref="G7:N7"/>
    <mergeCell ref="A9:B9"/>
    <mergeCell ref="C9:D9"/>
    <mergeCell ref="A22:E22"/>
    <mergeCell ref="K41:L41"/>
  </mergeCells>
  <phoneticPr fontId="2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E7EA-7758-47FA-802B-7A83C9105399}">
  <dimension ref="A1:H29"/>
  <sheetViews>
    <sheetView showGridLines="0" topLeftCell="A7" workbookViewId="0">
      <selection activeCell="G19" sqref="G19:G20"/>
    </sheetView>
  </sheetViews>
  <sheetFormatPr baseColWidth="10" defaultColWidth="8.83203125" defaultRowHeight="15" x14ac:dyDescent="0.2"/>
  <cols>
    <col min="1" max="1" width="2.33203125" customWidth="1"/>
    <col min="2" max="2" width="6.33203125" bestFit="1" customWidth="1"/>
    <col min="3" max="3" width="27.83203125" bestFit="1" customWidth="1"/>
    <col min="4" max="5" width="12.6640625" bestFit="1" customWidth="1"/>
  </cols>
  <sheetData>
    <row r="1" spans="1:5" x14ac:dyDescent="0.2">
      <c r="A1" s="1" t="s">
        <v>115</v>
      </c>
    </row>
    <row r="2" spans="1:5" x14ac:dyDescent="0.2">
      <c r="A2" s="1" t="s">
        <v>159</v>
      </c>
    </row>
    <row r="3" spans="1:5" x14ac:dyDescent="0.2">
      <c r="A3" s="1" t="s">
        <v>160</v>
      </c>
    </row>
    <row r="6" spans="1:5" ht="16" thickBot="1" x14ac:dyDescent="0.25">
      <c r="A6" t="s">
        <v>117</v>
      </c>
    </row>
    <row r="7" spans="1:5" x14ac:dyDescent="0.2">
      <c r="B7" s="90"/>
      <c r="C7" s="90"/>
      <c r="D7" s="90" t="s">
        <v>120</v>
      </c>
      <c r="E7" s="90" t="s">
        <v>122</v>
      </c>
    </row>
    <row r="8" spans="1:5" ht="16" thickBot="1" x14ac:dyDescent="0.25">
      <c r="B8" s="91" t="s">
        <v>118</v>
      </c>
      <c r="C8" s="91" t="s">
        <v>119</v>
      </c>
      <c r="D8" s="91" t="s">
        <v>121</v>
      </c>
      <c r="E8" s="91" t="s">
        <v>123</v>
      </c>
    </row>
    <row r="9" spans="1:5" x14ac:dyDescent="0.2">
      <c r="B9" s="92" t="s">
        <v>127</v>
      </c>
      <c r="C9" s="92" t="s">
        <v>128</v>
      </c>
      <c r="D9" s="92">
        <v>0.98587633589110202</v>
      </c>
      <c r="E9" s="92">
        <v>0</v>
      </c>
    </row>
    <row r="10" spans="1:5" x14ac:dyDescent="0.2">
      <c r="B10" s="92" t="s">
        <v>129</v>
      </c>
      <c r="C10" s="92" t="s">
        <v>130</v>
      </c>
      <c r="D10" s="92">
        <v>-1.9944507141718984E-2</v>
      </c>
      <c r="E10" s="92">
        <v>0</v>
      </c>
    </row>
    <row r="11" spans="1:5" x14ac:dyDescent="0.2">
      <c r="B11" s="92" t="s">
        <v>131</v>
      </c>
      <c r="C11" s="92" t="s">
        <v>132</v>
      </c>
      <c r="D11" s="92">
        <v>-7.1057748857971725E-2</v>
      </c>
      <c r="E11" s="92">
        <v>0</v>
      </c>
    </row>
    <row r="12" spans="1:5" x14ac:dyDescent="0.2">
      <c r="B12" s="92" t="s">
        <v>133</v>
      </c>
      <c r="C12" s="92" t="s">
        <v>134</v>
      </c>
      <c r="D12" s="92">
        <v>0.89712008988399372</v>
      </c>
      <c r="E12" s="92">
        <v>0</v>
      </c>
    </row>
    <row r="13" spans="1:5" x14ac:dyDescent="0.2">
      <c r="B13" s="92" t="s">
        <v>135</v>
      </c>
      <c r="C13" s="92" t="s">
        <v>136</v>
      </c>
      <c r="D13" s="92">
        <v>0.32257922256875327</v>
      </c>
      <c r="E13" s="92">
        <v>0</v>
      </c>
    </row>
    <row r="14" spans="1:5" x14ac:dyDescent="0.2">
      <c r="B14" s="92" t="s">
        <v>137</v>
      </c>
      <c r="C14" s="92" t="s">
        <v>138</v>
      </c>
      <c r="D14" s="92">
        <v>-1.1319534420228379E-2</v>
      </c>
      <c r="E14" s="92">
        <v>0</v>
      </c>
    </row>
    <row r="15" spans="1:5" x14ac:dyDescent="0.2">
      <c r="B15" s="92" t="s">
        <v>139</v>
      </c>
      <c r="C15" s="92" t="s">
        <v>140</v>
      </c>
      <c r="D15" s="92">
        <v>9.1585199668106396E-2</v>
      </c>
      <c r="E15" s="92">
        <v>0</v>
      </c>
    </row>
    <row r="16" spans="1:5" ht="16" thickBot="1" x14ac:dyDescent="0.25">
      <c r="B16" s="89" t="s">
        <v>141</v>
      </c>
      <c r="C16" s="89" t="s">
        <v>142</v>
      </c>
      <c r="D16" s="89">
        <v>1.2036461794037643</v>
      </c>
      <c r="E16" s="89">
        <v>0</v>
      </c>
    </row>
    <row r="18" spans="1:8" ht="16" thickBot="1" x14ac:dyDescent="0.25">
      <c r="A18" t="s">
        <v>124</v>
      </c>
    </row>
    <row r="19" spans="1:8" x14ac:dyDescent="0.2">
      <c r="B19" s="90"/>
      <c r="C19" s="90"/>
      <c r="D19" s="90" t="s">
        <v>120</v>
      </c>
      <c r="E19" s="90" t="s">
        <v>125</v>
      </c>
      <c r="G19" s="90" t="s">
        <v>125</v>
      </c>
    </row>
    <row r="20" spans="1:8" ht="16" thickBot="1" x14ac:dyDescent="0.25">
      <c r="B20" s="91" t="s">
        <v>118</v>
      </c>
      <c r="C20" s="91" t="s">
        <v>119</v>
      </c>
      <c r="D20" s="91" t="s">
        <v>121</v>
      </c>
      <c r="E20" s="91" t="s">
        <v>126</v>
      </c>
      <c r="G20" s="91" t="s">
        <v>126</v>
      </c>
    </row>
    <row r="21" spans="1:8" x14ac:dyDescent="0.2">
      <c r="B21" s="92" t="s">
        <v>143</v>
      </c>
      <c r="C21" s="92" t="s">
        <v>144</v>
      </c>
      <c r="D21" s="92">
        <v>0.89712008988399372</v>
      </c>
      <c r="E21" s="92">
        <v>-5794.2421875</v>
      </c>
      <c r="G21">
        <f>-E21/200</f>
        <v>28.9712109375</v>
      </c>
      <c r="H21" s="2" t="s">
        <v>50</v>
      </c>
    </row>
    <row r="22" spans="1:8" x14ac:dyDescent="0.2">
      <c r="B22" s="92" t="s">
        <v>145</v>
      </c>
      <c r="C22" s="92" t="s">
        <v>146</v>
      </c>
      <c r="D22" s="92">
        <v>0.32257922256875327</v>
      </c>
      <c r="E22" s="92">
        <v>-6290.3111268303128</v>
      </c>
      <c r="G22">
        <f t="shared" ref="G22:G23" si="0">-E22/200</f>
        <v>31.451555634151564</v>
      </c>
      <c r="H22" s="2" t="s">
        <v>50</v>
      </c>
    </row>
    <row r="23" spans="1:8" x14ac:dyDescent="0.2">
      <c r="B23" s="92" t="s">
        <v>147</v>
      </c>
      <c r="C23" s="92" t="s">
        <v>148</v>
      </c>
      <c r="D23" s="92">
        <v>-1.2036461794037643</v>
      </c>
      <c r="E23" s="92">
        <v>-6881.29931640625</v>
      </c>
      <c r="G23">
        <f t="shared" si="0"/>
        <v>34.406496582031252</v>
      </c>
      <c r="H23" s="2" t="s">
        <v>50</v>
      </c>
    </row>
    <row r="24" spans="1:8" x14ac:dyDescent="0.2">
      <c r="B24" s="92" t="s">
        <v>149</v>
      </c>
      <c r="C24" s="92" t="s">
        <v>150</v>
      </c>
      <c r="D24" s="92">
        <v>-1.1319534420228379E-2</v>
      </c>
      <c r="E24" s="92">
        <v>0</v>
      </c>
    </row>
    <row r="25" spans="1:8" x14ac:dyDescent="0.2">
      <c r="B25" s="92" t="s">
        <v>151</v>
      </c>
      <c r="C25" s="92" t="s">
        <v>152</v>
      </c>
      <c r="D25" s="92">
        <v>9.1585199668106396E-2</v>
      </c>
      <c r="E25" s="92">
        <v>0</v>
      </c>
    </row>
    <row r="26" spans="1:8" x14ac:dyDescent="0.2">
      <c r="B26" s="92" t="s">
        <v>153</v>
      </c>
      <c r="C26" s="92" t="s">
        <v>154</v>
      </c>
      <c r="D26" s="92">
        <v>0</v>
      </c>
      <c r="E26" s="92">
        <v>-5.7427786273494341</v>
      </c>
    </row>
    <row r="27" spans="1:8" x14ac:dyDescent="0.2">
      <c r="B27" s="92" t="s">
        <v>155</v>
      </c>
      <c r="C27" s="92" t="s">
        <v>1</v>
      </c>
      <c r="D27" s="92">
        <v>38.352278658634106</v>
      </c>
      <c r="E27" s="92">
        <v>0</v>
      </c>
    </row>
    <row r="28" spans="1:8" x14ac:dyDescent="0.2">
      <c r="B28" s="92" t="s">
        <v>156</v>
      </c>
      <c r="C28" s="92" t="s">
        <v>1</v>
      </c>
      <c r="D28" s="92">
        <v>140.00000009116488</v>
      </c>
      <c r="E28" s="92">
        <v>6.8019771922760057</v>
      </c>
    </row>
    <row r="29" spans="1:8" ht="16" thickBot="1" x14ac:dyDescent="0.25">
      <c r="B29" s="89" t="s">
        <v>157</v>
      </c>
      <c r="C29" s="89" t="s">
        <v>1</v>
      </c>
      <c r="D29" s="89">
        <v>102.25804153330517</v>
      </c>
      <c r="E29" s="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22AB-44A9-4E44-9E4E-CC32C372C6AB}">
  <dimension ref="A1:AD140"/>
  <sheetViews>
    <sheetView tabSelected="1" zoomScale="130" zoomScaleNormal="130" zoomScalePageLayoutView="130" workbookViewId="0">
      <pane ySplit="5" topLeftCell="A7" activePane="bottomLeft" state="frozen"/>
      <selection pane="bottomLeft" activeCell="G21" sqref="G21"/>
    </sheetView>
  </sheetViews>
  <sheetFormatPr baseColWidth="10" defaultColWidth="11.5" defaultRowHeight="15" x14ac:dyDescent="0.2"/>
  <cols>
    <col min="1" max="2" width="8.83203125" customWidth="1"/>
    <col min="3" max="3" width="9.83203125" customWidth="1"/>
    <col min="4" max="4" width="12.5" customWidth="1"/>
    <col min="5" max="6" width="8.83203125" customWidth="1"/>
    <col min="7" max="7" width="8.1640625" customWidth="1"/>
    <col min="8" max="8" width="8.83203125" customWidth="1"/>
    <col min="9" max="9" width="8.33203125" customWidth="1"/>
    <col min="10" max="10" width="5.33203125" customWidth="1"/>
    <col min="11" max="12" width="8.83203125" customWidth="1"/>
    <col min="13" max="13" width="9.6640625" customWidth="1"/>
    <col min="14" max="14" width="3.1640625" customWidth="1"/>
    <col min="15" max="15" width="8.83203125" customWidth="1"/>
    <col min="16" max="16" width="5.1640625" customWidth="1"/>
    <col min="17" max="17" width="1.83203125" customWidth="1"/>
    <col min="18" max="18" width="4.5" customWidth="1"/>
    <col min="19" max="20" width="1.6640625" hidden="1" customWidth="1"/>
    <col min="21" max="22" width="1.1640625" hidden="1" customWidth="1"/>
    <col min="24" max="24" width="4.6640625" customWidth="1"/>
    <col min="26" max="26" width="6.33203125" customWidth="1"/>
    <col min="27" max="27" width="7.5" customWidth="1"/>
  </cols>
  <sheetData>
    <row r="1" spans="1:30" s="2" customFormat="1" x14ac:dyDescent="0.2"/>
    <row r="2" spans="1:30" s="2" customFormat="1" ht="19" x14ac:dyDescent="0.25">
      <c r="E2" s="10" t="s">
        <v>40</v>
      </c>
    </row>
    <row r="3" spans="1:30" s="2" customFormat="1" ht="19" x14ac:dyDescent="0.25">
      <c r="E3" s="67" t="s">
        <v>108</v>
      </c>
    </row>
    <row r="4" spans="1:30" s="2" customFormat="1" x14ac:dyDescent="0.2"/>
    <row r="5" spans="1:30" s="11" customFormat="1" ht="5" customHeight="1" x14ac:dyDescent="0.2"/>
    <row r="6" spans="1:30" s="2" customFormat="1" x14ac:dyDescent="0.2"/>
    <row r="7" spans="1:30" s="2" customFormat="1" x14ac:dyDescent="0.2">
      <c r="A7" s="1" t="s">
        <v>0</v>
      </c>
      <c r="B7" s="1">
        <f>Database!C15</f>
        <v>200</v>
      </c>
      <c r="C7" s="1" t="s">
        <v>1</v>
      </c>
      <c r="G7" s="105" t="s">
        <v>54</v>
      </c>
      <c r="H7" s="105"/>
      <c r="I7" s="105"/>
      <c r="J7" s="105"/>
      <c r="K7" s="105"/>
      <c r="L7" s="105"/>
      <c r="M7" s="105"/>
      <c r="N7" s="105"/>
    </row>
    <row r="8" spans="1:30" s="2" customFormat="1" ht="18" x14ac:dyDescent="0.25">
      <c r="A8" s="7"/>
      <c r="B8" s="7"/>
      <c r="C8" s="7"/>
      <c r="D8" s="7"/>
      <c r="E8" s="7"/>
      <c r="F8" s="7"/>
      <c r="G8" s="4">
        <f>P8/(P8*P8+R8*R8)+P9/(P9*P9+R9*R9)</f>
        <v>3.8461538461538458</v>
      </c>
      <c r="H8" s="3">
        <f>-P8/(P8*P8+R8*R8)</f>
        <v>-1.9230769230769229</v>
      </c>
      <c r="I8" s="3">
        <f>-P9/(P9*P9+R9*R9)</f>
        <v>-1.9230769230769229</v>
      </c>
      <c r="K8" s="5">
        <f>-R8/(P8*P8+R8*R8)-R9/(R9*R9+P9*P9)</f>
        <v>-19.23076923076923</v>
      </c>
      <c r="L8" s="5">
        <f>R8/(R8*R8+P8*P8)</f>
        <v>9.615384615384615</v>
      </c>
      <c r="M8" s="5">
        <f>R9/(R9*R9+P9*P9)</f>
        <v>9.615384615384615</v>
      </c>
      <c r="N8" s="7"/>
      <c r="O8" s="36" t="s">
        <v>25</v>
      </c>
      <c r="P8" s="68">
        <v>0.02</v>
      </c>
      <c r="Q8" s="17" t="s">
        <v>2</v>
      </c>
      <c r="R8" s="35">
        <v>0.1</v>
      </c>
      <c r="X8" s="75" t="str">
        <f>Database!F11</f>
        <v>PGmin</v>
      </c>
      <c r="Y8" s="75" t="str">
        <f>Database!G11</f>
        <v>PGmax</v>
      </c>
      <c r="AA8" s="72" t="s">
        <v>109</v>
      </c>
      <c r="AB8" s="73">
        <f>Database!C21</f>
        <v>123.84829435557245</v>
      </c>
      <c r="AC8" s="71" t="s">
        <v>50</v>
      </c>
      <c r="AD8" s="71"/>
    </row>
    <row r="9" spans="1:30" s="2" customFormat="1" ht="16" x14ac:dyDescent="0.2">
      <c r="A9" s="102" t="s">
        <v>55</v>
      </c>
      <c r="B9" s="102"/>
      <c r="C9" s="106" t="s">
        <v>162</v>
      </c>
      <c r="D9" s="106"/>
      <c r="E9" s="7"/>
      <c r="F9" s="18" t="s">
        <v>30</v>
      </c>
      <c r="G9" s="3">
        <f>_G12</f>
        <v>-1.9230769230769229</v>
      </c>
      <c r="H9" s="3">
        <f>P8/(P8*P8+R8*R8)+P10/(P10*P10+R10*R10)</f>
        <v>3.8461538461538458</v>
      </c>
      <c r="I9" s="3">
        <f>-P10/(P10*P10+R10*R10)</f>
        <v>-1.9230769230769229</v>
      </c>
      <c r="J9" s="60" t="s">
        <v>2</v>
      </c>
      <c r="K9" s="5">
        <f>_B12</f>
        <v>9.615384615384615</v>
      </c>
      <c r="L9" s="5">
        <f>-R8/(R8*R8+P8*P8)-R10/(R10*R10+P10*P10)</f>
        <v>-19.23076923076923</v>
      </c>
      <c r="M9" s="5">
        <f>R10/(R10*R10+P10*P10)</f>
        <v>9.615384615384615</v>
      </c>
      <c r="N9" s="7"/>
      <c r="O9" s="36" t="s">
        <v>26</v>
      </c>
      <c r="P9" s="68">
        <v>0.02</v>
      </c>
      <c r="Q9" s="17" t="s">
        <v>2</v>
      </c>
      <c r="R9" s="35">
        <v>0.1</v>
      </c>
      <c r="X9" s="15" t="str">
        <f>Database!F12</f>
        <v>MW</v>
      </c>
      <c r="Y9" s="15" t="str">
        <f>Database!G12</f>
        <v>MW</v>
      </c>
      <c r="AA9" s="71" t="s">
        <v>110</v>
      </c>
      <c r="AB9" s="73">
        <f>Database!D21</f>
        <v>-0.3715448830667174</v>
      </c>
      <c r="AC9" s="71" t="s">
        <v>111</v>
      </c>
      <c r="AD9" s="71"/>
    </row>
    <row r="10" spans="1:30" s="2" customFormat="1" x14ac:dyDescent="0.2">
      <c r="A10" s="21" t="s">
        <v>33</v>
      </c>
      <c r="B10" s="22">
        <f>Database!J12</f>
        <v>0</v>
      </c>
      <c r="C10" s="97" t="s">
        <v>32</v>
      </c>
      <c r="D10" s="86">
        <v>0.98587633589110202</v>
      </c>
      <c r="E10" s="7"/>
      <c r="F10" s="18" t="s">
        <v>10</v>
      </c>
      <c r="G10" s="3">
        <f>I8</f>
        <v>-1.9230769230769229</v>
      </c>
      <c r="H10" s="3">
        <f>I9</f>
        <v>-1.9230769230769229</v>
      </c>
      <c r="I10" s="3">
        <f>P10/(P10*P10+R10*R10)+P9/(P9*P9+R9*R9)</f>
        <v>3.8461538461538458</v>
      </c>
      <c r="K10" s="5">
        <f>_B13</f>
        <v>9.615384615384615</v>
      </c>
      <c r="L10" s="5">
        <f>_B23</f>
        <v>9.615384615384615</v>
      </c>
      <c r="M10" s="5">
        <f>-R9/(R9*R9+P9*P9)-R10/(R10*R10+P10*P10)</f>
        <v>-19.23076923076923</v>
      </c>
      <c r="O10" s="36" t="s">
        <v>27</v>
      </c>
      <c r="P10" s="68">
        <v>0.02</v>
      </c>
      <c r="Q10" s="17" t="s">
        <v>2</v>
      </c>
      <c r="R10" s="35">
        <v>0.1</v>
      </c>
      <c r="W10" s="36" t="s">
        <v>80</v>
      </c>
      <c r="X10" s="75">
        <f>Database!F13</f>
        <v>0</v>
      </c>
      <c r="Y10" s="75">
        <f>Database!G13</f>
        <v>400</v>
      </c>
    </row>
    <row r="11" spans="1:30" x14ac:dyDescent="0.2">
      <c r="A11" s="21" t="s">
        <v>31</v>
      </c>
      <c r="B11" s="22">
        <f>Database!J13</f>
        <v>1</v>
      </c>
      <c r="C11" s="97" t="s">
        <v>35</v>
      </c>
      <c r="D11" s="86">
        <v>-1.9944507141718984E-2</v>
      </c>
      <c r="E11" s="7"/>
      <c r="F11" s="7"/>
      <c r="G11" s="30"/>
      <c r="H11" s="2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36" t="s">
        <v>81</v>
      </c>
      <c r="X11" s="15">
        <f>Database!F14</f>
        <v>0</v>
      </c>
      <c r="Y11" s="15">
        <f>Database!G14</f>
        <v>300</v>
      </c>
      <c r="Z11" s="2"/>
      <c r="AA11" s="2"/>
      <c r="AB11" s="2"/>
      <c r="AC11" s="2"/>
    </row>
    <row r="12" spans="1:30" x14ac:dyDescent="0.2">
      <c r="A12" s="21" t="s">
        <v>34</v>
      </c>
      <c r="B12" s="22">
        <f>Database!J14</f>
        <v>1</v>
      </c>
      <c r="C12" s="97" t="s">
        <v>36</v>
      </c>
      <c r="D12" s="86">
        <v>-7.1057748857971725E-2</v>
      </c>
      <c r="E12" s="104" t="s">
        <v>56</v>
      </c>
      <c r="F12" s="104"/>
      <c r="H12" s="7"/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x14ac:dyDescent="0.2">
      <c r="A13" s="21" t="s">
        <v>17</v>
      </c>
      <c r="B13" s="22">
        <f>Database!J15</f>
        <v>0</v>
      </c>
      <c r="C13" s="98" t="s">
        <v>11</v>
      </c>
      <c r="D13" s="87">
        <v>0.89712008988399372</v>
      </c>
      <c r="E13" s="88">
        <f>_PG1*Sbase</f>
        <v>179.42401797679875</v>
      </c>
      <c r="F13" s="25" t="s">
        <v>52</v>
      </c>
      <c r="G13" t="s">
        <v>29</v>
      </c>
      <c r="H13" s="7">
        <f>Y10</f>
        <v>400</v>
      </c>
      <c r="I13" s="7" t="s">
        <v>52</v>
      </c>
      <c r="J13" s="7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30" x14ac:dyDescent="0.2">
      <c r="A14" s="21" t="s">
        <v>18</v>
      </c>
      <c r="B14" s="22">
        <f>Database!J16</f>
        <v>0</v>
      </c>
      <c r="C14" s="98" t="s">
        <v>12</v>
      </c>
      <c r="D14" s="87">
        <v>0.32257922256875327</v>
      </c>
      <c r="E14" s="88">
        <f>_PG2*Sbase</f>
        <v>64.51584451375065</v>
      </c>
      <c r="F14" s="25" t="s">
        <v>52</v>
      </c>
      <c r="G14" t="s">
        <v>29</v>
      </c>
      <c r="H14" s="7">
        <f>Y11</f>
        <v>300</v>
      </c>
      <c r="I14" s="7" t="s">
        <v>52</v>
      </c>
      <c r="J14" s="7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30" x14ac:dyDescent="0.2">
      <c r="C15" s="97" t="s">
        <v>14</v>
      </c>
      <c r="D15" s="86">
        <v>-1.1319534420228379E-2</v>
      </c>
      <c r="E15" s="64">
        <f>_QG1*Sbase</f>
        <v>-2.2639068840456757</v>
      </c>
      <c r="F15" s="25" t="s">
        <v>57</v>
      </c>
      <c r="H15" s="7"/>
      <c r="I15" s="7"/>
      <c r="J15" s="7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30" x14ac:dyDescent="0.2">
      <c r="A16" s="21" t="s">
        <v>20</v>
      </c>
      <c r="B16" s="22">
        <f>Database!J18</f>
        <v>0</v>
      </c>
      <c r="C16" s="97" t="s">
        <v>15</v>
      </c>
      <c r="D16" s="86">
        <v>9.1585199668106396E-2</v>
      </c>
      <c r="E16" s="64">
        <f>_QG2*Sbase</f>
        <v>18.317039933621277</v>
      </c>
      <c r="F16" s="25" t="s">
        <v>57</v>
      </c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1" t="s">
        <v>21</v>
      </c>
      <c r="B17" s="22">
        <f>Database!J19</f>
        <v>0</v>
      </c>
      <c r="C17" s="99" t="s">
        <v>19</v>
      </c>
      <c r="D17" s="100">
        <v>1.2036461794037643</v>
      </c>
      <c r="E17" s="109">
        <f>_PD3*Sbase</f>
        <v>240.72923588075287</v>
      </c>
      <c r="F17" s="108" t="s">
        <v>52</v>
      </c>
      <c r="G17" s="7"/>
      <c r="H17" s="7"/>
      <c r="I17" s="7"/>
      <c r="J17" s="7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44">
        <f>H45</f>
        <v>38.352278658634106</v>
      </c>
      <c r="Z17" s="2"/>
      <c r="AA17" s="2"/>
      <c r="AB17" s="2"/>
      <c r="AC17" s="2"/>
      <c r="AD17" s="2"/>
    </row>
    <row r="18" spans="1:30" x14ac:dyDescent="0.2">
      <c r="A18" s="21" t="s">
        <v>22</v>
      </c>
      <c r="B18" s="22">
        <f>Database!J20</f>
        <v>0</v>
      </c>
      <c r="C18" s="7"/>
      <c r="D18" s="7"/>
      <c r="F18" s="7"/>
      <c r="G18" s="7"/>
      <c r="H18" s="7"/>
      <c r="I18" s="7"/>
      <c r="J18" s="7"/>
      <c r="K18" s="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2" t="s">
        <v>52</v>
      </c>
      <c r="Z18" s="2"/>
      <c r="AA18" s="16">
        <f>_PG2*Sbase</f>
        <v>64.51584451375065</v>
      </c>
      <c r="AB18" s="2" t="s">
        <v>52</v>
      </c>
      <c r="AC18" s="2"/>
      <c r="AD18" s="2"/>
    </row>
    <row r="19" spans="1:30" x14ac:dyDescent="0.2">
      <c r="A19" s="21" t="s">
        <v>13</v>
      </c>
      <c r="B19" s="22">
        <f>Database!J21</f>
        <v>0</v>
      </c>
      <c r="C19" s="7"/>
      <c r="D19" s="21" t="s">
        <v>114</v>
      </c>
      <c r="E19" s="93">
        <f>AB8+AB9*_PD3*Sbase</f>
        <v>34.406578559517897</v>
      </c>
      <c r="F19" s="94" t="s">
        <v>50</v>
      </c>
      <c r="G19" s="7"/>
      <c r="H19" s="7"/>
      <c r="I19" s="7"/>
      <c r="J19" s="7"/>
      <c r="K19" s="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66">
        <f>_QG2*Sbase</f>
        <v>18.317039933621277</v>
      </c>
      <c r="AB19" s="2" t="s">
        <v>79</v>
      </c>
      <c r="AC19" s="2"/>
      <c r="AD19" s="2"/>
    </row>
    <row r="20" spans="1:30" x14ac:dyDescent="0.2">
      <c r="A20" s="21" t="s">
        <v>16</v>
      </c>
      <c r="B20" s="22">
        <f>Database!J22</f>
        <v>0</v>
      </c>
      <c r="C20" s="7"/>
      <c r="D20" s="7"/>
      <c r="E20" s="7"/>
      <c r="F20" s="7"/>
      <c r="G20" s="7"/>
      <c r="H20" s="7"/>
      <c r="I20" s="7"/>
      <c r="J20" s="7"/>
      <c r="K20" s="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42">
        <f>_PG1*Sbase</f>
        <v>179.42401797679875</v>
      </c>
      <c r="X20" s="2" t="s">
        <v>52</v>
      </c>
      <c r="Y20" s="2"/>
      <c r="Z20" s="2"/>
      <c r="AA20" s="2"/>
      <c r="AB20" s="2"/>
      <c r="AC20" s="2"/>
      <c r="AD20" s="2"/>
    </row>
    <row r="21" spans="1:30" s="2" customFormat="1" ht="13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W21" s="66">
        <f>_QG1*Sbase</f>
        <v>-2.2639068840456757</v>
      </c>
      <c r="X21" s="7" t="s">
        <v>79</v>
      </c>
      <c r="Y21" s="7"/>
      <c r="Z21" s="7"/>
      <c r="AA21" s="7"/>
    </row>
    <row r="22" spans="1:30" s="7" customFormat="1" ht="13" customHeight="1" x14ac:dyDescent="0.2">
      <c r="A22" s="107" t="s">
        <v>61</v>
      </c>
      <c r="B22" s="107"/>
      <c r="C22" s="107"/>
      <c r="D22" s="107"/>
      <c r="E22" s="107"/>
      <c r="F22" s="19"/>
      <c r="G22" s="19"/>
      <c r="H22" s="19"/>
      <c r="P22" s="2"/>
      <c r="Q22" s="2"/>
      <c r="W22" s="2"/>
      <c r="Y22" s="2"/>
      <c r="Z22" s="45">
        <f>H47</f>
        <v>102.25804153330517</v>
      </c>
      <c r="AA22" s="2" t="s">
        <v>52</v>
      </c>
    </row>
    <row r="23" spans="1:30" s="2" customFormat="1" ht="13" customHeight="1" x14ac:dyDescent="0.2">
      <c r="B23" s="84" t="s">
        <v>60</v>
      </c>
      <c r="C23" s="84" t="s">
        <v>70</v>
      </c>
      <c r="D23" s="84" t="s">
        <v>69</v>
      </c>
      <c r="F23" s="84" t="s">
        <v>68</v>
      </c>
      <c r="H23" s="84" t="s">
        <v>39</v>
      </c>
      <c r="I23" s="34"/>
      <c r="K23" s="7"/>
      <c r="M23" s="7"/>
      <c r="N23" s="7"/>
      <c r="W23" s="65">
        <f>H46</f>
        <v>140.00000009116488</v>
      </c>
      <c r="X23" s="2" t="s">
        <v>52</v>
      </c>
    </row>
    <row r="24" spans="1:30" s="2" customFormat="1" ht="13" customHeight="1" x14ac:dyDescent="0.25">
      <c r="A24" s="18" t="s">
        <v>37</v>
      </c>
      <c r="B24" s="7">
        <f>Database!D13</f>
        <v>20</v>
      </c>
      <c r="C24" s="7">
        <f>Database!E13</f>
        <v>0.05</v>
      </c>
      <c r="D24" s="8">
        <f>Database!C13+$B$24*E13+(1/2)*$C$24*(E13)^2</f>
        <v>4493.3048152094398</v>
      </c>
      <c r="E24" s="2" t="s">
        <v>49</v>
      </c>
      <c r="F24" s="6">
        <f>B24*_PG1+C24</f>
        <v>17.992401797679875</v>
      </c>
      <c r="G24" s="59" t="s">
        <v>93</v>
      </c>
      <c r="H24" s="6">
        <f>'Sensitivity Report 2'!G21</f>
        <v>28.9712109375</v>
      </c>
      <c r="I24" s="2" t="s">
        <v>50</v>
      </c>
      <c r="K24" s="7"/>
      <c r="M24" s="7"/>
      <c r="N24" s="7"/>
    </row>
    <row r="25" spans="1:30" s="2" customFormat="1" ht="13" customHeight="1" x14ac:dyDescent="0.25">
      <c r="A25" s="18" t="s">
        <v>38</v>
      </c>
      <c r="B25" s="7">
        <f>Database!D14</f>
        <v>25</v>
      </c>
      <c r="C25" s="7">
        <f>Database!E14</f>
        <v>0.1</v>
      </c>
      <c r="D25" s="8">
        <f>Database!C14+$B$25*E14+(1/2)*$C$25*(E14)^2</f>
        <v>2021.0108225098888</v>
      </c>
      <c r="E25" s="2" t="s">
        <v>49</v>
      </c>
      <c r="F25" s="6">
        <f>B25*_PG1+C25</f>
        <v>22.528002247099845</v>
      </c>
      <c r="G25" s="59" t="s">
        <v>94</v>
      </c>
      <c r="H25" s="6">
        <f>'Sensitivity Report 2'!G22</f>
        <v>31.451555634151564</v>
      </c>
      <c r="I25" s="2" t="s">
        <v>50</v>
      </c>
      <c r="K25" s="7"/>
      <c r="M25" s="7"/>
      <c r="N25" s="7"/>
      <c r="Q25" s="26"/>
    </row>
    <row r="26" spans="1:30" s="2" customFormat="1" ht="13" customHeight="1" x14ac:dyDescent="0.25">
      <c r="A26" s="18"/>
      <c r="B26" s="2" t="s">
        <v>112</v>
      </c>
      <c r="D26" s="80">
        <f>AB8*_PD3*Sbase+(1/2)*AB9*(_PD3*Sbase)^2</f>
        <v>19048.287315627676</v>
      </c>
      <c r="E26" s="2" t="s">
        <v>49</v>
      </c>
      <c r="F26" s="6"/>
      <c r="G26" s="59" t="s">
        <v>95</v>
      </c>
      <c r="H26" s="6">
        <f>E19</f>
        <v>34.406578559517897</v>
      </c>
      <c r="I26" s="2" t="s">
        <v>50</v>
      </c>
      <c r="K26" s="7"/>
      <c r="M26" s="7"/>
      <c r="N26" s="7"/>
      <c r="Y26" s="101">
        <f>_PD3*Sbase</f>
        <v>240.72923588075287</v>
      </c>
      <c r="Z26" s="2" t="s">
        <v>52</v>
      </c>
    </row>
    <row r="27" spans="1:30" s="2" customFormat="1" ht="13" customHeight="1" x14ac:dyDescent="0.2">
      <c r="A27" s="39" t="s">
        <v>113</v>
      </c>
      <c r="B27" s="40"/>
      <c r="C27" s="7"/>
      <c r="D27" s="41">
        <f>D26-D25-D24</f>
        <v>12533.971677908348</v>
      </c>
      <c r="E27" s="2" t="s">
        <v>49</v>
      </c>
      <c r="F27" s="37" t="s">
        <v>71</v>
      </c>
      <c r="K27" s="7"/>
      <c r="M27" s="7"/>
      <c r="N27" s="7"/>
      <c r="Y27" s="43">
        <f>_QD3*Sbase</f>
        <v>0</v>
      </c>
      <c r="Z27" s="2" t="s">
        <v>79</v>
      </c>
    </row>
    <row r="28" spans="1:30" s="2" customFormat="1" ht="13" customHeight="1" x14ac:dyDescent="0.2">
      <c r="A28" s="38" t="s">
        <v>78</v>
      </c>
      <c r="B28" s="20"/>
      <c r="C28" s="20"/>
      <c r="K28" s="7"/>
      <c r="M28" s="7"/>
      <c r="N28" s="7"/>
    </row>
    <row r="29" spans="1:30" s="2" customFormat="1" ht="13" customHeight="1" x14ac:dyDescent="0.2">
      <c r="B29" s="27" t="s">
        <v>62</v>
      </c>
      <c r="C29" s="28">
        <f>_PG1-_PD1</f>
        <v>0.89712008988399372</v>
      </c>
      <c r="D29" s="31">
        <f>(_V1*_V1*_G11+_V1*_V2*(_G12*COS(_T1-_T2)+_B12*SIN(_T1-_T2))+_V1*_V3*(_G13*COS(_T1-_T3)+_B13*SIN(_T1-_T3)))</f>
        <v>0.89712009019503069</v>
      </c>
      <c r="F29" s="37" t="s">
        <v>72</v>
      </c>
      <c r="K29" s="7"/>
      <c r="M29" s="7"/>
      <c r="N29" s="29"/>
    </row>
    <row r="30" spans="1:30" s="2" customFormat="1" ht="13" customHeight="1" x14ac:dyDescent="0.2">
      <c r="B30" s="27" t="s">
        <v>63</v>
      </c>
      <c r="C30" s="28">
        <f>_PG2-_PD2</f>
        <v>0.32257922256875327</v>
      </c>
      <c r="D30" s="31">
        <f>(_V2*_V2*_G22+_V2*_V1*(_G21*COS(_T2-_T1)+_B21*SIN(_T2-_T1))+_V2*_V3*(_G23*COS(_T2-_T3)+_B23*SIN(_T2-_T3)))</f>
        <v>0.32257915270843296</v>
      </c>
      <c r="F30" s="37" t="s">
        <v>73</v>
      </c>
      <c r="K30" s="7"/>
      <c r="M30" s="7"/>
      <c r="N30" s="29"/>
    </row>
    <row r="31" spans="1:30" s="2" customFormat="1" ht="13" customHeight="1" x14ac:dyDescent="0.2">
      <c r="B31" s="27" t="s">
        <v>64</v>
      </c>
      <c r="C31" s="28">
        <f>_PG3-_PD3</f>
        <v>-1.2036461794037643</v>
      </c>
      <c r="D31" s="31">
        <f>(_V3*_V3*_G33+_V3*_V1*(_G31*COS(_T3-_T1)+_B31*SIN(_T3-_T1))+_V3*_V2*(_G32*COS(_T3-_T2)+_B32*SIN(_T3-_T2)))</f>
        <v>-1.2036461159938021</v>
      </c>
      <c r="F31" s="37" t="s">
        <v>74</v>
      </c>
      <c r="K31" s="7"/>
      <c r="M31" s="29"/>
      <c r="N31" s="7"/>
    </row>
    <row r="32" spans="1:30" s="2" customFormat="1" ht="13" customHeight="1" x14ac:dyDescent="0.2">
      <c r="B32" s="27" t="s">
        <v>65</v>
      </c>
      <c r="C32" s="28">
        <f>_QG1-_QD1</f>
        <v>-1.1319534420228379E-2</v>
      </c>
      <c r="D32" s="31">
        <f>(-_V1*_V1*_B11+_V1*_V2*(_G12*SIN(_T1-_T2)-_B12*COS(_T1-_T2))+_V1*_V3*(_G13*SIN(_T1-_T3)-_B13*COS(_T1-_T3)))</f>
        <v>-1.131954486994502E-2</v>
      </c>
      <c r="F32" s="37" t="s">
        <v>75</v>
      </c>
      <c r="M32" s="7"/>
      <c r="N32" s="7"/>
      <c r="P32" s="8"/>
    </row>
    <row r="33" spans="1:23" s="2" customFormat="1" ht="13" customHeight="1" x14ac:dyDescent="0.2">
      <c r="B33" s="27" t="s">
        <v>66</v>
      </c>
      <c r="C33" s="28">
        <f>_QG2-_QD2</f>
        <v>9.1585199668106396E-2</v>
      </c>
      <c r="D33" s="31">
        <f>(-_V2*_V2*_B22+_V2*_V1*(_G21*SIN(_T2-_T1)-_B21*COS(_T2-_T1))+_V2*_V3*(_G23*SIN(_T2-_T3)-_B23*COS(_T2-_T3)))</f>
        <v>9.1585180450392656E-2</v>
      </c>
      <c r="E33" s="83"/>
      <c r="F33" s="37" t="s">
        <v>76</v>
      </c>
      <c r="H33" s="83"/>
      <c r="I33" s="7"/>
      <c r="K33" s="7"/>
      <c r="L33" s="7"/>
      <c r="M33" s="7"/>
      <c r="N33" s="7"/>
    </row>
    <row r="34" spans="1:23" s="2" customFormat="1" ht="13" customHeight="1" x14ac:dyDescent="0.2">
      <c r="A34"/>
      <c r="B34" s="27" t="s">
        <v>67</v>
      </c>
      <c r="C34" s="28">
        <f>_QG3-_QD3</f>
        <v>0</v>
      </c>
      <c r="D34" s="31">
        <f>(-_V3*_V3*_B33+_V3*_V1*(_G31*SIN(_T3-_T1)-_B31*COS(_T3-_T1))+_V3*_V2*(_G32*SIN(_T3-_T2)-_B32*COS(_T3-_T2)))</f>
        <v>-1.0321379306788003E-9</v>
      </c>
      <c r="E34" s="7"/>
      <c r="F34" s="37" t="s">
        <v>77</v>
      </c>
      <c r="H34" s="7"/>
      <c r="I34" s="7"/>
      <c r="K34" s="7"/>
      <c r="L34" s="7"/>
      <c r="M34" s="7"/>
      <c r="N34" s="7"/>
    </row>
    <row r="35" spans="1:23" s="2" customFormat="1" x14ac:dyDescent="0.2">
      <c r="E35" s="7"/>
      <c r="F35" s="7"/>
      <c r="G35" s="7"/>
      <c r="H35" s="7"/>
      <c r="I35" s="7"/>
      <c r="K35" s="7"/>
      <c r="L35" s="7"/>
      <c r="M35" s="7"/>
      <c r="N35" s="7"/>
    </row>
    <row r="36" spans="1:23" s="2" customFormat="1" x14ac:dyDescent="0.2">
      <c r="A36" s="47"/>
      <c r="B36" s="47" t="s">
        <v>82</v>
      </c>
      <c r="C36" s="15" t="s">
        <v>84</v>
      </c>
      <c r="D36" s="47" t="s">
        <v>85</v>
      </c>
      <c r="E36" s="7"/>
      <c r="F36" s="47"/>
      <c r="G36" s="61" t="s">
        <v>87</v>
      </c>
      <c r="J36" s="47"/>
      <c r="K36" s="47" t="s">
        <v>92</v>
      </c>
      <c r="L36" s="7"/>
      <c r="M36" s="7"/>
      <c r="N36" s="7"/>
    </row>
    <row r="37" spans="1:23" s="2" customFormat="1" x14ac:dyDescent="0.2">
      <c r="A37" s="2" t="s">
        <v>80</v>
      </c>
      <c r="B37" s="46">
        <f>E13*H24</f>
        <v>5198.1310720596284</v>
      </c>
      <c r="C37" s="46">
        <f>D24</f>
        <v>4493.3048152094398</v>
      </c>
      <c r="D37" s="46">
        <f>B37-C37</f>
        <v>704.82625685018866</v>
      </c>
      <c r="E37" s="19"/>
      <c r="F37" s="19" t="s">
        <v>88</v>
      </c>
      <c r="G37" s="19">
        <f>_PD3*Sbase*H26</f>
        <v>8282.6693659038374</v>
      </c>
      <c r="J37" s="19" t="s">
        <v>91</v>
      </c>
      <c r="K37" s="19">
        <f>G39-B39</f>
        <v>1055.4146208357088</v>
      </c>
      <c r="L37" s="7"/>
      <c r="M37" s="7"/>
      <c r="N37" s="7"/>
    </row>
    <row r="38" spans="1:23" s="2" customFormat="1" x14ac:dyDescent="0.2">
      <c r="A38" s="47" t="s">
        <v>81</v>
      </c>
      <c r="B38" s="48">
        <f>E14*H25</f>
        <v>2029.1236730085006</v>
      </c>
      <c r="C38" s="48">
        <f>D25</f>
        <v>2021.0108225098888</v>
      </c>
      <c r="D38" s="48">
        <f t="shared" ref="D38:D39" si="0">B38-C38</f>
        <v>8.112850498611806</v>
      </c>
      <c r="E38" s="19"/>
      <c r="F38" s="47"/>
      <c r="G38" s="47"/>
      <c r="J38" s="48"/>
      <c r="K38" s="47"/>
      <c r="L38" s="7"/>
      <c r="M38" s="7"/>
      <c r="N38" s="7"/>
    </row>
    <row r="39" spans="1:23" s="2" customFormat="1" x14ac:dyDescent="0.2">
      <c r="A39" s="2" t="s">
        <v>83</v>
      </c>
      <c r="B39" s="46">
        <f>SUM(B37:B38)</f>
        <v>7227.2547450681286</v>
      </c>
      <c r="C39" s="46">
        <f>SUM(C37:C38)</f>
        <v>6514.3156377193282</v>
      </c>
      <c r="D39" s="46">
        <f t="shared" si="0"/>
        <v>712.93910734880046</v>
      </c>
      <c r="E39" s="19"/>
      <c r="F39" s="19" t="s">
        <v>83</v>
      </c>
      <c r="G39" s="19">
        <f>G37</f>
        <v>8282.6693659038374</v>
      </c>
      <c r="J39" s="19" t="s">
        <v>83</v>
      </c>
      <c r="K39" s="19">
        <f>G39-B39</f>
        <v>1055.4146208357088</v>
      </c>
      <c r="L39" s="29"/>
      <c r="M39" s="95" t="s">
        <v>161</v>
      </c>
      <c r="N39" s="95"/>
      <c r="O39" s="96"/>
      <c r="P39" s="96"/>
      <c r="Q39" s="96"/>
      <c r="R39" s="96"/>
      <c r="S39" s="96"/>
      <c r="T39" s="96"/>
      <c r="U39" s="96"/>
      <c r="V39" s="96"/>
      <c r="W39" s="96"/>
    </row>
    <row r="40" spans="1:23" s="2" customFormat="1" x14ac:dyDescent="0.2">
      <c r="C40" s="7"/>
      <c r="D40" s="7"/>
      <c r="E40" s="7"/>
      <c r="F40" s="49"/>
      <c r="G40" s="7"/>
      <c r="H40" s="7"/>
      <c r="I40" s="7"/>
      <c r="J40" s="7"/>
      <c r="K40" s="7"/>
      <c r="L40" s="29"/>
      <c r="M40" s="29"/>
      <c r="N40" s="29"/>
      <c r="O40" s="29"/>
      <c r="P40" s="29"/>
      <c r="Q40" s="29"/>
      <c r="R40" s="29"/>
    </row>
    <row r="41" spans="1:23" s="2" customFormat="1" x14ac:dyDescent="0.2">
      <c r="A41" s="7" t="s">
        <v>58</v>
      </c>
      <c r="B41" s="49"/>
      <c r="C41" s="7"/>
      <c r="D41" s="7"/>
      <c r="E41" s="7"/>
      <c r="F41" s="7"/>
      <c r="I41" s="7"/>
      <c r="J41" s="7"/>
      <c r="K41" s="103"/>
      <c r="L41" s="103"/>
    </row>
    <row r="42" spans="1:23" s="2" customFormat="1" x14ac:dyDescent="0.2">
      <c r="A42" s="7" t="s">
        <v>59</v>
      </c>
      <c r="B42" s="83"/>
      <c r="C42" s="83"/>
      <c r="D42" s="83"/>
      <c r="E42" s="83"/>
      <c r="F42" s="83"/>
      <c r="G42" s="83"/>
      <c r="H42" s="83"/>
      <c r="I42" s="7"/>
      <c r="J42" s="7"/>
      <c r="K42" s="7"/>
      <c r="L42" s="7"/>
    </row>
    <row r="43" spans="1:23" s="2" customFormat="1" x14ac:dyDescent="0.2">
      <c r="A43" s="7"/>
      <c r="B43" s="83" t="s">
        <v>3</v>
      </c>
      <c r="C43" s="83" t="s">
        <v>4</v>
      </c>
      <c r="D43" s="83" t="s">
        <v>5</v>
      </c>
      <c r="E43" s="83" t="s">
        <v>6</v>
      </c>
      <c r="F43" s="83" t="s">
        <v>7</v>
      </c>
      <c r="G43" s="83" t="s">
        <v>8</v>
      </c>
      <c r="H43" s="50" t="s">
        <v>9</v>
      </c>
      <c r="I43" s="7"/>
      <c r="J43" s="38" t="s">
        <v>28</v>
      </c>
      <c r="L43" s="103" t="s">
        <v>86</v>
      </c>
      <c r="M43" s="103"/>
    </row>
    <row r="44" spans="1:23" s="2" customFormat="1" x14ac:dyDescent="0.2">
      <c r="A44" s="47"/>
      <c r="B44" s="15" t="s">
        <v>89</v>
      </c>
      <c r="C44" s="15" t="s">
        <v>89</v>
      </c>
      <c r="D44" s="15" t="s">
        <v>89</v>
      </c>
      <c r="E44" s="15" t="s">
        <v>89</v>
      </c>
      <c r="F44" s="15" t="s">
        <v>89</v>
      </c>
      <c r="G44" s="15" t="s">
        <v>89</v>
      </c>
      <c r="H44" s="55" t="s">
        <v>1</v>
      </c>
      <c r="I44" s="15"/>
      <c r="J44" s="56" t="s">
        <v>1</v>
      </c>
      <c r="L44" s="15" t="s">
        <v>23</v>
      </c>
      <c r="M44" s="15" t="s">
        <v>24</v>
      </c>
    </row>
    <row r="45" spans="1:23" s="2" customFormat="1" x14ac:dyDescent="0.2">
      <c r="A45" s="83">
        <v>12</v>
      </c>
      <c r="B45" s="51">
        <f>_V1*_V2*(_G12*COS(_T1-_T2)+_B12*SIN(_T1-_T2))-_G12*_V1*_V1</f>
        <v>0.1921438646194531</v>
      </c>
      <c r="C45" s="51">
        <f>_V1*_V2*(_G12*COS(_T2-_T1)+_B12*SIN(_T2-_T1))-_G12*_V2*_V2</f>
        <v>-0.19137892196688799</v>
      </c>
      <c r="D45" s="51">
        <f>_V1*_V2*(_G12*SIN(_T1-_T2)-_B12*COS(_T1-_T2))+(_B12)*_V1*_V1</f>
        <v>-3.6439922027220462E-2</v>
      </c>
      <c r="E45" s="51">
        <f>_V2*_V1*(_G21*SIN(_T2-_T1)-_B21*COS(_T2-_T1))+(_B21)*_V2*_V2</f>
        <v>4.0264635290046868E-2</v>
      </c>
      <c r="F45" s="51">
        <f>ABS(B45-C45)/2</f>
        <v>0.19176139329317055</v>
      </c>
      <c r="G45" s="51">
        <f>ABS(D45-E45)/2</f>
        <v>3.8352278658633665E-2</v>
      </c>
      <c r="H45" s="81">
        <f>(F45*F45)^0.5*Sbase</f>
        <v>38.352278658634106</v>
      </c>
      <c r="I45" s="83" t="s">
        <v>29</v>
      </c>
      <c r="J45" s="38">
        <v>200</v>
      </c>
      <c r="L45" s="53">
        <f>B45+C45</f>
        <v>7.6494265256510374E-4</v>
      </c>
      <c r="M45" s="53">
        <f>D45+E45</f>
        <v>3.8247132628264069E-3</v>
      </c>
    </row>
    <row r="46" spans="1:23" s="2" customFormat="1" x14ac:dyDescent="0.2">
      <c r="A46" s="83">
        <v>13</v>
      </c>
      <c r="B46" s="51">
        <f>_V1*_V3*(_G13*COS(_T1-_T3)+_B13*SIN(_T1-_T3))-_G13*_V1*_V1</f>
        <v>0.7049762255755776</v>
      </c>
      <c r="C46" s="51">
        <f>_V3*_V1*(_G13*COS(_T3-_T1)+_B13*SIN(_T3-_T1))-_G13*_V3*_V3</f>
        <v>-0.69502377533607129</v>
      </c>
      <c r="D46" s="51">
        <f>_V1*_V3*(_G13*SIN(_T1-_T3)-_B13*COS(_T1-_T3))+(_B13)*_V1*_V1</f>
        <v>2.5120377157275442E-2</v>
      </c>
      <c r="E46" s="51">
        <f>_V3*_V1*(_G31*SIN(_T3-_T1)-_B31*COS(_T3-_T1))+(_B31)*_V3*_V3</f>
        <v>2.4641874040256084E-2</v>
      </c>
      <c r="F46" s="51">
        <f t="shared" ref="F46:F47" si="1">ABS(B46-C46)/2</f>
        <v>0.70000000045582444</v>
      </c>
      <c r="G46" s="51">
        <f t="shared" ref="G46:G47" si="2">ABS(D46-E46)/2</f>
        <v>2.3925155850967883E-4</v>
      </c>
      <c r="H46" s="52">
        <f>(F46*F46)^0.5*Sbase</f>
        <v>140.00000009116488</v>
      </c>
      <c r="I46" s="83" t="s">
        <v>29</v>
      </c>
      <c r="J46" s="38">
        <v>140</v>
      </c>
      <c r="L46" s="53">
        <f>B46+C46</f>
        <v>9.9524502395063053E-3</v>
      </c>
      <c r="M46" s="53">
        <f>D46+E46</f>
        <v>4.9762251197531526E-2</v>
      </c>
    </row>
    <row r="47" spans="1:23" s="2" customFormat="1" x14ac:dyDescent="0.2">
      <c r="A47" s="15">
        <v>23</v>
      </c>
      <c r="B47" s="58">
        <f>_V2*_V3*(_G23*COS(_T2-_T3)+_B23*SIN(_T2-_T3))-_G23*_V2*_V2</f>
        <v>0.51395807467532095</v>
      </c>
      <c r="C47" s="58">
        <f>_V3*_V2*(_G23*COS(_T3-_T2)+_B23*SIN(_T3-_T2))-_G23*_V3*_V3</f>
        <v>-0.50862234065773082</v>
      </c>
      <c r="D47" s="58">
        <f>_V2*_V3*(_G23*SIN(_T2-_T3)-_B23*COS(_T2-_T3))+(_B23)*_V2*_V2</f>
        <v>5.1320545160345787E-2</v>
      </c>
      <c r="E47" s="58">
        <f>_V3*_V2*(_G32*SIN(_T3-_T2)-_B32*COS(_T3-_T2))+(_B32)*_V3*_V3</f>
        <v>-2.4641875072394015E-2</v>
      </c>
      <c r="F47" s="58">
        <f t="shared" si="1"/>
        <v>0.51129020766652589</v>
      </c>
      <c r="G47" s="58">
        <f t="shared" si="2"/>
        <v>3.7981210116369901E-2</v>
      </c>
      <c r="H47" s="82">
        <f>(F47*F47)^0.5*Sbase</f>
        <v>102.25804153330517</v>
      </c>
      <c r="I47" s="15" t="s">
        <v>29</v>
      </c>
      <c r="J47" s="38">
        <v>200</v>
      </c>
      <c r="L47" s="57">
        <f>B47+C47</f>
        <v>5.3357340175901324E-3</v>
      </c>
      <c r="M47" s="57">
        <f>D47+E47</f>
        <v>2.6678670087951772E-2</v>
      </c>
    </row>
    <row r="48" spans="1:23" s="2" customFormat="1" x14ac:dyDescent="0.2">
      <c r="A48" s="7"/>
      <c r="B48" s="54"/>
      <c r="C48" s="54"/>
      <c r="D48" s="54"/>
      <c r="E48" s="54"/>
      <c r="F48" s="7"/>
      <c r="G48" s="7"/>
      <c r="H48" s="7"/>
      <c r="I48" s="7"/>
      <c r="K48" s="7"/>
      <c r="L48" s="53">
        <f>SUM(L45:L47)</f>
        <v>1.6053126909661541E-2</v>
      </c>
      <c r="M48" s="53">
        <f>SUM(M45:M47)</f>
        <v>8.0265634548309706E-2</v>
      </c>
    </row>
    <row r="49" spans="1:30" s="2" customFormat="1" x14ac:dyDescent="0.2">
      <c r="A49" s="7"/>
      <c r="B49" s="54"/>
      <c r="C49" s="7"/>
      <c r="D49" s="54"/>
      <c r="E49" s="7"/>
      <c r="F49" s="7"/>
      <c r="G49" s="7"/>
      <c r="H49" s="7"/>
      <c r="I49" s="7"/>
      <c r="K49" s="7"/>
      <c r="L49" s="19">
        <f>(_PG1+_PG2+_PG3-_PD1-_PD2-_PD3)*Sbase</f>
        <v>3.210626609796563</v>
      </c>
      <c r="M49" s="19">
        <f>(_QG1+_QG2+_QG3-_QD1-_QD2-_QD3)*Sbase</f>
        <v>16.053133049575603</v>
      </c>
    </row>
    <row r="50" spans="1:30" s="2" customFormat="1" x14ac:dyDescent="0.2">
      <c r="C50" s="33"/>
      <c r="L50" s="12" t="s">
        <v>52</v>
      </c>
      <c r="M50" s="12" t="s">
        <v>79</v>
      </c>
    </row>
    <row r="51" spans="1:30" s="2" customFormat="1" x14ac:dyDescent="0.2">
      <c r="C51" s="33"/>
    </row>
    <row r="52" spans="1:30" s="2" customFormat="1" x14ac:dyDescent="0.2">
      <c r="C52" s="33"/>
    </row>
    <row r="53" spans="1:30" x14ac:dyDescent="0.2">
      <c r="A53" s="2"/>
      <c r="B53" s="2"/>
      <c r="C53" s="3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3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3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3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3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3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3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3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</sheetData>
  <mergeCells count="7">
    <mergeCell ref="L43:M43"/>
    <mergeCell ref="G7:N7"/>
    <mergeCell ref="A9:B9"/>
    <mergeCell ref="C9:D9"/>
    <mergeCell ref="E12:F12"/>
    <mergeCell ref="A22:E22"/>
    <mergeCell ref="K41:L4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74</vt:i4>
      </vt:variant>
    </vt:vector>
  </HeadingPairs>
  <TitlesOfParts>
    <vt:vector size="79" baseType="lpstr">
      <vt:lpstr>Database</vt:lpstr>
      <vt:lpstr>Sensitivity Report 1</vt:lpstr>
      <vt:lpstr>DEE no congestion</vt:lpstr>
      <vt:lpstr>Sensitivity Report 2</vt:lpstr>
      <vt:lpstr>DEE congestion TRANSM</vt:lpstr>
      <vt:lpstr>'DEE congestion TRANSM'!_B11</vt:lpstr>
      <vt:lpstr>'DEE no congestion'!_B11</vt:lpstr>
      <vt:lpstr>'DEE congestion TRANSM'!_B12</vt:lpstr>
      <vt:lpstr>'DEE no congestion'!_B12</vt:lpstr>
      <vt:lpstr>'DEE congestion TRANSM'!_B13</vt:lpstr>
      <vt:lpstr>'DEE no congestion'!_B13</vt:lpstr>
      <vt:lpstr>'DEE congestion TRANSM'!_B21</vt:lpstr>
      <vt:lpstr>'DEE no congestion'!_B21</vt:lpstr>
      <vt:lpstr>'DEE congestion TRANSM'!_B22</vt:lpstr>
      <vt:lpstr>'DEE no congestion'!_B22</vt:lpstr>
      <vt:lpstr>'DEE congestion TRANSM'!_B23</vt:lpstr>
      <vt:lpstr>'DEE no congestion'!_B23</vt:lpstr>
      <vt:lpstr>'DEE congestion TRANSM'!_B31</vt:lpstr>
      <vt:lpstr>'DEE no congestion'!_B31</vt:lpstr>
      <vt:lpstr>'DEE congestion TRANSM'!_B32</vt:lpstr>
      <vt:lpstr>'DEE no congestion'!_B32</vt:lpstr>
      <vt:lpstr>'DEE congestion TRANSM'!_B33</vt:lpstr>
      <vt:lpstr>'DEE no congestion'!_B33</vt:lpstr>
      <vt:lpstr>'DEE congestion TRANSM'!_G11</vt:lpstr>
      <vt:lpstr>'DEE no congestion'!_G11</vt:lpstr>
      <vt:lpstr>'DEE congestion TRANSM'!_G12</vt:lpstr>
      <vt:lpstr>'DEE no congestion'!_G12</vt:lpstr>
      <vt:lpstr>'DEE congestion TRANSM'!_G13</vt:lpstr>
      <vt:lpstr>'DEE no congestion'!_G13</vt:lpstr>
      <vt:lpstr>'DEE congestion TRANSM'!_G21</vt:lpstr>
      <vt:lpstr>'DEE no congestion'!_G21</vt:lpstr>
      <vt:lpstr>'DEE congestion TRANSM'!_G22</vt:lpstr>
      <vt:lpstr>'DEE no congestion'!_G22</vt:lpstr>
      <vt:lpstr>'DEE congestion TRANSM'!_G23</vt:lpstr>
      <vt:lpstr>'DEE no congestion'!_G23</vt:lpstr>
      <vt:lpstr>'DEE congestion TRANSM'!_G31</vt:lpstr>
      <vt:lpstr>'DEE no congestion'!_G31</vt:lpstr>
      <vt:lpstr>'DEE congestion TRANSM'!_G32</vt:lpstr>
      <vt:lpstr>'DEE no congestion'!_G32</vt:lpstr>
      <vt:lpstr>'DEE congestion TRANSM'!_G33</vt:lpstr>
      <vt:lpstr>'DEE no congestion'!_G33</vt:lpstr>
      <vt:lpstr>'DEE congestion TRANSM'!_PD1</vt:lpstr>
      <vt:lpstr>'DEE no congestion'!_PD1</vt:lpstr>
      <vt:lpstr>'DEE congestion TRANSM'!_PD2</vt:lpstr>
      <vt:lpstr>'DEE no congestion'!_PD2</vt:lpstr>
      <vt:lpstr>'DEE congestion TRANSM'!_PD3</vt:lpstr>
      <vt:lpstr>'DEE no congestion'!_PD3</vt:lpstr>
      <vt:lpstr>'DEE congestion TRANSM'!_PG1</vt:lpstr>
      <vt:lpstr>'DEE no congestion'!_PG1</vt:lpstr>
      <vt:lpstr>'DEE congestion TRANSM'!_PG2</vt:lpstr>
      <vt:lpstr>'DEE no congestion'!_PG2</vt:lpstr>
      <vt:lpstr>'DEE congestion TRANSM'!_PG3</vt:lpstr>
      <vt:lpstr>'DEE no congestion'!_PG3</vt:lpstr>
      <vt:lpstr>'DEE congestion TRANSM'!_QD1</vt:lpstr>
      <vt:lpstr>'DEE no congestion'!_QD1</vt:lpstr>
      <vt:lpstr>'DEE congestion TRANSM'!_QD2</vt:lpstr>
      <vt:lpstr>'DEE no congestion'!_QD2</vt:lpstr>
      <vt:lpstr>'DEE congestion TRANSM'!_QD3</vt:lpstr>
      <vt:lpstr>'DEE no congestion'!_QD3</vt:lpstr>
      <vt:lpstr>'DEE congestion TRANSM'!_QG1</vt:lpstr>
      <vt:lpstr>'DEE no congestion'!_QG1</vt:lpstr>
      <vt:lpstr>'DEE congestion TRANSM'!_QG2</vt:lpstr>
      <vt:lpstr>'DEE no congestion'!_QG2</vt:lpstr>
      <vt:lpstr>'DEE congestion TRANSM'!_QG3</vt:lpstr>
      <vt:lpstr>'DEE no congestion'!_QG3</vt:lpstr>
      <vt:lpstr>'DEE congestion TRANSM'!_T1</vt:lpstr>
      <vt:lpstr>'DEE no congestion'!_T1</vt:lpstr>
      <vt:lpstr>'DEE congestion TRANSM'!_T2</vt:lpstr>
      <vt:lpstr>'DEE no congestion'!_T2</vt:lpstr>
      <vt:lpstr>'DEE congestion TRANSM'!_T3</vt:lpstr>
      <vt:lpstr>'DEE no congestion'!_T3</vt:lpstr>
      <vt:lpstr>'DEE congestion TRANSM'!_V1</vt:lpstr>
      <vt:lpstr>'DEE no congestion'!_V1</vt:lpstr>
      <vt:lpstr>'DEE congestion TRANSM'!_V2</vt:lpstr>
      <vt:lpstr>'DEE no congestion'!_V2</vt:lpstr>
      <vt:lpstr>'DEE congestion TRANSM'!_V3</vt:lpstr>
      <vt:lpstr>'DEE no congestion'!_V3</vt:lpstr>
      <vt:lpstr>'DEE congestion TRANSM'!Sbase</vt:lpstr>
      <vt:lpstr>Sbase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VEW0313</dc:creator>
  <cp:lastModifiedBy>Paulo Manuel De oliveira de jesus</cp:lastModifiedBy>
  <dcterms:created xsi:type="dcterms:W3CDTF">2017-09-02T16:46:35Z</dcterms:created>
  <dcterms:modified xsi:type="dcterms:W3CDTF">2021-04-05T21:00:32Z</dcterms:modified>
</cp:coreProperties>
</file>