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ELE4109-SistemasdeGestindeEnerga/Documentos compartidos/Contenido del Curso/semana 10 - DEE-OPF/proyecto/"/>
    </mc:Choice>
  </mc:AlternateContent>
  <xr:revisionPtr revIDLastSave="0" documentId="8_{B5E7B201-0C54-2042-B2F5-094BE4FA9D13}" xr6:coauthVersionLast="46" xr6:coauthVersionMax="46" xr10:uidLastSave="{00000000-0000-0000-0000-000000000000}"/>
  <bookViews>
    <workbookView xWindow="0" yWindow="460" windowWidth="38400" windowHeight="23540" activeTab="4" xr2:uid="{4DA1A984-D1F4-6F48-89E4-8555A0E112BF}"/>
  </bookViews>
  <sheets>
    <sheet name="database" sheetId="1" r:id="rId1"/>
    <sheet name="Sensitivity Report 1" sheetId="9" r:id="rId2"/>
    <sheet name="NLP-No congest" sheetId="3" r:id="rId3"/>
    <sheet name="Sensitivity Report 2" sheetId="11" r:id="rId4"/>
    <sheet name="NLP-Congest" sheetId="10" r:id="rId5"/>
    <sheet name="direct" sheetId="2" r:id="rId6"/>
  </sheets>
  <definedNames>
    <definedName name="solver_adj" localSheetId="5" hidden="1">direct!$R$8:$R$19</definedName>
    <definedName name="solver_adj" localSheetId="4" hidden="1">'NLP-Congest'!$G$11:$G$13</definedName>
    <definedName name="solver_adj" localSheetId="2" hidden="1">'NLP-No congest'!$G$11:$G$13</definedName>
    <definedName name="solver_cvg" localSheetId="5" hidden="1">0.0001</definedName>
    <definedName name="solver_cvg" localSheetId="4" hidden="1">0.0001</definedName>
    <definedName name="solver_cvg" localSheetId="2" hidden="1">0.0001</definedName>
    <definedName name="solver_drv" localSheetId="5" hidden="1">1</definedName>
    <definedName name="solver_drv" localSheetId="4" hidden="1">1</definedName>
    <definedName name="solver_drv" localSheetId="2" hidden="1">1</definedName>
    <definedName name="solver_eng" localSheetId="5" hidden="1">1</definedName>
    <definedName name="solver_eng" localSheetId="4" hidden="1">1</definedName>
    <definedName name="solver_eng" localSheetId="2" hidden="1">1</definedName>
    <definedName name="solver_itr" localSheetId="5" hidden="1">2147483647</definedName>
    <definedName name="solver_itr" localSheetId="4" hidden="1">2147483647</definedName>
    <definedName name="solver_itr" localSheetId="2" hidden="1">2147483647</definedName>
    <definedName name="solver_lhs1" localSheetId="5" hidden="1">direct!$U$8:$U$19</definedName>
    <definedName name="solver_lhs1" localSheetId="4" hidden="1">'NLP-Congest'!$G$11:$G$12</definedName>
    <definedName name="solver_lhs1" localSheetId="2" hidden="1">'NLP-No congest'!$G$11:$G$12</definedName>
    <definedName name="solver_lhs2" localSheetId="5" hidden="1">direct!$U$8:$U$19</definedName>
    <definedName name="solver_lhs2" localSheetId="4" hidden="1">'NLP-Congest'!$G$11:$G$12</definedName>
    <definedName name="solver_lhs2" localSheetId="2" hidden="1">'NLP-No congest'!$G$11:$G$12</definedName>
    <definedName name="solver_lhs3" localSheetId="5" hidden="1">direct!$U$8:$U$15</definedName>
    <definedName name="solver_lhs3" localSheetId="4" hidden="1">'NLP-Congest'!$G$13</definedName>
    <definedName name="solver_lhs3" localSheetId="2" hidden="1">'NLP-No congest'!$G$13</definedName>
    <definedName name="solver_lin" localSheetId="5" hidden="1">2</definedName>
    <definedName name="solver_lin" localSheetId="4" hidden="1">2</definedName>
    <definedName name="solver_lin" localSheetId="2" hidden="1">2</definedName>
    <definedName name="solver_mip" localSheetId="5" hidden="1">2147483647</definedName>
    <definedName name="solver_mip" localSheetId="4" hidden="1">2147483647</definedName>
    <definedName name="solver_mip" localSheetId="2" hidden="1">2147483647</definedName>
    <definedName name="solver_mni" localSheetId="5" hidden="1">30</definedName>
    <definedName name="solver_mni" localSheetId="4" hidden="1">30</definedName>
    <definedName name="solver_mni" localSheetId="2" hidden="1">30</definedName>
    <definedName name="solver_mrt" localSheetId="5" hidden="1">0.075</definedName>
    <definedName name="solver_mrt" localSheetId="4" hidden="1">0.075</definedName>
    <definedName name="solver_mrt" localSheetId="2" hidden="1">0.075</definedName>
    <definedName name="solver_msl" localSheetId="5" hidden="1">2</definedName>
    <definedName name="solver_msl" localSheetId="4" hidden="1">2</definedName>
    <definedName name="solver_msl" localSheetId="2" hidden="1">2</definedName>
    <definedName name="solver_neg" localSheetId="5" hidden="1">2</definedName>
    <definedName name="solver_neg" localSheetId="4" hidden="1">1</definedName>
    <definedName name="solver_neg" localSheetId="2" hidden="1">1</definedName>
    <definedName name="solver_nod" localSheetId="5" hidden="1">2147483647</definedName>
    <definedName name="solver_nod" localSheetId="4" hidden="1">2147483647</definedName>
    <definedName name="solver_nod" localSheetId="2" hidden="1">2147483647</definedName>
    <definedName name="solver_num" localSheetId="5" hidden="1">1</definedName>
    <definedName name="solver_num" localSheetId="4" hidden="1">3</definedName>
    <definedName name="solver_num" localSheetId="2" hidden="1">3</definedName>
    <definedName name="solver_opt" localSheetId="4" hidden="1">'NLP-Congest'!$C$8</definedName>
    <definedName name="solver_opt" localSheetId="2" hidden="1">'NLP-No congest'!$C$8</definedName>
    <definedName name="solver_pre" localSheetId="5" hidden="1">0.000001</definedName>
    <definedName name="solver_pre" localSheetId="4" hidden="1">0.000001</definedName>
    <definedName name="solver_pre" localSheetId="2" hidden="1">0.000001</definedName>
    <definedName name="solver_rbv" localSheetId="5" hidden="1">1</definedName>
    <definedName name="solver_rbv" localSheetId="4" hidden="1">1</definedName>
    <definedName name="solver_rbv" localSheetId="2" hidden="1">1</definedName>
    <definedName name="solver_rel1" localSheetId="5" hidden="1">2</definedName>
    <definedName name="solver_rel1" localSheetId="4" hidden="1">1</definedName>
    <definedName name="solver_rel1" localSheetId="2" hidden="1">1</definedName>
    <definedName name="solver_rel2" localSheetId="5" hidden="1">2</definedName>
    <definedName name="solver_rel2" localSheetId="4" hidden="1">3</definedName>
    <definedName name="solver_rel2" localSheetId="2" hidden="1">3</definedName>
    <definedName name="solver_rel3" localSheetId="5" hidden="1">2</definedName>
    <definedName name="solver_rel3" localSheetId="4" hidden="1">2</definedName>
    <definedName name="solver_rel3" localSheetId="2" hidden="1">2</definedName>
    <definedName name="solver_rhs1" localSheetId="5" hidden="1">direct!$X$8:$X$19</definedName>
    <definedName name="solver_rhs1" localSheetId="4" hidden="1">'NLP-Congest'!$O$14:$O$15</definedName>
    <definedName name="solver_rhs1" localSheetId="2" hidden="1">'NLP-No congest'!$O$14:$O$15</definedName>
    <definedName name="solver_rhs2" localSheetId="5" hidden="1">direct!$X$8:$X$19</definedName>
    <definedName name="solver_rhs2" localSheetId="4" hidden="1">'NLP-Congest'!$N$14:$N$15</definedName>
    <definedName name="solver_rhs2" localSheetId="2" hidden="1">'NLP-No congest'!$N$14:$N$15</definedName>
    <definedName name="solver_rhs3" localSheetId="5" hidden="1">direct!$X$8:$X$15</definedName>
    <definedName name="solver_rhs3" localSheetId="4" hidden="1">'NLP-Congest'!$G$10</definedName>
    <definedName name="solver_rhs3" localSheetId="2" hidden="1">'NLP-No congest'!$G$10</definedName>
    <definedName name="solver_rlx" localSheetId="5" hidden="1">2</definedName>
    <definedName name="solver_rlx" localSheetId="4" hidden="1">1</definedName>
    <definedName name="solver_rlx" localSheetId="2" hidden="1">1</definedName>
    <definedName name="solver_rsd" localSheetId="5" hidden="1">0</definedName>
    <definedName name="solver_rsd" localSheetId="4" hidden="1">0</definedName>
    <definedName name="solver_rsd" localSheetId="2" hidden="1">0</definedName>
    <definedName name="solver_scl" localSheetId="5" hidden="1">1</definedName>
    <definedName name="solver_scl" localSheetId="4" hidden="1">2</definedName>
    <definedName name="solver_scl" localSheetId="2" hidden="1">2</definedName>
    <definedName name="solver_sho" localSheetId="5" hidden="1">2</definedName>
    <definedName name="solver_sho" localSheetId="4" hidden="1">2</definedName>
    <definedName name="solver_sho" localSheetId="2" hidden="1">2</definedName>
    <definedName name="solver_ssz" localSheetId="5" hidden="1">100</definedName>
    <definedName name="solver_ssz" localSheetId="4" hidden="1">100</definedName>
    <definedName name="solver_ssz" localSheetId="2" hidden="1">100</definedName>
    <definedName name="solver_tim" localSheetId="5" hidden="1">2147483647</definedName>
    <definedName name="solver_tim" localSheetId="4" hidden="1">2147483647</definedName>
    <definedName name="solver_tim" localSheetId="2" hidden="1">2147483647</definedName>
    <definedName name="solver_tol" localSheetId="5" hidden="1">0.01</definedName>
    <definedName name="solver_tol" localSheetId="4" hidden="1">0.01</definedName>
    <definedName name="solver_tol" localSheetId="2" hidden="1">0.01</definedName>
    <definedName name="solver_typ" localSheetId="5" hidden="1">3</definedName>
    <definedName name="solver_typ" localSheetId="4" hidden="1">1</definedName>
    <definedName name="solver_typ" localSheetId="2" hidden="1">1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er" localSheetId="5" hidden="1">2</definedName>
    <definedName name="solver_ver" localSheetId="4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0" l="1"/>
  <c r="C25" i="10"/>
  <c r="C23" i="10"/>
  <c r="C20" i="1"/>
  <c r="C21" i="1"/>
  <c r="C23" i="1"/>
  <c r="G15" i="10"/>
  <c r="AA23" i="2"/>
  <c r="G10" i="2"/>
  <c r="U8" i="2" a="1"/>
  <c r="U8" i="2"/>
  <c r="U9" i="2"/>
  <c r="U10" i="2"/>
  <c r="U11" i="2"/>
  <c r="U12" i="2"/>
  <c r="U13" i="2"/>
  <c r="U14" i="2"/>
  <c r="U15" i="2"/>
  <c r="AE16" i="2"/>
  <c r="X12" i="2"/>
  <c r="U16" i="2"/>
  <c r="AE17" i="2"/>
  <c r="X13" i="2"/>
  <c r="U17" i="2"/>
  <c r="AD16" i="2"/>
  <c r="X14" i="2"/>
  <c r="U18" i="2"/>
  <c r="AD17" i="2"/>
  <c r="X15" i="2"/>
  <c r="U19" i="2"/>
  <c r="AA22" i="2"/>
  <c r="AC22" i="2"/>
  <c r="AC23" i="2"/>
  <c r="C7" i="2"/>
  <c r="T21" i="2"/>
  <c r="AA16" i="2"/>
  <c r="AB16" i="2"/>
  <c r="AC16" i="2"/>
  <c r="C15" i="2"/>
  <c r="T22" i="2"/>
  <c r="AA17" i="2"/>
  <c r="AB17" i="2"/>
  <c r="AC17" i="2"/>
  <c r="C16" i="2"/>
  <c r="C17" i="2"/>
  <c r="C8" i="2"/>
  <c r="X9" i="2"/>
  <c r="X10" i="2"/>
  <c r="X8" i="2"/>
  <c r="E8" i="2"/>
  <c r="F9" i="2"/>
  <c r="AB23" i="2"/>
  <c r="AB22" i="2"/>
  <c r="G28" i="10"/>
  <c r="K19" i="10"/>
  <c r="K20" i="10"/>
  <c r="C15" i="10"/>
  <c r="K14" i="10"/>
  <c r="L14" i="10"/>
  <c r="M14" i="10"/>
  <c r="C11" i="10"/>
  <c r="C19" i="10"/>
  <c r="C16" i="10"/>
  <c r="K15" i="10"/>
  <c r="L15" i="10"/>
  <c r="M15" i="10"/>
  <c r="C12" i="10"/>
  <c r="C20" i="10"/>
  <c r="C21" i="10"/>
  <c r="L20" i="10"/>
  <c r="L19" i="10"/>
  <c r="C17" i="10"/>
  <c r="N15" i="10"/>
  <c r="N14" i="10"/>
  <c r="O13" i="10"/>
  <c r="N13" i="10"/>
  <c r="C13" i="10"/>
  <c r="O12" i="10"/>
  <c r="N12" i="10"/>
  <c r="G10" i="10"/>
  <c r="C7" i="10"/>
  <c r="C8" i="10"/>
  <c r="G23" i="3"/>
  <c r="C11" i="3"/>
  <c r="K19" i="3"/>
  <c r="K20" i="3"/>
  <c r="G14" i="3"/>
  <c r="G10" i="3"/>
  <c r="C7" i="3"/>
  <c r="K14" i="3"/>
  <c r="L14" i="3"/>
  <c r="M14" i="3"/>
  <c r="K15" i="3"/>
  <c r="L15" i="3"/>
  <c r="M15" i="3"/>
  <c r="C12" i="3"/>
  <c r="C13" i="3"/>
  <c r="C8" i="3"/>
  <c r="L19" i="3"/>
  <c r="L20" i="3"/>
  <c r="D20" i="1"/>
  <c r="N14" i="3"/>
  <c r="N15" i="3"/>
  <c r="T25" i="2"/>
  <c r="T24" i="2"/>
  <c r="J6" i="2"/>
  <c r="H6" i="2"/>
  <c r="N12" i="3"/>
  <c r="O12" i="3"/>
  <c r="N13" i="3"/>
  <c r="O13" i="3"/>
  <c r="AD14" i="2"/>
  <c r="AE14" i="2"/>
  <c r="AD15" i="2"/>
  <c r="AE15" i="2"/>
  <c r="T23" i="2"/>
  <c r="C19" i="2"/>
  <c r="L6" i="2"/>
  <c r="N6" i="2"/>
  <c r="C27" i="2"/>
  <c r="C28" i="2"/>
  <c r="C20" i="2"/>
  <c r="C24" i="2"/>
  <c r="C16" i="3"/>
  <c r="C20" i="3"/>
  <c r="C15" i="3"/>
  <c r="C23" i="2"/>
  <c r="C25" i="2"/>
  <c r="C19" i="3"/>
  <c r="C21" i="3"/>
  <c r="C17" i="3"/>
  <c r="C21" i="2"/>
</calcChain>
</file>

<file path=xl/sharedStrings.xml><?xml version="1.0" encoding="utf-8"?>
<sst xmlns="http://schemas.openxmlformats.org/spreadsheetml/2006/main" count="311" uniqueCount="95">
  <si>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</si>
  <si>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</si>
  <si>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</si>
  <si>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</si>
  <si>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</si>
  <si>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</si>
  <si>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</si>
  <si>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</si>
  <si>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</si>
  <si>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</si>
  <si>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</si>
  <si>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</si>
  <si>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</si>
  <si>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</si>
  <si>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</si>
  <si>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</si>
  <si>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</si>
  <si>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</si>
  <si>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</si>
  <si>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</si>
  <si>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</si>
  <si>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</si>
  <si>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</si>
  <si>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</si>
  <si>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</si>
  <si>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</si>
  <si>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</si>
  <si>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</si>
  <si>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</si>
  <si>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</si>
  <si>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</si>
  <si>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</si>
  <si>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</si>
  <si>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</si>
  <si>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</si>
  <si>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</si>
  <si>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</si>
  <si>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</si>
  <si>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</si>
  <si>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</si>
  <si>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</si>
  <si>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</si>
  <si>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</si>
  <si>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</si>
  <si>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$G$12</t>
  </si>
  <si>
    <t>$G$13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</si>
  <si>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</si>
  <si>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</si>
  <si>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</si>
  <si>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</si>
  <si>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</si>
  <si>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</si>
  <si>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</si>
  <si>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</si>
  <si>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</si>
  <si>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</si>
  <si>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</si>
  <si>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</si>
  <si>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</si>
  <si>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</si>
  <si>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</si>
  <si>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</si>
  <si>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</si>
  <si>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</si>
  <si>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</si>
  <si>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>l</t>
    </r>
    <r>
      <rPr>
        <vertAlign val="subscript"/>
        <sz val="12"/>
        <color theme="1"/>
        <rFont val="Symbol"/>
        <charset val="2"/>
      </rPr>
      <t>0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</si>
  <si>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=4 l</t>
    </r>
    <r>
      <rPr>
        <vertAlign val="subscript"/>
        <sz val="12"/>
        <color theme="1"/>
        <rFont val="Symbol"/>
        <charset val="2"/>
      </rPr>
      <t>0</t>
    </r>
  </si>
  <si>
    <r>
      <t>$/MW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h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</si>
  <si>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 </t>
    </r>
  </si>
  <si>
    <r>
      <t>P</t>
    </r>
    <r>
      <rPr>
        <vertAlign val="subscript"/>
        <sz val="12"/>
        <color theme="1"/>
        <rFont val="Calibri (Body)"/>
      </rPr>
      <t>DO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</si>
  <si>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DO</t>
    </r>
  </si>
  <si>
    <r>
      <t>P</t>
    </r>
    <r>
      <rPr>
        <vertAlign val="subscript"/>
        <sz val="12"/>
        <color theme="1"/>
        <rFont val="Calibri (Body)"/>
      </rPr>
      <t>D</t>
    </r>
  </si>
  <si>
    <t>Demand Benefit</t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</si>
  <si>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</t>
    </r>
  </si>
  <si>
    <t>m=</t>
  </si>
  <si>
    <t>U(PD)</t>
  </si>
  <si>
    <t>SW</t>
  </si>
  <si>
    <t>Worksheet: [E1_Despacho_Economico_Capacidad_Gen_Elastica.xlsx]NLP-No congest</t>
  </si>
  <si>
    <t>Via sensitivity report -------&gt;</t>
  </si>
  <si>
    <t>l=</t>
  </si>
  <si>
    <t>Ejemplo 1: Despacho Económico Básico con restricciones de capacidad de generación (Demanda Elastica)</t>
  </si>
  <si>
    <t>Report Created: 4/2/21 8:39:44 PM</t>
  </si>
  <si>
    <t>PG1 Ejemplo 1: Despacho Económico Básico con restricciones de capacidad de generación (Demanda Elastica)</t>
  </si>
  <si>
    <t>PD Ejemplo 1: Despacho Económico Básico con restricciones de capacidad de generación (Demanda Elastica)</t>
  </si>
  <si>
    <r>
      <t>m</t>
    </r>
    <r>
      <rPr>
        <sz val="12"/>
        <color theme="1"/>
        <rFont val="Calibri (Body)"/>
      </rPr>
      <t>max1</t>
    </r>
  </si>
  <si>
    <r>
      <t>m</t>
    </r>
    <r>
      <rPr>
        <sz val="12"/>
        <color theme="1"/>
        <rFont val="Calibri (Body)"/>
      </rPr>
      <t>max2</t>
    </r>
  </si>
  <si>
    <r>
      <t>m</t>
    </r>
    <r>
      <rPr>
        <sz val="12"/>
        <color theme="1"/>
        <rFont val="Calibri (Body)"/>
      </rPr>
      <t>min1</t>
    </r>
  </si>
  <si>
    <r>
      <t>m</t>
    </r>
    <r>
      <rPr>
        <sz val="12"/>
        <color theme="1"/>
        <rFont val="Calibri (Body)"/>
      </rPr>
      <t>min2</t>
    </r>
  </si>
  <si>
    <t>Worksheet: [E1_Despacho_Economico_Capacidad_Gen_Elastica.xlsx]NLP-Congest</t>
  </si>
  <si>
    <t>Report Created: 4/2/21 8:43:43 PM</t>
  </si>
  <si>
    <t xml:space="preserve">                                                                        </t>
  </si>
  <si>
    <t>elasticity</t>
  </si>
  <si>
    <t>Demand Utility</t>
  </si>
  <si>
    <r>
      <t>U(P</t>
    </r>
    <r>
      <rPr>
        <vertAlign val="sub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>)</t>
    </r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</si>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</sst>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  <scheme val="minor"/>
    </font>
    <font>
      <vertAlign val="subscript"/>
      <sz val="12"/>
      <color theme="1"/>
      <name val="Symbol"/>
      <charset val="2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2" fontId="0" fillId="6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7" borderId="0" xfId="0" applyNumberFormat="1" applyFont="1" applyFill="1"/>
    <xf numFmtId="2" fontId="11" fillId="6" borderId="0" xfId="0" applyNumberFormat="1" applyFont="1" applyFill="1"/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8" borderId="0" xfId="0" applyFont="1" applyFill="1" applyAlignment="1">
      <alignment horizontal="center"/>
    </xf>
    <xf numFmtId="164" fontId="0" fillId="6" borderId="0" xfId="0" applyNumberFormat="1" applyFill="1"/>
    <xf numFmtId="0" fontId="1" fillId="2" borderId="0" xfId="0" applyFont="1" applyFill="1" applyAlignment="1">
      <alignment horizontal="center"/>
    </xf>
    <xf numFmtId="0" fontId="6" fillId="2" borderId="0" xfId="0" applyFont="1" applyFill="1"/>
    <xf numFmtId="2" fontId="0" fillId="2" borderId="0" xfId="0" applyNumberFormat="1" applyFont="1" applyFill="1"/>
    <xf numFmtId="0" fontId="14" fillId="9" borderId="0" xfId="0" applyFont="1" applyFill="1" applyAlignment="1">
      <alignment horizontal="right"/>
    </xf>
    <xf numFmtId="0" fontId="6" fillId="2" borderId="0" xfId="0" applyFont="1" applyFill="1" applyBorder="1"/>
    <xf numFmtId="0" fontId="1" fillId="2" borderId="0" xfId="0" applyFont="1" applyFill="1"/>
    <xf numFmtId="0" fontId="0" fillId="0" borderId="0" xfId="0" applyFont="1" applyFill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2" fontId="0" fillId="2" borderId="0" xfId="0" applyNumberFormat="1" applyFont="1" applyFill="1" applyBorder="1"/>
    <xf numFmtId="0" fontId="0" fillId="2" borderId="0" xfId="0" applyFill="1"/>
    <xf numFmtId="164" fontId="0" fillId="4" borderId="0" xfId="0" applyNumberFormat="1" applyFont="1" applyFill="1" applyAlignment="1">
      <alignment horizontal="center"/>
    </xf>
    <xf numFmtId="164" fontId="0" fillId="5" borderId="0" xfId="0" applyNumberFormat="1" applyFont="1" applyFill="1"/>
    <xf numFmtId="164" fontId="0" fillId="4" borderId="0" xfId="0" applyNumberFormat="1" applyFill="1" applyAlignment="1">
      <alignment horizontal="center"/>
    </xf>
    <xf numFmtId="164" fontId="0" fillId="5" borderId="0" xfId="0" applyNumberFormat="1" applyFill="1"/>
    <xf numFmtId="1" fontId="0" fillId="8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1" fontId="0" fillId="10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801729</xdr:colOff>
      <xdr:row>6</xdr:row>
      <xdr:rowOff>193432</xdr:rowOff>
    </xdr:from>
    <xdr:to>
      <xdr:col>11</xdr:col>
      <xdr:colOff>405424</xdr:colOff>
      <xdr:row>15</xdr:row>
      <xdr:rowOff>17585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9862" y="1361832"/>
          <a:ext cx="2892995" cy="1720686"/>
        </a:xfrm>
        <a:prstGeom prst="rect">
          <a:avLst/>
        </a:prstGeom>
      </xdr:spPr>
    </xdr:pic>
    <xdr:clientData/>
  </xdr:twoCellAnchor>
  <xdr:twoCellAnchor>
    <xdr:from>
      <xdr:col>5</xdr:col>
      <xdr:colOff>135466</xdr:colOff>
      <xdr:row>15</xdr:row>
      <xdr:rowOff>42336</xdr:rowOff>
    </xdr:from>
    <xdr:to>
      <xdr:col>5</xdr:col>
      <xdr:colOff>135466</xdr:colOff>
      <xdr:row>21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6858B73-A6F1-894A-812C-3D060AF64B55}"/>
            </a:ext>
          </a:extLst>
        </xdr:cNvPr>
        <xdr:cNvCxnSpPr/>
      </xdr:nvCxnSpPr>
      <xdr:spPr>
        <a:xfrm flipV="1">
          <a:off x="4284133" y="3107269"/>
          <a:ext cx="0" cy="1354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110067</xdr:rowOff>
    </xdr:from>
    <xdr:to>
      <xdr:col>7</xdr:col>
      <xdr:colOff>381000</xdr:colOff>
      <xdr:row>20</xdr:row>
      <xdr:rowOff>127002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8AA4769-2AB5-4840-9FA3-45278DD4937B}"/>
            </a:ext>
          </a:extLst>
        </xdr:cNvPr>
        <xdr:cNvCxnSpPr/>
      </xdr:nvCxnSpPr>
      <xdr:spPr>
        <a:xfrm flipV="1">
          <a:off x="4148667" y="4292600"/>
          <a:ext cx="2040466" cy="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18</xdr:row>
      <xdr:rowOff>127000</xdr:rowOff>
    </xdr:from>
    <xdr:to>
      <xdr:col>5</xdr:col>
      <xdr:colOff>685800</xdr:colOff>
      <xdr:row>18</xdr:row>
      <xdr:rowOff>127002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0D7AE97-70D1-ED48-A337-320CACBCEF46}"/>
            </a:ext>
          </a:extLst>
        </xdr:cNvPr>
        <xdr:cNvCxnSpPr/>
      </xdr:nvCxnSpPr>
      <xdr:spPr>
        <a:xfrm flipV="1">
          <a:off x="4182534" y="3852333"/>
          <a:ext cx="651933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702733</xdr:colOff>
      <xdr:row>18</xdr:row>
      <xdr:rowOff>127000</xdr:rowOff>
    </xdr:from>
    <xdr:to>
      <xdr:col>5</xdr:col>
      <xdr:colOff>702733</xdr:colOff>
      <xdr:row>21</xdr:row>
      <xdr:rowOff>16934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D55CA51-20AF-F44D-877F-3E9DA3AF3FFC}"/>
            </a:ext>
          </a:extLst>
        </xdr:cNvPr>
        <xdr:cNvCxnSpPr/>
      </xdr:nvCxnSpPr>
      <xdr:spPr>
        <a:xfrm flipV="1">
          <a:off x="4851400" y="3852333"/>
          <a:ext cx="0" cy="550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16</xdr:row>
      <xdr:rowOff>84668</xdr:rowOff>
    </xdr:from>
    <xdr:to>
      <xdr:col>6</xdr:col>
      <xdr:colOff>474133</xdr:colOff>
      <xdr:row>20</xdr:row>
      <xdr:rowOff>93134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4B52665-620B-CA47-8447-BE6E960AAF6F}"/>
            </a:ext>
          </a:extLst>
        </xdr:cNvPr>
        <xdr:cNvCxnSpPr/>
      </xdr:nvCxnSpPr>
      <xdr:spPr>
        <a:xfrm flipH="1" flipV="1">
          <a:off x="4275667" y="3378201"/>
          <a:ext cx="1176866" cy="922866"/>
        </a:xfrm>
        <a:prstGeom prst="straightConnector1">
          <a:avLst/>
        </a:prstGeom>
        <a:ln w="2857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135792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B47AF-880D-EC4A-AB24-CE69F397B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15</xdr:col>
      <xdr:colOff>389467</xdr:colOff>
      <xdr:row>7</xdr:row>
      <xdr:rowOff>67733</xdr:rowOff>
    </xdr:from>
    <xdr:to>
      <xdr:col>19</xdr:col>
      <xdr:colOff>584200</xdr:colOff>
      <xdr:row>15</xdr:row>
      <xdr:rowOff>166006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60230-70D8-9F45-93E2-7D510419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7934" y="1439333"/>
          <a:ext cx="3513666" cy="18508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4</xdr:col>
      <xdr:colOff>67734</xdr:colOff>
      <xdr:row>15</xdr:row>
      <xdr:rowOff>194413</xdr:rowOff>
    </xdr:from>
    <xdr:to>
      <xdr:col>15</xdr:col>
      <xdr:colOff>42333</xdr:colOff>
      <xdr:row>24</xdr:row>
      <xdr:rowOff>13286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9423F0-E26C-E845-BDDF-1971EF3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1334" y="3217013"/>
          <a:ext cx="3513666" cy="1850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H33"/>
  <sheetViews>
    <sheetView zoomScale="150" zoomScaleNormal="150" workbookViewId="0">
      <selection activeCell="B21" sqref="B21"/>
    </sheetView>
  </sheetViews>
  <sheetFormatPr baseColWidth="10" defaultRowHeight="16" x14ac:dyDescent="0.2"/>
  <cols>
    <col min="1" max="7" width="10.83203125" style="4"/>
    <col min="8" max="8" width="8.6640625" style="4" customWidth="1"/>
    <col min="9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D3" s="1" t="s">
        <v>80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46</v>
      </c>
      <c r="G11" s="10" t="s">
        <v>47</v>
      </c>
    </row>
    <row r="12" spans="1:7" s="2" customFormat="1" ht="19" x14ac:dyDescent="0.2">
      <c r="B12" s="11"/>
      <c r="C12" s="10" t="s">
        <v>16</v>
      </c>
      <c r="D12" s="10" t="s">
        <v>18</v>
      </c>
      <c r="E12" s="10" t="s">
        <v>29</v>
      </c>
      <c r="F12" s="10" t="s">
        <v>17</v>
      </c>
      <c r="G12" s="10" t="s">
        <v>17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ht="18" x14ac:dyDescent="0.25">
      <c r="B16" s="2" t="s">
        <v>8</v>
      </c>
      <c r="E16" s="28" t="s">
        <v>12</v>
      </c>
    </row>
    <row r="17" spans="2:8" s="2" customFormat="1" ht="18" x14ac:dyDescent="0.25">
      <c r="E17" s="28" t="s">
        <v>68</v>
      </c>
    </row>
    <row r="18" spans="2:8" s="2" customFormat="1" ht="18" x14ac:dyDescent="0.25">
      <c r="B18" s="2" t="s">
        <v>69</v>
      </c>
      <c r="C18" s="2">
        <v>600</v>
      </c>
      <c r="D18" s="2" t="s">
        <v>17</v>
      </c>
    </row>
    <row r="19" spans="2:8" s="2" customFormat="1" ht="18" x14ac:dyDescent="0.25">
      <c r="B19" s="33" t="s">
        <v>65</v>
      </c>
      <c r="C19" s="34">
        <v>41.666600000000003</v>
      </c>
      <c r="D19" s="2" t="s">
        <v>18</v>
      </c>
      <c r="E19" s="28" t="s">
        <v>65</v>
      </c>
    </row>
    <row r="20" spans="2:8" s="2" customFormat="1" ht="18" x14ac:dyDescent="0.25">
      <c r="B20" s="33" t="s">
        <v>66</v>
      </c>
      <c r="C20" s="34">
        <f>4*C19</f>
        <v>166.66640000000001</v>
      </c>
      <c r="D20" s="2" t="str">
        <f>D19</f>
        <v>$/MWh</v>
      </c>
    </row>
    <row r="21" spans="2:8" s="2" customFormat="1" ht="20" x14ac:dyDescent="0.25">
      <c r="B21" s="2" t="s">
        <v>63</v>
      </c>
      <c r="C21" s="34">
        <f>(C19-C20)/C18</f>
        <v>-0.20833300000000002</v>
      </c>
      <c r="D21" s="2" t="s">
        <v>67</v>
      </c>
      <c r="H21" s="26" t="s">
        <v>71</v>
      </c>
    </row>
    <row r="22" spans="2:8" s="2" customFormat="1" ht="18" x14ac:dyDescent="0.25">
      <c r="F22" s="35" t="s">
        <v>70</v>
      </c>
    </row>
    <row r="23" spans="2:8" s="2" customFormat="1" x14ac:dyDescent="0.2">
      <c r="B23" s="2" t="s">
        <v>91</v>
      </c>
      <c r="C23" s="2">
        <f>(1/C21)*C19/C18</f>
        <v>-0.33333333333333326</v>
      </c>
    </row>
    <row r="24" spans="2:8" s="2" customFormat="1" x14ac:dyDescent="0.2"/>
    <row r="25" spans="2:8" s="2" customFormat="1" x14ac:dyDescent="0.2"/>
    <row r="26" spans="2:8" s="2" customFormat="1" x14ac:dyDescent="0.2"/>
    <row r="27" spans="2:8" s="2" customFormat="1" x14ac:dyDescent="0.2"/>
    <row r="28" spans="2:8" s="2" customFormat="1" x14ac:dyDescent="0.2"/>
    <row r="29" spans="2:8" s="2" customFormat="1" x14ac:dyDescent="0.2"/>
    <row r="30" spans="2:8" s="2" customFormat="1" x14ac:dyDescent="0.2"/>
    <row r="31" spans="2:8" s="2" customFormat="1" x14ac:dyDescent="0.2"/>
    <row r="32" spans="2:8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9A95-2DAC-994B-913B-492B35F384D0}">
  <dimension ref="A1:E1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5" width="12.1640625" bestFit="1" customWidth="1"/>
  </cols>
  <sheetData>
    <row r="1" spans="1:5" x14ac:dyDescent="0.2">
      <c r="A1" s="21" t="s">
        <v>32</v>
      </c>
    </row>
    <row r="2" spans="1:5" x14ac:dyDescent="0.2">
      <c r="A2" s="21" t="s">
        <v>77</v>
      </c>
    </row>
    <row r="3" spans="1:5" x14ac:dyDescent="0.2">
      <c r="A3" s="21" t="s">
        <v>81</v>
      </c>
    </row>
    <row r="6" spans="1:5" ht="17" thickBot="1" x14ac:dyDescent="0.25">
      <c r="A6" t="s">
        <v>33</v>
      </c>
    </row>
    <row r="7" spans="1:5" x14ac:dyDescent="0.2">
      <c r="B7" s="39"/>
      <c r="C7" s="39"/>
      <c r="D7" s="39" t="s">
        <v>36</v>
      </c>
      <c r="E7" s="39" t="s">
        <v>38</v>
      </c>
    </row>
    <row r="8" spans="1:5" ht="17" thickBot="1" x14ac:dyDescent="0.25">
      <c r="B8" s="40" t="s">
        <v>34</v>
      </c>
      <c r="C8" s="40" t="s">
        <v>35</v>
      </c>
      <c r="D8" s="40" t="s">
        <v>37</v>
      </c>
      <c r="E8" s="40" t="s">
        <v>39</v>
      </c>
    </row>
    <row r="9" spans="1:5" x14ac:dyDescent="0.2">
      <c r="B9" s="22" t="s">
        <v>43</v>
      </c>
      <c r="C9" s="22" t="s">
        <v>82</v>
      </c>
      <c r="D9" s="22">
        <v>433.33291304326599</v>
      </c>
      <c r="E9" s="22">
        <v>0</v>
      </c>
    </row>
    <row r="10" spans="1:5" x14ac:dyDescent="0.2">
      <c r="B10" s="22" t="s">
        <v>44</v>
      </c>
      <c r="C10" s="22"/>
      <c r="D10" s="22">
        <v>166.66651561105462</v>
      </c>
      <c r="E10" s="22">
        <v>0</v>
      </c>
    </row>
    <row r="11" spans="1:5" ht="17" thickBot="1" x14ac:dyDescent="0.25">
      <c r="B11" s="23" t="s">
        <v>45</v>
      </c>
      <c r="C11" s="23" t="s">
        <v>83</v>
      </c>
      <c r="D11" s="23">
        <v>599.99942865432047</v>
      </c>
      <c r="E11" s="23">
        <v>0</v>
      </c>
    </row>
    <row r="13" spans="1:5" ht="17" thickBot="1" x14ac:dyDescent="0.25">
      <c r="A13" t="s">
        <v>40</v>
      </c>
    </row>
    <row r="14" spans="1:5" x14ac:dyDescent="0.2">
      <c r="B14" s="39"/>
      <c r="C14" s="39"/>
      <c r="D14" s="39" t="s">
        <v>36</v>
      </c>
      <c r="E14" s="39" t="s">
        <v>41</v>
      </c>
    </row>
    <row r="15" spans="1:5" ht="17" thickBot="1" x14ac:dyDescent="0.25">
      <c r="B15" s="40" t="s">
        <v>34</v>
      </c>
      <c r="C15" s="40" t="s">
        <v>35</v>
      </c>
      <c r="D15" s="40" t="s">
        <v>37</v>
      </c>
      <c r="E15" s="40" t="s">
        <v>42</v>
      </c>
    </row>
    <row r="16" spans="1:5" ht="17" thickBot="1" x14ac:dyDescent="0.25">
      <c r="B16" s="23" t="s">
        <v>45</v>
      </c>
      <c r="C16" s="23" t="s">
        <v>83</v>
      </c>
      <c r="D16" s="23">
        <v>599.99942865432047</v>
      </c>
      <c r="E16" s="23">
        <v>41.666656494140625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G28" sqref="G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62499.876193934113</v>
      </c>
    </row>
    <row r="8" spans="1:15" s="2" customFormat="1" ht="16" customHeight="1" x14ac:dyDescent="0.2">
      <c r="A8" s="37" t="s">
        <v>76</v>
      </c>
      <c r="C8" s="24">
        <f>C7-C13</f>
        <v>43283.233333331867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38" t="s">
        <v>31</v>
      </c>
      <c r="G10" s="34">
        <f>G11+G12</f>
        <v>599.99942865432058</v>
      </c>
      <c r="H10" s="2" t="s">
        <v>17</v>
      </c>
    </row>
    <row r="11" spans="1:15" s="2" customFormat="1" ht="18" x14ac:dyDescent="0.25">
      <c r="A11" s="17" t="s">
        <v>27</v>
      </c>
      <c r="B11" s="17" t="s">
        <v>11</v>
      </c>
      <c r="C11" s="18">
        <f>K14+L14*G11+(1/2)*M14*G11^2</f>
        <v>13461.093599029387</v>
      </c>
      <c r="D11" s="2" t="s">
        <v>16</v>
      </c>
      <c r="E11" s="14" t="s">
        <v>13</v>
      </c>
      <c r="G11" s="25">
        <v>433.33291304326599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9">
        <f>K15+L15*G12+(1/2)*M15*G12^2</f>
        <v>5755.5492615728617</v>
      </c>
      <c r="D12" s="2" t="s">
        <v>16</v>
      </c>
      <c r="E12" s="14" t="s">
        <v>14</v>
      </c>
      <c r="F12" s="2" t="s">
        <v>11</v>
      </c>
      <c r="G12" s="15">
        <v>166.66651561105462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0">
        <f>SUM(C11:C12)</f>
        <v>19216.642860602249</v>
      </c>
      <c r="D13" s="2" t="s">
        <v>16</v>
      </c>
      <c r="E13" s="14" t="s">
        <v>71</v>
      </c>
      <c r="G13" s="14">
        <v>599.99942865432047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0"/>
      <c r="E14" s="13" t="s">
        <v>79</v>
      </c>
      <c r="G14" s="6">
        <f>K19+K20*G13</f>
        <v>41.666719030159456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40000</v>
      </c>
    </row>
    <row r="15" spans="1:15" s="2" customFormat="1" ht="18" x14ac:dyDescent="0.25">
      <c r="A15" s="17" t="s">
        <v>25</v>
      </c>
      <c r="B15" s="17" t="s">
        <v>11</v>
      </c>
      <c r="C15" s="18">
        <f>G14*G11</f>
        <v>18055.560734294282</v>
      </c>
      <c r="D15" s="2" t="s">
        <v>16</v>
      </c>
      <c r="E15" s="13" t="s">
        <v>84</v>
      </c>
      <c r="G15" s="6">
        <v>0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30000</v>
      </c>
    </row>
    <row r="16" spans="1:15" s="2" customFormat="1" ht="18" x14ac:dyDescent="0.25">
      <c r="A16" s="16" t="s">
        <v>26</v>
      </c>
      <c r="B16" s="16" t="s">
        <v>11</v>
      </c>
      <c r="C16" s="19">
        <f>G14*G12</f>
        <v>6944.4468777014972</v>
      </c>
      <c r="D16" s="2" t="s">
        <v>16</v>
      </c>
      <c r="E16" s="13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0">
        <f>SUM(C15:C16)</f>
        <v>25000.007611995781</v>
      </c>
      <c r="D17" s="2" t="s">
        <v>16</v>
      </c>
      <c r="E17" s="13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0"/>
      <c r="E18" s="13" t="s">
        <v>87</v>
      </c>
      <c r="G18" s="6">
        <v>0</v>
      </c>
      <c r="H18" s="2" t="s">
        <v>18</v>
      </c>
      <c r="J18" s="17"/>
      <c r="K18" s="17"/>
      <c r="L18" s="17"/>
    </row>
    <row r="19" spans="1:12" s="2" customFormat="1" ht="18" x14ac:dyDescent="0.25">
      <c r="A19" s="17" t="s">
        <v>23</v>
      </c>
      <c r="B19" s="17" t="s">
        <v>11</v>
      </c>
      <c r="C19" s="18">
        <f>C15-C11</f>
        <v>4594.4671352648948</v>
      </c>
      <c r="D19" s="2" t="s">
        <v>16</v>
      </c>
      <c r="J19" s="36" t="s">
        <v>73</v>
      </c>
      <c r="K19" s="17">
        <f>database!C20</f>
        <v>166.66640000000001</v>
      </c>
      <c r="L19" s="17" t="str">
        <f>database!D20</f>
        <v>$/MWh</v>
      </c>
    </row>
    <row r="20" spans="1:12" s="2" customFormat="1" ht="18" x14ac:dyDescent="0.25">
      <c r="A20" s="16" t="s">
        <v>24</v>
      </c>
      <c r="B20" s="16" t="s">
        <v>11</v>
      </c>
      <c r="C20" s="19">
        <f>C16-C12</f>
        <v>1188.8976161286355</v>
      </c>
      <c r="D20" s="2" t="s">
        <v>16</v>
      </c>
      <c r="J20" s="17" t="s">
        <v>74</v>
      </c>
      <c r="K20" s="17">
        <f>database!C21</f>
        <v>-0.20833300000000002</v>
      </c>
      <c r="L20" s="17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0">
        <f>SUM(C19:C20)</f>
        <v>5783.3647513935302</v>
      </c>
      <c r="D21" s="2" t="s">
        <v>16</v>
      </c>
    </row>
    <row r="22" spans="1:12" s="2" customFormat="1" x14ac:dyDescent="0.2"/>
    <row r="23" spans="1:12" s="2" customFormat="1" x14ac:dyDescent="0.2">
      <c r="A23" s="2" t="s">
        <v>78</v>
      </c>
      <c r="E23" s="13" t="s">
        <v>79</v>
      </c>
      <c r="G23" s="2">
        <f>'Sensitivity Report 1'!E16</f>
        <v>41.666656494140625</v>
      </c>
      <c r="H23" s="2" t="s">
        <v>18</v>
      </c>
    </row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8F6-6A77-5B4F-8A10-C1094CD4BA17}">
  <dimension ref="A1:E16"/>
  <sheetViews>
    <sheetView showGridLines="0" workbookViewId="0">
      <selection activeCell="E16" sqref="E16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21" t="s">
        <v>32</v>
      </c>
    </row>
    <row r="2" spans="1:5" x14ac:dyDescent="0.2">
      <c r="A2" s="21" t="s">
        <v>88</v>
      </c>
    </row>
    <row r="3" spans="1:5" x14ac:dyDescent="0.2">
      <c r="A3" s="21" t="s">
        <v>89</v>
      </c>
    </row>
    <row r="6" spans="1:5" ht="17" thickBot="1" x14ac:dyDescent="0.25">
      <c r="A6" t="s">
        <v>33</v>
      </c>
    </row>
    <row r="7" spans="1:5" x14ac:dyDescent="0.2">
      <c r="B7" s="39"/>
      <c r="C7" s="39"/>
      <c r="D7" s="39" t="s">
        <v>36</v>
      </c>
      <c r="E7" s="39" t="s">
        <v>38</v>
      </c>
    </row>
    <row r="8" spans="1:5" ht="17" thickBot="1" x14ac:dyDescent="0.25">
      <c r="B8" s="40" t="s">
        <v>34</v>
      </c>
      <c r="C8" s="40" t="s">
        <v>35</v>
      </c>
      <c r="D8" s="40" t="s">
        <v>37</v>
      </c>
      <c r="E8" s="40" t="s">
        <v>39</v>
      </c>
    </row>
    <row r="9" spans="1:5" x14ac:dyDescent="0.2">
      <c r="B9" s="22" t="s">
        <v>43</v>
      </c>
      <c r="C9" s="22" t="s">
        <v>82</v>
      </c>
      <c r="D9" s="22">
        <v>400</v>
      </c>
      <c r="E9" s="22">
        <v>3.9188804626464844</v>
      </c>
    </row>
    <row r="10" spans="1:5" x14ac:dyDescent="0.2">
      <c r="B10" s="22" t="s">
        <v>44</v>
      </c>
      <c r="C10" s="22"/>
      <c r="D10" s="22">
        <v>189.18857995004876</v>
      </c>
      <c r="E10" s="22">
        <v>0</v>
      </c>
    </row>
    <row r="11" spans="1:5" ht="17" thickBot="1" x14ac:dyDescent="0.25">
      <c r="B11" s="23" t="s">
        <v>45</v>
      </c>
      <c r="C11" s="23" t="s">
        <v>83</v>
      </c>
      <c r="D11" s="23">
        <v>589.18857995004885</v>
      </c>
      <c r="E11" s="23">
        <v>0</v>
      </c>
    </row>
    <row r="13" spans="1:5" ht="17" thickBot="1" x14ac:dyDescent="0.25">
      <c r="A13" t="s">
        <v>40</v>
      </c>
    </row>
    <row r="14" spans="1:5" x14ac:dyDescent="0.2">
      <c r="B14" s="39"/>
      <c r="C14" s="39"/>
      <c r="D14" s="39" t="s">
        <v>36</v>
      </c>
      <c r="E14" s="39" t="s">
        <v>41</v>
      </c>
    </row>
    <row r="15" spans="1:5" ht="17" thickBot="1" x14ac:dyDescent="0.25">
      <c r="B15" s="40" t="s">
        <v>34</v>
      </c>
      <c r="C15" s="40" t="s">
        <v>35</v>
      </c>
      <c r="D15" s="40" t="s">
        <v>37</v>
      </c>
      <c r="E15" s="40" t="s">
        <v>42</v>
      </c>
    </row>
    <row r="16" spans="1:5" ht="17" thickBot="1" x14ac:dyDescent="0.25">
      <c r="B16" s="23" t="s">
        <v>45</v>
      </c>
      <c r="C16" s="23" t="s">
        <v>83</v>
      </c>
      <c r="D16" s="23">
        <v>589.18857995004885</v>
      </c>
      <c r="E16" s="23">
        <v>43.918869018554688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EF9-E91F-8542-8A37-B7671B601502}">
  <dimension ref="A1:O33"/>
  <sheetViews>
    <sheetView tabSelected="1" zoomScale="150" zoomScaleNormal="150" workbookViewId="0">
      <selection activeCell="G15" sqref="G15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1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62037.249196130295</v>
      </c>
      <c r="D7" s="2" t="s">
        <v>16</v>
      </c>
    </row>
    <row r="8" spans="1:15" s="2" customFormat="1" ht="16" customHeight="1" x14ac:dyDescent="0.2">
      <c r="A8" s="37" t="s">
        <v>76</v>
      </c>
      <c r="C8" s="24">
        <f>C7-C13</f>
        <v>43217.918758203276</v>
      </c>
      <c r="D8" s="2" t="s">
        <v>16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38" t="s">
        <v>31</v>
      </c>
      <c r="G10" s="34">
        <f>G11+G12</f>
        <v>589.18857995004873</v>
      </c>
      <c r="H10" s="2" t="s">
        <v>17</v>
      </c>
    </row>
    <row r="11" spans="1:15" s="2" customFormat="1" ht="18" x14ac:dyDescent="0.25">
      <c r="A11" s="17" t="s">
        <v>27</v>
      </c>
      <c r="B11" s="17" t="s">
        <v>11</v>
      </c>
      <c r="C11" s="18">
        <f>K14+L14*G11+(1/2)*M14*G11^2</f>
        <v>12100</v>
      </c>
      <c r="D11" s="2" t="s">
        <v>16</v>
      </c>
      <c r="E11" s="14" t="s">
        <v>13</v>
      </c>
      <c r="G11" s="25">
        <v>400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9">
        <f>K15+L15*G12+(1/2)*M15*G12^2</f>
        <v>6719.3304379270194</v>
      </c>
      <c r="D12" s="2" t="s">
        <v>16</v>
      </c>
      <c r="E12" s="14" t="s">
        <v>14</v>
      </c>
      <c r="F12" s="2" t="s">
        <v>11</v>
      </c>
      <c r="G12" s="15">
        <v>189.18857995004876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0">
        <f>SUM(C11:C12)</f>
        <v>18819.330437927019</v>
      </c>
      <c r="D13" s="2" t="s">
        <v>16</v>
      </c>
      <c r="E13" s="14" t="s">
        <v>71</v>
      </c>
      <c r="G13" s="14">
        <v>589.18857995004885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0"/>
      <c r="E14" s="13" t="s">
        <v>79</v>
      </c>
      <c r="G14" s="6">
        <f>K19+K20*G13</f>
        <v>43.918975573266479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</v>
      </c>
    </row>
    <row r="15" spans="1:15" s="2" customFormat="1" ht="18" x14ac:dyDescent="0.25">
      <c r="A15" s="17" t="s">
        <v>25</v>
      </c>
      <c r="B15" s="17" t="s">
        <v>11</v>
      </c>
      <c r="C15" s="18">
        <f>G14*G11</f>
        <v>17567.590229306592</v>
      </c>
      <c r="D15" s="2" t="s">
        <v>16</v>
      </c>
      <c r="E15" s="13" t="s">
        <v>84</v>
      </c>
      <c r="G15" s="6">
        <f>-'Sensitivity Report 2'!E9</f>
        <v>-3.9188804626464844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</v>
      </c>
    </row>
    <row r="16" spans="1:15" s="2" customFormat="1" ht="18" x14ac:dyDescent="0.25">
      <c r="A16" s="16" t="s">
        <v>26</v>
      </c>
      <c r="B16" s="16" t="s">
        <v>11</v>
      </c>
      <c r="C16" s="19">
        <f>G14*G12</f>
        <v>8308.9686215671645</v>
      </c>
      <c r="D16" s="2" t="s">
        <v>16</v>
      </c>
      <c r="E16" s="13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0">
        <f>SUM(C15:C16)</f>
        <v>25876.558850873756</v>
      </c>
      <c r="D17" s="2" t="s">
        <v>16</v>
      </c>
      <c r="E17" s="13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0"/>
      <c r="E18" s="13" t="s">
        <v>87</v>
      </c>
      <c r="G18" s="6">
        <v>0</v>
      </c>
      <c r="H18" s="2" t="s">
        <v>18</v>
      </c>
      <c r="J18" s="17"/>
      <c r="K18" s="17"/>
      <c r="L18" s="17"/>
    </row>
    <row r="19" spans="1:12" s="2" customFormat="1" ht="18" x14ac:dyDescent="0.25">
      <c r="A19" s="17" t="s">
        <v>23</v>
      </c>
      <c r="B19" s="17" t="s">
        <v>11</v>
      </c>
      <c r="C19" s="18">
        <f>C15-C11</f>
        <v>5467.5902293065919</v>
      </c>
      <c r="D19" s="2" t="s">
        <v>16</v>
      </c>
      <c r="J19" s="36" t="s">
        <v>73</v>
      </c>
      <c r="K19" s="17">
        <f>database!C20</f>
        <v>166.66640000000001</v>
      </c>
      <c r="L19" s="17" t="str">
        <f>database!D20</f>
        <v>$/MWh</v>
      </c>
    </row>
    <row r="20" spans="1:12" s="2" customFormat="1" ht="18" x14ac:dyDescent="0.25">
      <c r="A20" s="16" t="s">
        <v>24</v>
      </c>
      <c r="B20" s="16" t="s">
        <v>11</v>
      </c>
      <c r="C20" s="19">
        <f>C16-C12</f>
        <v>1589.6381836401451</v>
      </c>
      <c r="D20" s="2" t="s">
        <v>16</v>
      </c>
      <c r="J20" s="17" t="s">
        <v>74</v>
      </c>
      <c r="K20" s="17">
        <f>database!C21</f>
        <v>-0.20833300000000002</v>
      </c>
      <c r="L20" s="17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0">
        <f>SUM(C19:C20)</f>
        <v>7057.2284129467371</v>
      </c>
      <c r="D21" s="2" t="s">
        <v>16</v>
      </c>
    </row>
    <row r="22" spans="1:12" s="2" customFormat="1" x14ac:dyDescent="0.2">
      <c r="A22" s="2" t="s">
        <v>92</v>
      </c>
    </row>
    <row r="23" spans="1:12" s="2" customFormat="1" ht="18" x14ac:dyDescent="0.25">
      <c r="A23" s="2" t="s">
        <v>93</v>
      </c>
      <c r="B23" s="2" t="s">
        <v>11</v>
      </c>
      <c r="C23" s="2">
        <f>K19*G13-0.5*K20*G13^2</f>
        <v>134358.62988664338</v>
      </c>
      <c r="D23" s="2" t="s">
        <v>16</v>
      </c>
    </row>
    <row r="24" spans="1:12" s="2" customFormat="1" x14ac:dyDescent="0.2">
      <c r="A24" s="2" t="s">
        <v>94</v>
      </c>
    </row>
    <row r="25" spans="1:12" s="2" customFormat="1" x14ac:dyDescent="0.2">
      <c r="A25" s="2" t="s">
        <v>76</v>
      </c>
      <c r="C25" s="20">
        <f>C23-C13</f>
        <v>115539.29944871637</v>
      </c>
      <c r="D25" s="2" t="s">
        <v>16</v>
      </c>
    </row>
    <row r="26" spans="1:12" s="2" customFormat="1" x14ac:dyDescent="0.2"/>
    <row r="27" spans="1:12" s="2" customFormat="1" x14ac:dyDescent="0.2"/>
    <row r="28" spans="1:12" s="2" customFormat="1" x14ac:dyDescent="0.2">
      <c r="A28" s="2" t="s">
        <v>78</v>
      </c>
      <c r="E28" s="13" t="s">
        <v>79</v>
      </c>
      <c r="G28" s="2">
        <f>'Sensitivity Report 2'!E16</f>
        <v>43.918869018554688</v>
      </c>
      <c r="H28" s="2" t="s">
        <v>18</v>
      </c>
    </row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E35"/>
  <sheetViews>
    <sheetView topLeftCell="A2" zoomScale="150" zoomScaleNormal="150" workbookViewId="0">
      <selection activeCell="U12" sqref="U12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7" width="5.1640625" style="4" customWidth="1"/>
    <col min="8" max="17" width="4" style="4" customWidth="1"/>
    <col min="18" max="18" width="6.1640625" style="4" customWidth="1"/>
    <col min="19" max="19" width="6" style="29" customWidth="1"/>
    <col min="20" max="20" width="5.1640625" style="4" customWidth="1"/>
    <col min="21" max="21" width="9.1640625" style="4" customWidth="1"/>
    <col min="22" max="22" width="4" style="4" customWidth="1"/>
    <col min="23" max="23" width="4" style="4" hidden="1" customWidth="1"/>
    <col min="24" max="24" width="8.5" style="4" customWidth="1"/>
    <col min="25" max="25" width="10" style="4" customWidth="1"/>
    <col min="26" max="29" width="6.5" style="4" customWidth="1"/>
    <col min="30" max="16384" width="10.83203125" style="4"/>
  </cols>
  <sheetData>
    <row r="1" spans="1:31" s="2" customFormat="1" x14ac:dyDescent="0.2">
      <c r="S1" s="26"/>
    </row>
    <row r="2" spans="1:31" s="2" customFormat="1" ht="19" x14ac:dyDescent="0.25">
      <c r="H2" s="5" t="s">
        <v>0</v>
      </c>
      <c r="S2" s="26"/>
    </row>
    <row r="3" spans="1:31" s="2" customFormat="1" ht="19" x14ac:dyDescent="0.25">
      <c r="H3" s="1" t="s">
        <v>80</v>
      </c>
      <c r="S3" s="26"/>
    </row>
    <row r="4" spans="1:31" s="2" customFormat="1" x14ac:dyDescent="0.2">
      <c r="S4" s="26"/>
    </row>
    <row r="5" spans="1:31" s="3" customFormat="1" ht="5" customHeight="1" x14ac:dyDescent="0.2">
      <c r="S5" s="27"/>
    </row>
    <row r="6" spans="1:31" s="2" customFormat="1" x14ac:dyDescent="0.2">
      <c r="A6" s="2" t="s">
        <v>72</v>
      </c>
      <c r="E6" s="2" t="s">
        <v>49</v>
      </c>
      <c r="F6" s="2">
        <v>2</v>
      </c>
      <c r="H6" s="2">
        <f>3*F6+1</f>
        <v>7</v>
      </c>
      <c r="I6" s="2" t="s">
        <v>50</v>
      </c>
      <c r="J6" s="2">
        <f>2*F6</f>
        <v>4</v>
      </c>
      <c r="K6" s="2" t="s">
        <v>11</v>
      </c>
      <c r="L6" s="2">
        <f>H6+J6</f>
        <v>11</v>
      </c>
      <c r="M6" s="2" t="s">
        <v>51</v>
      </c>
      <c r="N6" s="2">
        <f>L6</f>
        <v>11</v>
      </c>
      <c r="S6" s="26"/>
    </row>
    <row r="7" spans="1:31" s="2" customFormat="1" x14ac:dyDescent="0.2">
      <c r="A7" s="2" t="s">
        <v>75</v>
      </c>
      <c r="C7" s="2">
        <f>AC22*R10+(1/2)*AC23*R10^2</f>
        <v>62037.26594397171</v>
      </c>
      <c r="D7" s="2" t="s">
        <v>16</v>
      </c>
      <c r="I7" s="12" t="s">
        <v>64</v>
      </c>
      <c r="R7" s="32" t="s">
        <v>51</v>
      </c>
      <c r="S7" s="26" t="s">
        <v>11</v>
      </c>
      <c r="U7" s="51" t="s">
        <v>48</v>
      </c>
    </row>
    <row r="8" spans="1:31" s="2" customFormat="1" x14ac:dyDescent="0.2">
      <c r="A8" s="37" t="s">
        <v>76</v>
      </c>
      <c r="C8" s="24">
        <f>C7-C17</f>
        <v>43217.918758225736</v>
      </c>
      <c r="D8" s="2" t="s">
        <v>16</v>
      </c>
      <c r="E8" s="48">
        <f>AC16</f>
        <v>0.05</v>
      </c>
      <c r="F8" s="30">
        <v>0</v>
      </c>
      <c r="G8" s="30">
        <v>0</v>
      </c>
      <c r="H8" s="48">
        <v>-1</v>
      </c>
      <c r="I8" s="48">
        <v>-1</v>
      </c>
      <c r="J8" s="30">
        <v>0</v>
      </c>
      <c r="K8" s="48">
        <v>-1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2">
        <v>1</v>
      </c>
      <c r="R8" s="31">
        <v>400.00000000001381</v>
      </c>
      <c r="S8" s="26" t="s">
        <v>52</v>
      </c>
      <c r="U8" s="43">
        <f t="array" ref="U8:U15">MMULT(E8:P15,R8:R19)</f>
        <v>-20.000000000000732</v>
      </c>
      <c r="X8" s="44">
        <f>-AB16</f>
        <v>-20</v>
      </c>
    </row>
    <row r="9" spans="1:31" s="2" customFormat="1" x14ac:dyDescent="0.2">
      <c r="E9" s="30">
        <v>0</v>
      </c>
      <c r="F9" s="49">
        <f>AC17</f>
        <v>0.1</v>
      </c>
      <c r="G9" s="47">
        <v>0</v>
      </c>
      <c r="H9" s="48">
        <v>-1</v>
      </c>
      <c r="I9" s="30">
        <v>0</v>
      </c>
      <c r="J9" s="48">
        <v>-1</v>
      </c>
      <c r="K9" s="30">
        <v>0</v>
      </c>
      <c r="L9" s="48">
        <v>-1</v>
      </c>
      <c r="M9" s="30">
        <v>0</v>
      </c>
      <c r="N9" s="30">
        <v>0</v>
      </c>
      <c r="O9" s="30">
        <v>0</v>
      </c>
      <c r="P9" s="30">
        <v>0</v>
      </c>
      <c r="Q9" s="2">
        <v>2</v>
      </c>
      <c r="R9" s="31">
        <v>189.18896128535431</v>
      </c>
      <c r="S9" s="26" t="s">
        <v>53</v>
      </c>
      <c r="U9" s="43">
        <v>-24.999999999999996</v>
      </c>
      <c r="X9" s="44">
        <f>-AB17</f>
        <v>-25</v>
      </c>
    </row>
    <row r="10" spans="1:31" s="2" customFormat="1" x14ac:dyDescent="0.2">
      <c r="E10" s="30">
        <v>0</v>
      </c>
      <c r="F10" s="47">
        <v>0</v>
      </c>
      <c r="G10" s="49">
        <f>AA23</f>
        <v>-0.20833300000000002</v>
      </c>
      <c r="H10" s="48">
        <v>-1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2">
        <v>3</v>
      </c>
      <c r="R10" s="31">
        <v>589.18896128536801</v>
      </c>
      <c r="S10" s="26" t="s">
        <v>9</v>
      </c>
      <c r="U10" s="43">
        <v>-166.66640000000001</v>
      </c>
      <c r="X10" s="44">
        <f>-AA22</f>
        <v>-166.66640000000001</v>
      </c>
    </row>
    <row r="11" spans="1:31" s="2" customFormat="1" x14ac:dyDescent="0.2">
      <c r="E11" s="48">
        <v>-1</v>
      </c>
      <c r="F11" s="50">
        <v>-1</v>
      </c>
      <c r="G11" s="50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2">
        <v>4</v>
      </c>
      <c r="R11" s="31">
        <v>43.91889612853543</v>
      </c>
      <c r="S11" s="28" t="s">
        <v>12</v>
      </c>
      <c r="U11" s="43">
        <v>-1.1368683772161603E-13</v>
      </c>
      <c r="X11" s="44">
        <v>0</v>
      </c>
    </row>
    <row r="12" spans="1:31" s="2" customFormat="1" x14ac:dyDescent="0.2">
      <c r="E12" s="48">
        <v>1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48">
        <v>1</v>
      </c>
      <c r="N12" s="30">
        <v>0</v>
      </c>
      <c r="O12" s="30">
        <v>0</v>
      </c>
      <c r="P12" s="30">
        <v>0</v>
      </c>
      <c r="Q12" s="2">
        <v>5</v>
      </c>
      <c r="R12" s="31">
        <v>-3.9188961285340058</v>
      </c>
      <c r="S12" s="28" t="s">
        <v>57</v>
      </c>
      <c r="T12" s="2" t="s">
        <v>59</v>
      </c>
      <c r="U12" s="43">
        <v>399.99999999999056</v>
      </c>
      <c r="X12" s="44">
        <f>AE16</f>
        <v>400</v>
      </c>
    </row>
    <row r="13" spans="1:31" s="2" customFormat="1" x14ac:dyDescent="0.2">
      <c r="E13" s="30">
        <v>0</v>
      </c>
      <c r="F13" s="48">
        <v>1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48">
        <v>1</v>
      </c>
      <c r="O13" s="30">
        <v>0</v>
      </c>
      <c r="P13" s="30">
        <v>0</v>
      </c>
      <c r="Q13" s="2">
        <v>6</v>
      </c>
      <c r="R13" s="31">
        <v>0</v>
      </c>
      <c r="S13" s="28" t="s">
        <v>58</v>
      </c>
      <c r="T13" s="2" t="s">
        <v>59</v>
      </c>
      <c r="U13" s="43">
        <v>300</v>
      </c>
      <c r="X13" s="44">
        <f>AE17</f>
        <v>300</v>
      </c>
      <c r="Z13" s="2" t="s">
        <v>7</v>
      </c>
    </row>
    <row r="14" spans="1:31" s="2" customFormat="1" x14ac:dyDescent="0.2">
      <c r="A14" s="2" t="s">
        <v>19</v>
      </c>
      <c r="E14" s="48">
        <v>1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48">
        <v>-1</v>
      </c>
      <c r="P14" s="30">
        <v>0</v>
      </c>
      <c r="Q14" s="2">
        <v>7</v>
      </c>
      <c r="R14" s="31">
        <v>0</v>
      </c>
      <c r="S14" s="28" t="s">
        <v>57</v>
      </c>
      <c r="T14" s="2" t="s">
        <v>60</v>
      </c>
      <c r="U14" s="43">
        <v>0</v>
      </c>
      <c r="V14" s="2" t="s">
        <v>11</v>
      </c>
      <c r="X14" s="44">
        <f>AD16</f>
        <v>0</v>
      </c>
      <c r="Z14" s="6"/>
      <c r="AA14" s="6"/>
      <c r="AB14" s="6"/>
      <c r="AC14" s="6"/>
      <c r="AD14" s="7" t="str">
        <f>database!F11</f>
        <v>PGmin</v>
      </c>
      <c r="AE14" s="7" t="str">
        <f>database!G11</f>
        <v>PGmax</v>
      </c>
    </row>
    <row r="15" spans="1:31" s="2" customFormat="1" ht="18" x14ac:dyDescent="0.25">
      <c r="A15" s="17" t="s">
        <v>27</v>
      </c>
      <c r="B15" s="17" t="s">
        <v>11</v>
      </c>
      <c r="C15" s="18">
        <f>AA16+AB16*T21+(1/2)*AC16*T21^2</f>
        <v>12100.000000000553</v>
      </c>
      <c r="D15" s="2" t="s">
        <v>16</v>
      </c>
      <c r="E15" s="30">
        <v>0</v>
      </c>
      <c r="F15" s="48">
        <v>1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48">
        <v>-1</v>
      </c>
      <c r="Q15" s="2">
        <v>8</v>
      </c>
      <c r="R15" s="31">
        <v>0</v>
      </c>
      <c r="S15" s="28" t="s">
        <v>58</v>
      </c>
      <c r="T15" s="2" t="s">
        <v>60</v>
      </c>
      <c r="U15" s="43">
        <v>0</v>
      </c>
      <c r="X15" s="44">
        <f>AD17</f>
        <v>0</v>
      </c>
      <c r="Z15" s="10" t="s">
        <v>3</v>
      </c>
      <c r="AA15" s="10" t="s">
        <v>4</v>
      </c>
      <c r="AB15" s="10" t="s">
        <v>5</v>
      </c>
      <c r="AC15" s="10" t="s">
        <v>6</v>
      </c>
      <c r="AD15" s="7" t="str">
        <f>database!F12</f>
        <v>MW</v>
      </c>
      <c r="AE15" s="7" t="str">
        <f>database!G12</f>
        <v>MW</v>
      </c>
    </row>
    <row r="16" spans="1:31" s="2" customFormat="1" ht="18" x14ac:dyDescent="0.25">
      <c r="A16" s="16" t="s">
        <v>28</v>
      </c>
      <c r="B16" s="16" t="s">
        <v>11</v>
      </c>
      <c r="C16" s="19">
        <f>AA17+AB17*T22+(1/2)*AC17*T22^2</f>
        <v>6719.3471857454224</v>
      </c>
      <c r="D16" s="2" t="s">
        <v>16</v>
      </c>
      <c r="Q16" s="2">
        <v>9</v>
      </c>
      <c r="R16" s="31">
        <v>-2.3225372363859294E-11</v>
      </c>
      <c r="S16" s="28" t="s">
        <v>54</v>
      </c>
      <c r="T16" s="42"/>
      <c r="U16" s="45">
        <f>(R8-X12)*R12</f>
        <v>-5.4131519347820552E-11</v>
      </c>
      <c r="V16" s="42"/>
      <c r="W16" s="42"/>
      <c r="X16" s="46">
        <v>0</v>
      </c>
      <c r="Z16" s="8">
        <v>1</v>
      </c>
      <c r="AA16" s="7">
        <f>database!C13</f>
        <v>100</v>
      </c>
      <c r="AB16" s="7">
        <f>database!D13</f>
        <v>20</v>
      </c>
      <c r="AC16" s="7">
        <f>database!E13</f>
        <v>0.05</v>
      </c>
      <c r="AD16" s="7">
        <f>database!F13</f>
        <v>0</v>
      </c>
      <c r="AE16" s="7">
        <f>database!G13</f>
        <v>400</v>
      </c>
    </row>
    <row r="17" spans="1:31" s="2" customFormat="1" ht="18" x14ac:dyDescent="0.25">
      <c r="A17" s="2" t="s">
        <v>15</v>
      </c>
      <c r="B17" s="2" t="s">
        <v>11</v>
      </c>
      <c r="C17" s="20">
        <f>SUM(C15:C16)</f>
        <v>18819.347185745974</v>
      </c>
      <c r="D17" s="2" t="s">
        <v>16</v>
      </c>
      <c r="Q17" s="2">
        <v>10</v>
      </c>
      <c r="R17" s="31">
        <v>110.81103871464572</v>
      </c>
      <c r="S17" s="28" t="s">
        <v>54</v>
      </c>
      <c r="T17" s="42"/>
      <c r="U17" s="45">
        <f>(R9-X13)*R13</f>
        <v>0</v>
      </c>
      <c r="V17" s="42"/>
      <c r="W17" s="42"/>
      <c r="X17" s="46">
        <v>0</v>
      </c>
      <c r="Z17" s="9">
        <v>2</v>
      </c>
      <c r="AA17" s="9">
        <f>database!C14</f>
        <v>200</v>
      </c>
      <c r="AB17" s="9">
        <f>database!D14</f>
        <v>25</v>
      </c>
      <c r="AC17" s="9">
        <f>database!E14</f>
        <v>0.1</v>
      </c>
      <c r="AD17" s="9">
        <f>database!F14</f>
        <v>0</v>
      </c>
      <c r="AE17" s="9">
        <f>database!G14</f>
        <v>300</v>
      </c>
    </row>
    <row r="18" spans="1:31" s="2" customFormat="1" x14ac:dyDescent="0.2">
      <c r="A18" s="2" t="s">
        <v>20</v>
      </c>
      <c r="C18" s="20"/>
      <c r="F18" s="2" t="s">
        <v>10</v>
      </c>
      <c r="Q18" s="2">
        <v>11</v>
      </c>
      <c r="R18" s="31">
        <v>400.00000000001381</v>
      </c>
      <c r="S18" s="28" t="s">
        <v>55</v>
      </c>
      <c r="T18" s="42"/>
      <c r="U18" s="45">
        <f>(R8-X14)*R14</f>
        <v>0</v>
      </c>
      <c r="V18" s="42"/>
      <c r="W18" s="42"/>
      <c r="X18" s="46">
        <v>0</v>
      </c>
    </row>
    <row r="19" spans="1:31" s="2" customFormat="1" ht="18" x14ac:dyDescent="0.25">
      <c r="A19" s="17" t="s">
        <v>25</v>
      </c>
      <c r="B19" s="17" t="s">
        <v>11</v>
      </c>
      <c r="C19" s="18">
        <f>T24*T21</f>
        <v>17567.558451414778</v>
      </c>
      <c r="D19" s="2" t="s">
        <v>16</v>
      </c>
      <c r="F19" s="2" t="s">
        <v>10</v>
      </c>
      <c r="Q19" s="2">
        <v>12</v>
      </c>
      <c r="R19" s="31">
        <v>189.18896128535431</v>
      </c>
      <c r="S19" s="28" t="s">
        <v>56</v>
      </c>
      <c r="T19" s="42"/>
      <c r="U19" s="45">
        <f>(R9-X15)*R15</f>
        <v>0</v>
      </c>
      <c r="V19" s="42"/>
      <c r="W19" s="42"/>
      <c r="X19" s="46">
        <v>0</v>
      </c>
      <c r="Z19" s="2" t="s">
        <v>8</v>
      </c>
    </row>
    <row r="20" spans="1:31" s="2" customFormat="1" ht="18" x14ac:dyDescent="0.25">
      <c r="A20" s="16" t="s">
        <v>26</v>
      </c>
      <c r="B20" s="16" t="s">
        <v>11</v>
      </c>
      <c r="C20" s="19">
        <f>T24*T22</f>
        <v>8308.9703393569871</v>
      </c>
      <c r="D20" s="2" t="s">
        <v>16</v>
      </c>
      <c r="F20" s="2" t="s">
        <v>10</v>
      </c>
      <c r="U20" s="42"/>
      <c r="V20" s="42"/>
      <c r="W20" s="42"/>
      <c r="X20" s="42"/>
    </row>
    <row r="21" spans="1:31" s="2" customFormat="1" ht="18" x14ac:dyDescent="0.25">
      <c r="A21" s="2" t="s">
        <v>21</v>
      </c>
      <c r="B21" s="2" t="s">
        <v>11</v>
      </c>
      <c r="C21" s="20">
        <f>SUM(C19:C20)</f>
        <v>25876.528790771765</v>
      </c>
      <c r="D21" s="2" t="s">
        <v>16</v>
      </c>
      <c r="F21" s="2" t="s">
        <v>10</v>
      </c>
      <c r="S21" s="14" t="s">
        <v>13</v>
      </c>
      <c r="T21" s="2">
        <f>R8</f>
        <v>400.00000000001381</v>
      </c>
      <c r="U21" s="2" t="s">
        <v>17</v>
      </c>
    </row>
    <row r="22" spans="1:31" s="2" customFormat="1" ht="18" x14ac:dyDescent="0.25">
      <c r="A22" s="2" t="s">
        <v>22</v>
      </c>
      <c r="C22" s="20"/>
      <c r="F22" s="2" t="s">
        <v>10</v>
      </c>
      <c r="S22" s="14" t="s">
        <v>14</v>
      </c>
      <c r="T22" s="2">
        <f>R9</f>
        <v>189.18896128535431</v>
      </c>
      <c r="U22" s="2" t="s">
        <v>17</v>
      </c>
      <c r="Z22" s="36" t="s">
        <v>73</v>
      </c>
      <c r="AA22" s="41">
        <f>database!C20</f>
        <v>166.66640000000001</v>
      </c>
      <c r="AB22" s="41" t="str">
        <f>database!D20</f>
        <v>$/MWh</v>
      </c>
      <c r="AC22" s="34">
        <f>AA22</f>
        <v>166.66640000000001</v>
      </c>
    </row>
    <row r="23" spans="1:31" s="2" customFormat="1" ht="18" x14ac:dyDescent="0.25">
      <c r="A23" s="17" t="s">
        <v>23</v>
      </c>
      <c r="B23" s="17" t="s">
        <v>11</v>
      </c>
      <c r="C23" s="18">
        <f>C19-C15</f>
        <v>5467.5584514142247</v>
      </c>
      <c r="D23" s="2" t="s">
        <v>16</v>
      </c>
      <c r="F23" s="2" t="s">
        <v>10</v>
      </c>
      <c r="I23" s="2" t="s">
        <v>90</v>
      </c>
      <c r="S23" s="6" t="s">
        <v>31</v>
      </c>
      <c r="T23" s="2">
        <f>SUM(T21:T22)</f>
        <v>589.18896128536812</v>
      </c>
      <c r="U23" s="2" t="s">
        <v>17</v>
      </c>
      <c r="Z23" s="17" t="s">
        <v>74</v>
      </c>
      <c r="AA23" s="41">
        <f>database!C21</f>
        <v>-0.20833300000000002</v>
      </c>
      <c r="AB23" s="41" t="str">
        <f>database!D21</f>
        <v>$/MW2h</v>
      </c>
      <c r="AC23" s="34">
        <f>AA23</f>
        <v>-0.20833300000000002</v>
      </c>
    </row>
    <row r="24" spans="1:31" s="2" customFormat="1" ht="18" x14ac:dyDescent="0.25">
      <c r="A24" s="16" t="s">
        <v>24</v>
      </c>
      <c r="B24" s="16" t="s">
        <v>11</v>
      </c>
      <c r="C24" s="19">
        <f>C20-C16</f>
        <v>1589.6231536115647</v>
      </c>
      <c r="D24" s="2" t="s">
        <v>16</v>
      </c>
      <c r="F24" s="2" t="s">
        <v>10</v>
      </c>
      <c r="S24" s="13" t="s">
        <v>12</v>
      </c>
      <c r="T24" s="2">
        <f>R11</f>
        <v>43.91889612853543</v>
      </c>
      <c r="U24" s="2" t="s">
        <v>18</v>
      </c>
    </row>
    <row r="25" spans="1:31" s="2" customFormat="1" ht="18" x14ac:dyDescent="0.25">
      <c r="A25" s="2" t="s">
        <v>30</v>
      </c>
      <c r="B25" s="2" t="s">
        <v>11</v>
      </c>
      <c r="C25" s="20">
        <f>SUM(C23:C24)</f>
        <v>7057.1816050257894</v>
      </c>
      <c r="D25" s="2" t="s">
        <v>16</v>
      </c>
      <c r="S25" s="13" t="s">
        <v>57</v>
      </c>
      <c r="T25" s="2">
        <f>R12</f>
        <v>-3.9188961285340058</v>
      </c>
      <c r="U25" s="2" t="s">
        <v>18</v>
      </c>
    </row>
    <row r="26" spans="1:31" s="2" customFormat="1" x14ac:dyDescent="0.2"/>
    <row r="27" spans="1:31" s="2" customFormat="1" ht="18" x14ac:dyDescent="0.25">
      <c r="A27" s="17" t="s">
        <v>61</v>
      </c>
      <c r="B27" s="17" t="s">
        <v>11</v>
      </c>
      <c r="C27" s="18">
        <f>AB16+AC16*T21</f>
        <v>40.000000000000696</v>
      </c>
      <c r="D27" s="2" t="s">
        <v>16</v>
      </c>
    </row>
    <row r="28" spans="1:31" s="2" customFormat="1" ht="18" x14ac:dyDescent="0.25">
      <c r="A28" s="16" t="s">
        <v>62</v>
      </c>
      <c r="B28" s="16" t="s">
        <v>11</v>
      </c>
      <c r="C28" s="19">
        <f>AB17+AC17*T22</f>
        <v>43.918896128535437</v>
      </c>
      <c r="D28" s="2" t="s">
        <v>16</v>
      </c>
    </row>
    <row r="29" spans="1:31" s="2" customFormat="1" x14ac:dyDescent="0.2"/>
    <row r="30" spans="1:31" s="2" customFormat="1" x14ac:dyDescent="0.2"/>
    <row r="31" spans="1:31" s="2" customFormat="1" x14ac:dyDescent="0.2">
      <c r="S31" s="26"/>
    </row>
    <row r="32" spans="1:31" s="2" customFormat="1" x14ac:dyDescent="0.2">
      <c r="S32" s="26"/>
    </row>
    <row r="33" spans="19:19" s="2" customFormat="1" x14ac:dyDescent="0.2">
      <c r="S33" s="26"/>
    </row>
    <row r="34" spans="19:19" s="2" customFormat="1" x14ac:dyDescent="0.2">
      <c r="S34" s="26"/>
    </row>
    <row r="35" spans="19:19" s="2" customFormat="1" x14ac:dyDescent="0.2">
      <c r="S35" s="26"/>
    </row>
  </sheetData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2D8D28642E40AE7B2B917DF21BBF" ma:contentTypeVersion="9" ma:contentTypeDescription="Create a new document." ma:contentTypeScope="" ma:versionID="a2cc84ac15eb50a33062b10fc3bb7aec">
  <xsd:schema xmlns:xsd="http://www.w3.org/2001/XMLSchema" xmlns:xs="http://www.w3.org/2001/XMLSchema" xmlns:p="http://schemas.microsoft.com/office/2006/metadata/properties" xmlns:ns2="7ebc1fbb-280b-45cf-8e70-f42b5db0300a" targetNamespace="http://schemas.microsoft.com/office/2006/metadata/properties" ma:root="true" ma:fieldsID="e155171a52450e89fe16a76a4ce57ab0" ns2:_="">
    <xsd:import namespace="7ebc1fbb-280b-45cf-8e70-f42b5db03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1fbb-280b-45cf-8e70-f42b5db03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2C2DC-CA8E-4987-A383-B535AD2C09FC}"/>
</file>

<file path=customXml/itemProps2.xml><?xml version="1.0" encoding="utf-8"?>
<ds:datastoreItem xmlns:ds="http://schemas.openxmlformats.org/officeDocument/2006/customXml" ds:itemID="{A8E591CC-CCBE-4934-907B-2402CE987AE9}"/>
</file>

<file path=customXml/itemProps3.xml><?xml version="1.0" encoding="utf-8"?>
<ds:datastoreItem xmlns:ds="http://schemas.openxmlformats.org/officeDocument/2006/customXml" ds:itemID="{A2B425AB-E738-4C13-8285-900CED0B9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Sensitivity Report 1</vt:lpstr>
      <vt:lpstr>NLP-No congest</vt:lpstr>
      <vt:lpstr>Sensitivity Report 2</vt:lpstr>
      <vt:lpstr>NLP-Congest</vt:lpstr>
      <vt:lpstr>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2021-05-08T20:29:56Z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0x01010007192D8D28642E40AE7B2B917DF21BBF</vt:lpwstr>
  </property>
</Properties>
</file>