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HTC/"/>
    </mc:Choice>
  </mc:AlternateContent>
  <xr:revisionPtr revIDLastSave="3499" documentId="11_A37A89073CE4F788F15F8314552FDBE8DD53D1B4" xr6:coauthVersionLast="45" xr6:coauthVersionMax="46" xr10:uidLastSave="{07A3448C-A861-4D4D-85C8-8CAA8B0CED02}"/>
  <bookViews>
    <workbookView xWindow="-120" yWindow="-120" windowWidth="20730" windowHeight="11160" firstSheet="2" activeTab="2" xr2:uid="{00000000-000D-0000-FFFF-FFFF00000000}"/>
  </bookViews>
  <sheets>
    <sheet name="Dataset" sheetId="40" r:id="rId1"/>
    <sheet name="HTC CP1" sheetId="11" r:id="rId2"/>
    <sheet name="HTC CP2" sheetId="31" r:id="rId3"/>
    <sheet name="HTC CP3" sheetId="33" r:id="rId4"/>
    <sheet name="HTC CP4" sheetId="34" r:id="rId5"/>
    <sheet name="4" sheetId="35" r:id="rId6"/>
    <sheet name="3" sheetId="36" r:id="rId7"/>
    <sheet name="2" sheetId="32" r:id="rId8"/>
    <sheet name="1" sheetId="30" r:id="rId9"/>
    <sheet name="ResumenGlobal" sheetId="10" r:id="rId10"/>
    <sheet name="R4" sheetId="39" r:id="rId11"/>
    <sheet name="R3" sheetId="38" r:id="rId12"/>
    <sheet name="R2" sheetId="37" r:id="rId13"/>
  </sheets>
  <definedNames>
    <definedName name="solver_adj" localSheetId="1" hidden="1">'HTC CP1'!$C$21:$C$30</definedName>
    <definedName name="solver_adj" localSheetId="2" hidden="1">'HTC CP2'!$C$21:$C$30</definedName>
    <definedName name="solver_adj" localSheetId="3" hidden="1">'HTC CP3'!$C$21:$C$30</definedName>
    <definedName name="solver_adj" localSheetId="4" hidden="1">'HTC CP4'!$C$21:$C$30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lhs1" localSheetId="1" hidden="1">'HTC CP1'!$C$21:$C$28</definedName>
    <definedName name="solver_lhs1" localSheetId="2" hidden="1">'HTC CP2'!$C$21:$C$28</definedName>
    <definedName name="solver_lhs1" localSheetId="3" hidden="1">'HTC CP3'!$C$21:$C$28</definedName>
    <definedName name="solver_lhs1" localSheetId="4" hidden="1">'HTC CP4'!$C$21:$C$28</definedName>
    <definedName name="solver_lhs2" localSheetId="1" hidden="1">'HTC CP1'!$C$21:$C$30</definedName>
    <definedName name="solver_lhs2" localSheetId="2" hidden="1">'HTC CP2'!$C$21:$C$30</definedName>
    <definedName name="solver_lhs2" localSheetId="3" hidden="1">'HTC CP3'!$C$21:$C$30</definedName>
    <definedName name="solver_lhs2" localSheetId="4" hidden="1">'HTC CP4'!$C$21:$C$30</definedName>
    <definedName name="solver_lhs3" localSheetId="1" hidden="1">'HTC CP1'!$D$13:$D$14</definedName>
    <definedName name="solver_lhs3" localSheetId="2" hidden="1">'HTC CP2'!$D$13:$D$14</definedName>
    <definedName name="solver_lhs3" localSheetId="3" hidden="1">'HTC CP3'!$D$13:$D$14</definedName>
    <definedName name="solver_lhs3" localSheetId="4" hidden="1">'HTC CP4'!$D$13:$D$14</definedName>
    <definedName name="solver_lhs4" localSheetId="1" hidden="1">'HTC CP1'!$G$7:$G$10</definedName>
    <definedName name="solver_lhs4" localSheetId="2" hidden="1">'HTC CP2'!$G$7:$G$10</definedName>
    <definedName name="solver_lhs4" localSheetId="3" hidden="1">'HTC CP3'!$G$7:$G$10</definedName>
    <definedName name="solver_lhs4" localSheetId="4" hidden="1">'HTC CP4'!$G$7:$G$10</definedName>
    <definedName name="solver_lhs5" localSheetId="1" hidden="1">'HTC CP1'!#REF!</definedName>
    <definedName name="solver_lhs5" localSheetId="2" hidden="1">'HTC CP2'!#REF!</definedName>
    <definedName name="solver_lhs5" localSheetId="3" hidden="1">'HTC CP3'!#REF!</definedName>
    <definedName name="solver_lhs5" localSheetId="4" hidden="1">'HTC CP4'!#REF!</definedName>
    <definedName name="solver_lhs6" localSheetId="1" hidden="1">'HTC CP1'!$D$11:$D$12</definedName>
    <definedName name="solver_lhs6" localSheetId="2" hidden="1">'HTC CP2'!$D$11:$D$12</definedName>
    <definedName name="solver_lhs6" localSheetId="3" hidden="1">'HTC CP3'!$D$11:$D$12</definedName>
    <definedName name="solver_lhs6" localSheetId="4" hidden="1">'HTC CP4'!$D$11:$D$12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'HTC CP1'!$D$10</definedName>
    <definedName name="solver_opt" localSheetId="2" hidden="1">'HTC CP2'!$D$10</definedName>
    <definedName name="solver_opt" localSheetId="3" hidden="1">'HTC CP3'!$D$10</definedName>
    <definedName name="solver_opt" localSheetId="4" hidden="1">'HTC CP4'!$D$10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2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hs1" localSheetId="1" hidden="1">'HTC CP1'!$D$21:$D$28</definedName>
    <definedName name="solver_rhs1" localSheetId="2" hidden="1">'HTC CP2'!$D$21:$D$28</definedName>
    <definedName name="solver_rhs1" localSheetId="3" hidden="1">'HTC CP3'!$D$21:$D$28</definedName>
    <definedName name="solver_rhs1" localSheetId="4" hidden="1">'HTC CP4'!$D$21:$D$28</definedName>
    <definedName name="solver_rhs2" localSheetId="1" hidden="1">'HTC CP1'!$A$21:$A$30</definedName>
    <definedName name="solver_rhs2" localSheetId="2" hidden="1">'HTC CP2'!$A$21:$A$30</definedName>
    <definedName name="solver_rhs2" localSheetId="3" hidden="1">'HTC CP3'!$A$21:$A$30</definedName>
    <definedName name="solver_rhs2" localSheetId="4" hidden="1">'HTC CP4'!$A$21:$A$30</definedName>
    <definedName name="solver_rhs3" localSheetId="1" hidden="1">22</definedName>
    <definedName name="solver_rhs3" localSheetId="2" hidden="1">22</definedName>
    <definedName name="solver_rhs3" localSheetId="3" hidden="1">22</definedName>
    <definedName name="solver_rhs3" localSheetId="4" hidden="1">22</definedName>
    <definedName name="solver_rhs4" localSheetId="1" hidden="1">0</definedName>
    <definedName name="solver_rhs4" localSheetId="2" hidden="1">0</definedName>
    <definedName name="solver_rhs4" localSheetId="3" hidden="1">0</definedName>
    <definedName name="solver_rhs4" localSheetId="4" hidden="1">0</definedName>
    <definedName name="solver_rhs5" localSheetId="1" hidden="1">0</definedName>
    <definedName name="solver_rhs5" localSheetId="2" hidden="1">0</definedName>
    <definedName name="solver_rhs5" localSheetId="3" hidden="1">0</definedName>
    <definedName name="solver_rhs5" localSheetId="4" hidden="1">0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6" localSheetId="4" hidden="1">0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lx" localSheetId="4" hidden="1">1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4" l="1"/>
  <c r="G9" i="34"/>
  <c r="G8" i="34"/>
  <c r="G7" i="34"/>
  <c r="G10" i="33"/>
  <c r="G9" i="33"/>
  <c r="G8" i="33"/>
  <c r="G7" i="33"/>
  <c r="G10" i="31"/>
  <c r="G9" i="31"/>
  <c r="G8" i="31"/>
  <c r="G7" i="31"/>
  <c r="G10" i="11" l="1"/>
  <c r="G9" i="11"/>
  <c r="G8" i="11" l="1"/>
  <c r="G7" i="11"/>
  <c r="B47" i="10" l="1"/>
  <c r="B16" i="10"/>
  <c r="K38" i="11"/>
  <c r="D29" i="11" s="1"/>
  <c r="D30" i="11" s="1"/>
  <c r="K37" i="11"/>
  <c r="A29" i="11" s="1"/>
  <c r="A30" i="11" s="1"/>
  <c r="K36" i="11"/>
  <c r="A27" i="11" s="1"/>
  <c r="A28" i="11" s="1"/>
  <c r="K35" i="11"/>
  <c r="D27" i="11" s="1"/>
  <c r="D28" i="11" s="1"/>
  <c r="K34" i="11"/>
  <c r="A23" i="11" s="1"/>
  <c r="A24" i="11" s="1"/>
  <c r="K33" i="11"/>
  <c r="D23" i="11" s="1"/>
  <c r="D24" i="11" s="1"/>
  <c r="K32" i="11"/>
  <c r="A25" i="11" s="1"/>
  <c r="A26" i="11" s="1"/>
  <c r="K31" i="11"/>
  <c r="D25" i="11" s="1"/>
  <c r="D26" i="11" s="1"/>
  <c r="K30" i="11"/>
  <c r="A21" i="11" s="1"/>
  <c r="A22" i="11" s="1"/>
  <c r="K29" i="11"/>
  <c r="D21" i="11" s="1"/>
  <c r="D22" i="11" s="1"/>
  <c r="K38" i="31"/>
  <c r="D29" i="31" s="1"/>
  <c r="D30" i="31" s="1"/>
  <c r="K37" i="31"/>
  <c r="A29" i="31" s="1"/>
  <c r="A30" i="31" s="1"/>
  <c r="K36" i="31"/>
  <c r="A27" i="31" s="1"/>
  <c r="A28" i="31" s="1"/>
  <c r="K35" i="31"/>
  <c r="D27" i="31" s="1"/>
  <c r="D28" i="31" s="1"/>
  <c r="K34" i="31"/>
  <c r="A23" i="31" s="1"/>
  <c r="A24" i="31" s="1"/>
  <c r="K33" i="31"/>
  <c r="D23" i="31" s="1"/>
  <c r="D24" i="31" s="1"/>
  <c r="K32" i="31"/>
  <c r="A25" i="31" s="1"/>
  <c r="A26" i="31" s="1"/>
  <c r="K31" i="31"/>
  <c r="D25" i="31" s="1"/>
  <c r="D26" i="31" s="1"/>
  <c r="K30" i="31"/>
  <c r="A21" i="31" s="1"/>
  <c r="A22" i="31" s="1"/>
  <c r="K29" i="31"/>
  <c r="D21" i="31" s="1"/>
  <c r="D22" i="31" s="1"/>
  <c r="K38" i="33"/>
  <c r="D29" i="33" s="1"/>
  <c r="D30" i="33" s="1"/>
  <c r="K37" i="33"/>
  <c r="A29" i="33" s="1"/>
  <c r="A30" i="33" s="1"/>
  <c r="K36" i="33"/>
  <c r="A27" i="33" s="1"/>
  <c r="A28" i="33" s="1"/>
  <c r="K35" i="33"/>
  <c r="D27" i="33" s="1"/>
  <c r="D28" i="33" s="1"/>
  <c r="K34" i="33"/>
  <c r="A23" i="33" s="1"/>
  <c r="A24" i="33" s="1"/>
  <c r="K33" i="33"/>
  <c r="D23" i="33" s="1"/>
  <c r="D24" i="33" s="1"/>
  <c r="K32" i="33"/>
  <c r="A25" i="33" s="1"/>
  <c r="A26" i="33" s="1"/>
  <c r="K31" i="33"/>
  <c r="D25" i="33" s="1"/>
  <c r="D26" i="33" s="1"/>
  <c r="K30" i="33"/>
  <c r="A21" i="33" s="1"/>
  <c r="A22" i="33" s="1"/>
  <c r="K29" i="33"/>
  <c r="D21" i="33" s="1"/>
  <c r="D22" i="33" s="1"/>
  <c r="K30" i="34"/>
  <c r="A21" i="34" s="1"/>
  <c r="A22" i="34" s="1"/>
  <c r="K31" i="34"/>
  <c r="D25" i="34" s="1"/>
  <c r="D26" i="34" s="1"/>
  <c r="K32" i="34"/>
  <c r="A25" i="34" s="1"/>
  <c r="A26" i="34" s="1"/>
  <c r="K33" i="34"/>
  <c r="D23" i="34" s="1"/>
  <c r="D24" i="34" s="1"/>
  <c r="K34" i="34"/>
  <c r="A23" i="34" s="1"/>
  <c r="A24" i="34" s="1"/>
  <c r="K35" i="34"/>
  <c r="D27" i="34" s="1"/>
  <c r="D28" i="34" s="1"/>
  <c r="K36" i="34"/>
  <c r="A27" i="34" s="1"/>
  <c r="A28" i="34" s="1"/>
  <c r="K37" i="34"/>
  <c r="A29" i="34" s="1"/>
  <c r="A30" i="34" s="1"/>
  <c r="K38" i="34"/>
  <c r="D29" i="34" s="1"/>
  <c r="D30" i="34" s="1"/>
  <c r="K29" i="34"/>
  <c r="D21" i="34" s="1"/>
  <c r="D22" i="34" s="1"/>
  <c r="K28" i="11"/>
  <c r="K27" i="11"/>
  <c r="K26" i="11"/>
  <c r="K25" i="11"/>
  <c r="B37" i="10" s="1"/>
  <c r="K24" i="11"/>
  <c r="B30" i="10" s="1"/>
  <c r="K23" i="11"/>
  <c r="B33" i="10" s="1"/>
  <c r="K18" i="11"/>
  <c r="K15" i="11"/>
  <c r="K14" i="11"/>
  <c r="K13" i="11"/>
  <c r="K12" i="11"/>
  <c r="K11" i="11"/>
  <c r="K10" i="11"/>
  <c r="K9" i="11"/>
  <c r="K8" i="11"/>
  <c r="K25" i="31"/>
  <c r="B31" i="37" s="1"/>
  <c r="C37" i="10" s="1"/>
  <c r="K24" i="31"/>
  <c r="B24" i="37" s="1"/>
  <c r="C30" i="10" s="1"/>
  <c r="K28" i="31"/>
  <c r="K27" i="31"/>
  <c r="K26" i="31"/>
  <c r="K23" i="31"/>
  <c r="K20" i="31"/>
  <c r="K18" i="31"/>
  <c r="K16" i="31"/>
  <c r="K15" i="31"/>
  <c r="K14" i="31"/>
  <c r="K13" i="31"/>
  <c r="K12" i="31"/>
  <c r="K11" i="31"/>
  <c r="K10" i="31"/>
  <c r="K9" i="31"/>
  <c r="K8" i="31"/>
  <c r="B27" i="37"/>
  <c r="C33" i="10" s="1"/>
  <c r="K27" i="33"/>
  <c r="K28" i="33"/>
  <c r="K26" i="33"/>
  <c r="K25" i="33"/>
  <c r="B31" i="38" s="1"/>
  <c r="D37" i="10" s="1"/>
  <c r="K24" i="33"/>
  <c r="B24" i="38" s="1"/>
  <c r="D30" i="10" s="1"/>
  <c r="K23" i="33"/>
  <c r="B27" i="38" s="1"/>
  <c r="D33" i="10" s="1"/>
  <c r="K22" i="33"/>
  <c r="K18" i="33"/>
  <c r="K15" i="33"/>
  <c r="K14" i="33"/>
  <c r="K13" i="33"/>
  <c r="K12" i="33"/>
  <c r="K11" i="33"/>
  <c r="K10" i="33"/>
  <c r="K9" i="33"/>
  <c r="K8" i="33"/>
  <c r="K12" i="34"/>
  <c r="K13" i="34"/>
  <c r="K14" i="34"/>
  <c r="K15" i="34"/>
  <c r="K17" i="34"/>
  <c r="K18" i="34"/>
  <c r="K21" i="34"/>
  <c r="K23" i="34"/>
  <c r="K24" i="34"/>
  <c r="B24" i="39" s="1"/>
  <c r="E30" i="10" s="1"/>
  <c r="K25" i="34"/>
  <c r="B31" i="39" s="1"/>
  <c r="E37" i="10" s="1"/>
  <c r="K26" i="34"/>
  <c r="K27" i="34"/>
  <c r="K28" i="34"/>
  <c r="K11" i="34"/>
  <c r="B24" i="40"/>
  <c r="B23" i="40"/>
  <c r="K21" i="33" s="1"/>
  <c r="B22" i="40"/>
  <c r="K20" i="33" s="1"/>
  <c r="B21" i="40"/>
  <c r="K19" i="31" s="1"/>
  <c r="B18" i="40"/>
  <c r="B19" i="40" s="1"/>
  <c r="K17" i="33" s="1"/>
  <c r="K9" i="34"/>
  <c r="K10" i="34"/>
  <c r="K8" i="34"/>
  <c r="B49" i="37"/>
  <c r="C55" i="10" s="1"/>
  <c r="B55" i="10"/>
  <c r="B39" i="37"/>
  <c r="C45" i="10" s="1"/>
  <c r="B45" i="10"/>
  <c r="B49" i="39"/>
  <c r="E55" i="10" s="1"/>
  <c r="B39" i="39"/>
  <c r="E45" i="10" s="1"/>
  <c r="B54" i="39"/>
  <c r="E60" i="10" s="1"/>
  <c r="B53" i="39"/>
  <c r="E59" i="10" s="1"/>
  <c r="B52" i="39"/>
  <c r="E58" i="10" s="1"/>
  <c r="B51" i="39"/>
  <c r="E57" i="10" s="1"/>
  <c r="B50" i="39"/>
  <c r="E56" i="10" s="1"/>
  <c r="B44" i="39"/>
  <c r="E50" i="10" s="1"/>
  <c r="B43" i="39"/>
  <c r="E49" i="10" s="1"/>
  <c r="B42" i="39"/>
  <c r="E48" i="10" s="1"/>
  <c r="B41" i="39"/>
  <c r="E47" i="10" s="1"/>
  <c r="B40" i="39"/>
  <c r="E46" i="10" s="1"/>
  <c r="B34" i="39"/>
  <c r="E40" i="10" s="1"/>
  <c r="B32" i="39"/>
  <c r="E38" i="10" s="1"/>
  <c r="B28" i="39"/>
  <c r="E34" i="10" s="1"/>
  <c r="B25" i="39"/>
  <c r="E31" i="10" s="1"/>
  <c r="D16" i="34"/>
  <c r="D18" i="34" s="1"/>
  <c r="B21" i="39" s="1"/>
  <c r="E27" i="10" s="1"/>
  <c r="B19" i="39"/>
  <c r="E25" i="10" s="1"/>
  <c r="B18" i="39"/>
  <c r="E24" i="10" s="1"/>
  <c r="B17" i="39"/>
  <c r="E23" i="10" s="1"/>
  <c r="D15" i="34"/>
  <c r="B13" i="39" s="1"/>
  <c r="E19" i="10" s="1"/>
  <c r="B12" i="39"/>
  <c r="E18" i="10" s="1"/>
  <c r="B11" i="39"/>
  <c r="E17" i="10" s="1"/>
  <c r="B10" i="39"/>
  <c r="E16" i="10" s="1"/>
  <c r="B49" i="38"/>
  <c r="D55" i="10" s="1"/>
  <c r="B39" i="38"/>
  <c r="D45" i="10" s="1"/>
  <c r="B54" i="38"/>
  <c r="D60" i="10" s="1"/>
  <c r="B53" i="38"/>
  <c r="D59" i="10" s="1"/>
  <c r="B52" i="38"/>
  <c r="D58" i="10" s="1"/>
  <c r="B51" i="38"/>
  <c r="D57" i="10" s="1"/>
  <c r="B50" i="38"/>
  <c r="D56" i="10" s="1"/>
  <c r="B44" i="38"/>
  <c r="D50" i="10" s="1"/>
  <c r="B43" i="38"/>
  <c r="D49" i="10" s="1"/>
  <c r="B42" i="38"/>
  <c r="D48" i="10" s="1"/>
  <c r="B41" i="38"/>
  <c r="D47" i="10" s="1"/>
  <c r="B40" i="38"/>
  <c r="D46" i="10" s="1"/>
  <c r="B34" i="38"/>
  <c r="D40" i="10" s="1"/>
  <c r="B32" i="38"/>
  <c r="D38" i="10" s="1"/>
  <c r="B28" i="38"/>
  <c r="D34" i="10" s="1"/>
  <c r="B25" i="38"/>
  <c r="D31" i="10" s="1"/>
  <c r="D16" i="33"/>
  <c r="B20" i="38" s="1"/>
  <c r="D26" i="10" s="1"/>
  <c r="B19" i="38"/>
  <c r="D25" i="10" s="1"/>
  <c r="B18" i="38"/>
  <c r="D24" i="10" s="1"/>
  <c r="B17" i="38"/>
  <c r="D23" i="10" s="1"/>
  <c r="D15" i="33"/>
  <c r="D17" i="33" s="1"/>
  <c r="B14" i="38" s="1"/>
  <c r="D20" i="10" s="1"/>
  <c r="B12" i="38"/>
  <c r="D18" i="10" s="1"/>
  <c r="B11" i="38"/>
  <c r="D17" i="10" s="1"/>
  <c r="B10" i="38"/>
  <c r="D16" i="10" s="1"/>
  <c r="B54" i="37"/>
  <c r="C60" i="10" s="1"/>
  <c r="B53" i="37"/>
  <c r="C59" i="10" s="1"/>
  <c r="B52" i="37"/>
  <c r="C58" i="10" s="1"/>
  <c r="B51" i="37"/>
  <c r="C57" i="10" s="1"/>
  <c r="B50" i="37"/>
  <c r="C56" i="10" s="1"/>
  <c r="B44" i="37"/>
  <c r="C50" i="10" s="1"/>
  <c r="B43" i="37"/>
  <c r="C49" i="10" s="1"/>
  <c r="B42" i="37"/>
  <c r="C48" i="10" s="1"/>
  <c r="B41" i="37"/>
  <c r="C47" i="10" s="1"/>
  <c r="B40" i="37"/>
  <c r="C46" i="10" s="1"/>
  <c r="B34" i="37"/>
  <c r="C40" i="10" s="1"/>
  <c r="B32" i="37"/>
  <c r="C38" i="10" s="1"/>
  <c r="B28" i="37"/>
  <c r="C34" i="10" s="1"/>
  <c r="B25" i="37"/>
  <c r="C31" i="10" s="1"/>
  <c r="D16" i="31"/>
  <c r="B20" i="37" s="1"/>
  <c r="C26" i="10" s="1"/>
  <c r="B19" i="37"/>
  <c r="C25" i="10" s="1"/>
  <c r="B18" i="37"/>
  <c r="C24" i="10" s="1"/>
  <c r="B17" i="37"/>
  <c r="C23" i="10" s="1"/>
  <c r="D15" i="31"/>
  <c r="D17" i="31" s="1"/>
  <c r="B14" i="37" s="1"/>
  <c r="C20" i="10" s="1"/>
  <c r="B12" i="37"/>
  <c r="C18" i="10" s="1"/>
  <c r="B11" i="37"/>
  <c r="C17" i="10" s="1"/>
  <c r="B10" i="37"/>
  <c r="C16" i="10" s="1"/>
  <c r="D15" i="11"/>
  <c r="D17" i="11" s="1"/>
  <c r="B20" i="10" s="1"/>
  <c r="D16" i="11"/>
  <c r="D18" i="11" s="1"/>
  <c r="B27" i="10" s="1"/>
  <c r="B25" i="10"/>
  <c r="B24" i="10"/>
  <c r="B23" i="10"/>
  <c r="B18" i="10"/>
  <c r="B17" i="10"/>
  <c r="B38" i="10"/>
  <c r="B40" i="10"/>
  <c r="B34" i="10"/>
  <c r="B31" i="10"/>
  <c r="B60" i="10"/>
  <c r="B59" i="10"/>
  <c r="B58" i="10"/>
  <c r="B57" i="10"/>
  <c r="B56" i="10"/>
  <c r="B48" i="10"/>
  <c r="B49" i="10"/>
  <c r="B50" i="10"/>
  <c r="B46" i="10"/>
  <c r="B13" i="38" l="1"/>
  <c r="D19" i="10" s="1"/>
  <c r="B13" i="37"/>
  <c r="C19" i="10" s="1"/>
  <c r="B19" i="10"/>
  <c r="B26" i="10"/>
  <c r="D18" i="33"/>
  <c r="B21" i="38" s="1"/>
  <c r="D27" i="10" s="1"/>
  <c r="K20" i="34"/>
  <c r="K16" i="34"/>
  <c r="D9" i="34" s="1"/>
  <c r="B6" i="39" s="1"/>
  <c r="E12" i="10" s="1"/>
  <c r="K19" i="33"/>
  <c r="D34" i="33" s="1"/>
  <c r="K17" i="31"/>
  <c r="K21" i="31"/>
  <c r="K16" i="11"/>
  <c r="K19" i="11"/>
  <c r="D17" i="34"/>
  <c r="B14" i="39" s="1"/>
  <c r="E20" i="10" s="1"/>
  <c r="K19" i="34"/>
  <c r="D34" i="34" s="1"/>
  <c r="E34" i="34" s="1"/>
  <c r="B48" i="39" s="1"/>
  <c r="E54" i="10" s="1"/>
  <c r="K16" i="33"/>
  <c r="K22" i="31"/>
  <c r="K17" i="11"/>
  <c r="K22" i="34"/>
  <c r="D12" i="33"/>
  <c r="D33" i="31"/>
  <c r="E33" i="31" s="1"/>
  <c r="B38" i="37" s="1"/>
  <c r="C44" i="10" s="1"/>
  <c r="D11" i="31"/>
  <c r="D11" i="33"/>
  <c r="D14" i="11"/>
  <c r="B39" i="10" s="1"/>
  <c r="D11" i="34"/>
  <c r="D12" i="34"/>
  <c r="D12" i="31"/>
  <c r="D9" i="31"/>
  <c r="B6" i="37" s="1"/>
  <c r="C12" i="10" s="1"/>
  <c r="D34" i="31"/>
  <c r="E34" i="31" s="1"/>
  <c r="B48" i="37" s="1"/>
  <c r="C54" i="10" s="1"/>
  <c r="D7" i="34"/>
  <c r="B4" i="39" s="1"/>
  <c r="E10" i="10" s="1"/>
  <c r="B20" i="39"/>
  <c r="E26" i="10" s="1"/>
  <c r="D11" i="11"/>
  <c r="D34" i="11"/>
  <c r="B53" i="10" s="1"/>
  <c r="D12" i="11"/>
  <c r="D33" i="11"/>
  <c r="B43" i="10" s="1"/>
  <c r="D18" i="31"/>
  <c r="B21" i="37" s="1"/>
  <c r="C27" i="10" s="1"/>
  <c r="D8" i="31"/>
  <c r="B5" i="37" s="1"/>
  <c r="C11" i="10" s="1"/>
  <c r="B3" i="37"/>
  <c r="C9" i="10" s="1"/>
  <c r="D14" i="31"/>
  <c r="B33" i="37" s="1"/>
  <c r="C39" i="10" s="1"/>
  <c r="D13" i="31"/>
  <c r="B26" i="37" s="1"/>
  <c r="C32" i="10" s="1"/>
  <c r="B27" i="39"/>
  <c r="E33" i="10" s="1"/>
  <c r="D13" i="33"/>
  <c r="B26" i="38" s="1"/>
  <c r="D32" i="10" s="1"/>
  <c r="B3" i="38"/>
  <c r="D9" i="10" s="1"/>
  <c r="D7" i="33"/>
  <c r="B4" i="38" s="1"/>
  <c r="D10" i="10" s="1"/>
  <c r="D8" i="33"/>
  <c r="B5" i="38" s="1"/>
  <c r="D11" i="10" s="1"/>
  <c r="D33" i="33"/>
  <c r="D9" i="33"/>
  <c r="B6" i="38" s="1"/>
  <c r="D12" i="10" s="1"/>
  <c r="B3" i="39"/>
  <c r="E9" i="10" s="1"/>
  <c r="D14" i="34"/>
  <c r="B33" i="39" s="1"/>
  <c r="E39" i="10" s="1"/>
  <c r="D14" i="33"/>
  <c r="B33" i="38" s="1"/>
  <c r="D39" i="10" s="1"/>
  <c r="D13" i="34"/>
  <c r="B26" i="39" s="1"/>
  <c r="E32" i="10" s="1"/>
  <c r="D33" i="34"/>
  <c r="E33" i="34" s="1"/>
  <c r="B38" i="39" s="1"/>
  <c r="E44" i="10" s="1"/>
  <c r="D13" i="11"/>
  <c r="B32" i="10" s="1"/>
  <c r="D7" i="31"/>
  <c r="E34" i="33" l="1"/>
  <c r="B48" i="38" s="1"/>
  <c r="D54" i="10" s="1"/>
  <c r="B47" i="38"/>
  <c r="D53" i="10" s="1"/>
  <c r="D8" i="34"/>
  <c r="B5" i="39" s="1"/>
  <c r="E11" i="10" s="1"/>
  <c r="B37" i="37"/>
  <c r="C43" i="10" s="1"/>
  <c r="E34" i="11"/>
  <c r="B54" i="10" s="1"/>
  <c r="E33" i="11"/>
  <c r="B44" i="10" s="1"/>
  <c r="B47" i="37"/>
  <c r="C53" i="10" s="1"/>
  <c r="E33" i="33"/>
  <c r="B38" i="38" s="1"/>
  <c r="D44" i="10" s="1"/>
  <c r="B37" i="38"/>
  <c r="D43" i="10" s="1"/>
  <c r="D10" i="33"/>
  <c r="B7" i="38" s="1"/>
  <c r="D13" i="10" s="1"/>
  <c r="B47" i="39"/>
  <c r="E53" i="10" s="1"/>
  <c r="B37" i="39"/>
  <c r="E43" i="10" s="1"/>
  <c r="D7" i="11"/>
  <c r="B9" i="10"/>
  <c r="D8" i="11"/>
  <c r="B11" i="10" s="1"/>
  <c r="B4" i="37"/>
  <c r="C10" i="10" s="1"/>
  <c r="D10" i="31"/>
  <c r="B7" i="37" s="1"/>
  <c r="C13" i="10" s="1"/>
  <c r="D9" i="11"/>
  <c r="B12" i="10" s="1"/>
  <c r="D10" i="34" l="1"/>
  <c r="B7" i="39" s="1"/>
  <c r="E13" i="10" s="1"/>
  <c r="D10" i="11"/>
  <c r="B13" i="10" s="1"/>
  <c r="B10" i="10"/>
</calcChain>
</file>

<file path=xl/sharedStrings.xml><?xml version="1.0" encoding="utf-8"?>
<sst xmlns="http://schemas.openxmlformats.org/spreadsheetml/2006/main" count="916" uniqueCount="184">
  <si>
    <t>Pd1</t>
  </si>
  <si>
    <t>Kf0</t>
  </si>
  <si>
    <t>$/MWh</t>
  </si>
  <si>
    <t>h</t>
  </si>
  <si>
    <t>MW</t>
  </si>
  <si>
    <t>V0</t>
  </si>
  <si>
    <t>Hm3</t>
  </si>
  <si>
    <t>Hm3/h</t>
  </si>
  <si>
    <t>V1</t>
  </si>
  <si>
    <t>V2</t>
  </si>
  <si>
    <t>Hm3/MW</t>
  </si>
  <si>
    <t>Ph1</t>
  </si>
  <si>
    <t>Ph2</t>
  </si>
  <si>
    <t>lamda1</t>
  </si>
  <si>
    <t>lamda2</t>
  </si>
  <si>
    <t>Y1</t>
  </si>
  <si>
    <t>Y2</t>
  </si>
  <si>
    <t>s1</t>
  </si>
  <si>
    <t>s2</t>
  </si>
  <si>
    <t>Kh0</t>
  </si>
  <si>
    <t>Kh1</t>
  </si>
  <si>
    <t>Kh2</t>
  </si>
  <si>
    <t>Hm3/MW^2</t>
  </si>
  <si>
    <t>Kf1</t>
  </si>
  <si>
    <t>Kf2</t>
  </si>
  <si>
    <t>$/MW2h</t>
  </si>
  <si>
    <t>Pg1</t>
  </si>
  <si>
    <t>Pg2</t>
  </si>
  <si>
    <t>Blosss</t>
  </si>
  <si>
    <t>Pd2</t>
  </si>
  <si>
    <t>lambda1</t>
  </si>
  <si>
    <t>lambda2</t>
  </si>
  <si>
    <t>Celda</t>
  </si>
  <si>
    <t>Nombre</t>
  </si>
  <si>
    <t>Celdas cambiantes</t>
  </si>
  <si>
    <t>Restricciones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</si>
  <si>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</si>
  <si>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</si>
  <si>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</si>
  <si>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</si>
  <si>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</si>
  <si>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</si>
  <si>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</si>
  <si>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</si>
  <si>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</si>
  <si>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</si>
  <si>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$G$7</t>
  </si>
  <si>
    <t>$G$8</t>
  </si>
  <si>
    <t>$G$9</t>
  </si>
  <si>
    <t>$G$10</t>
  </si>
  <si>
    <t>Microsoft Excel 12.0 Informe de sensibilidad</t>
  </si>
  <si>
    <t>Valor</t>
  </si>
  <si>
    <t>Igual</t>
  </si>
  <si>
    <t>Gradiente</t>
  </si>
  <si>
    <t>reducido</t>
  </si>
  <si>
    <t>Multiplicador</t>
  </si>
  <si>
    <t>de Lagrange</t>
  </si>
  <si>
    <t>q1</t>
  </si>
  <si>
    <t>q2</t>
  </si>
  <si>
    <t>Pdo</t>
  </si>
  <si>
    <t>lambda0</t>
  </si>
  <si>
    <t>Pg1 lambda0</t>
  </si>
  <si>
    <t>Pg2 lambda0</t>
  </si>
  <si>
    <t>Pd1 lambda0</t>
  </si>
  <si>
    <t>Pd2 lambda0</t>
  </si>
  <si>
    <t>Ph1 lambda0</t>
  </si>
  <si>
    <t>Ph2 lambda0</t>
  </si>
  <si>
    <t>V1 lambda0</t>
  </si>
  <si>
    <t>V2 lambda0</t>
  </si>
  <si>
    <t>s1 lambda0</t>
  </si>
  <si>
    <t>s2 lambda0</t>
  </si>
  <si>
    <t>No Water Cost</t>
  </si>
  <si>
    <t>Scenario</t>
  </si>
  <si>
    <t>Thermal Generation Fixed Cost ($/yr)</t>
  </si>
  <si>
    <t>Consumer Benefit ($/yr)</t>
  </si>
  <si>
    <t>Future Water Cost (Present Value) ($/yr)</t>
  </si>
  <si>
    <t>Global Social Cost ($/yr)</t>
  </si>
  <si>
    <t xml:space="preserve">Thermal Generation Variable Cost ($/yr)    </t>
  </si>
  <si>
    <t>$/h</t>
  </si>
  <si>
    <t>$/Hm3/day</t>
  </si>
  <si>
    <t>$/Hm3^2/day</t>
  </si>
  <si>
    <t>$/day</t>
  </si>
  <si>
    <t>Prices Wet Period</t>
  </si>
  <si>
    <t>Hoja de cálculo: [DE Bermudez.xlsx]HTC CP1</t>
  </si>
  <si>
    <r>
      <rPr>
        <sz val="11"/>
        <color theme="1"/>
        <rFont val="Symbol"/>
        <family val="1"/>
        <charset val="2"/>
      </rPr>
      <t>l1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d1,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</si>
  <si>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H1 ($/MWh)</t>
    </r>
  </si>
  <si>
    <t>Y1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</si>
  <si>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</si>
  <si>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mH1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</si>
  <si>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</si>
  <si>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s1 ($/MWh)</t>
    </r>
  </si>
  <si>
    <t>Prices Dry Period</t>
  </si>
  <si>
    <r>
      <rPr>
        <sz val="11"/>
        <color theme="1"/>
        <rFont val="Symbol"/>
        <family val="1"/>
        <charset val="2"/>
      </rPr>
      <t>l2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d2,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</si>
  <si>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H2 ($/MWh)</t>
    </r>
  </si>
  <si>
    <t>Y2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</si>
  <si>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</si>
  <si>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mH2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</si>
  <si>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</si>
  <si>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V2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</si>
  <si>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s2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</si>
  <si>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V1 ($/MWh)</t>
    </r>
  </si>
  <si>
    <t>Reservoir Wet Period</t>
  </si>
  <si>
    <t>V1 (Hm3)</t>
  </si>
  <si>
    <t>q1 (Hm3/h)</t>
  </si>
  <si>
    <t>s1 (Hm3/h)</t>
  </si>
  <si>
    <t>r1 (Hm3/h)</t>
  </si>
  <si>
    <t>Reservoir Dry Period</t>
  </si>
  <si>
    <t>r2 (Hm3/h)</t>
  </si>
  <si>
    <t>s2 (Hm3/h)</t>
  </si>
  <si>
    <t>q2 (Hm3/h)</t>
  </si>
  <si>
    <t>V2 (Hm3)</t>
  </si>
  <si>
    <t>V0 (Hm3)</t>
  </si>
  <si>
    <t>Dispatch Wet Period</t>
  </si>
  <si>
    <t>%Ploss</t>
  </si>
  <si>
    <t>Ploss1 (MW)</t>
  </si>
  <si>
    <t>PG1 (MW)</t>
  </si>
  <si>
    <t>PH1 (MW)</t>
  </si>
  <si>
    <t>PD1 (MW)</t>
  </si>
  <si>
    <t>Dispatch Dry Period</t>
  </si>
  <si>
    <t>PG2 (MW)</t>
  </si>
  <si>
    <t>PH2 (MW)</t>
  </si>
  <si>
    <t>PD2 (MW)</t>
  </si>
  <si>
    <t>Ploss2 (MW)</t>
  </si>
  <si>
    <t>Plosses1</t>
  </si>
  <si>
    <t>Plosses2</t>
  </si>
  <si>
    <t>Informe creado: 10/08/2017 18:58:25</t>
  </si>
  <si>
    <t>Hoja de cálculo: [DE Bermudez.xlsx]HTC CP2</t>
  </si>
  <si>
    <t>Informe creado: 10/08/2017 19:04:05</t>
  </si>
  <si>
    <t>Hoja de cálculo: [DE Bermudez.xlsx]HTC CP4</t>
  </si>
  <si>
    <t>Informe creado: 10/08/2017 19:12:57</t>
  </si>
  <si>
    <t>$G$13</t>
  </si>
  <si>
    <t>$G$14</t>
  </si>
  <si>
    <t>Hoja de cálculo: [DE Bermudez.xlsx]HTC CP3</t>
  </si>
  <si>
    <t>Informe creado: 10/08/2017 19:13:12</t>
  </si>
  <si>
    <t>Y1 ($/Hm3.h)</t>
  </si>
  <si>
    <t>Y2  ($/Hm3.h)</t>
  </si>
  <si>
    <t>Operación Económica de Sistemas de Potencia</t>
  </si>
  <si>
    <t>Ejemplo 2: Despacho Económico Hidrotérmico</t>
  </si>
  <si>
    <t>Datos</t>
  </si>
  <si>
    <t>C0</t>
  </si>
  <si>
    <t>a1</t>
  </si>
  <si>
    <t>a2</t>
  </si>
  <si>
    <t>b1/2</t>
  </si>
  <si>
    <t>b2/2</t>
  </si>
  <si>
    <t>T1</t>
  </si>
  <si>
    <t>T2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</si>
  <si>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max</t>
    </r>
  </si>
  <si>
    <t>m</t>
  </si>
  <si>
    <t>r1</t>
  </si>
  <si>
    <t>r2</t>
  </si>
  <si>
    <t>Pgmax</t>
  </si>
  <si>
    <t>Pgmin</t>
  </si>
  <si>
    <t>Phmax</t>
  </si>
  <si>
    <t>Phmin</t>
  </si>
  <si>
    <t>Pdmax</t>
  </si>
  <si>
    <t>Pdmin</t>
  </si>
  <si>
    <t>Vmax</t>
  </si>
  <si>
    <t>Vmin</t>
  </si>
  <si>
    <t>Hm4</t>
  </si>
  <si>
    <t>smin</t>
  </si>
  <si>
    <t>smax</t>
  </si>
  <si>
    <t>Restricciones técnicas</t>
  </si>
  <si>
    <t>Node G</t>
  </si>
  <si>
    <t>Node H</t>
  </si>
  <si>
    <t>$/Año</t>
  </si>
  <si>
    <t>IC1</t>
  </si>
  <si>
    <t>IC2</t>
  </si>
  <si>
    <t>%</t>
  </si>
  <si>
    <t>Plosses1 %</t>
  </si>
  <si>
    <t>Plosses2 %</t>
  </si>
  <si>
    <t>normal</t>
  </si>
  <si>
    <t>niña</t>
  </si>
  <si>
    <t>niño</t>
  </si>
  <si>
    <t>Escenario de lluvias</t>
  </si>
  <si>
    <t>Escenario  Normal</t>
  </si>
  <si>
    <t>Sin costo del agua</t>
  </si>
  <si>
    <t>Con costo del agua</t>
  </si>
  <si>
    <t>Escenario NIÑA</t>
  </si>
  <si>
    <t>Escenario NIÑO</t>
  </si>
  <si>
    <r>
      <rPr>
        <sz val="11"/>
        <color theme="1"/>
        <rFont val="Calibri"/>
        <family val="2"/>
        <scheme val="minor"/>
      </rPr>
      <t>mG2 ($/MWh)</t>
    </r>
  </si>
  <si>
    <r>
      <rPr>
        <sz val="11"/>
        <color theme="1"/>
        <rFont val="Calibri"/>
        <family val="2"/>
        <scheme val="minor"/>
      </rPr>
      <t>mH2 ($/MWh)</t>
    </r>
  </si>
  <si>
    <r>
      <rPr>
        <sz val="11"/>
        <color theme="1"/>
        <rFont val="Calibri"/>
        <family val="2"/>
        <scheme val="minor"/>
      </rPr>
      <t>mq2 ($/MWh)</t>
    </r>
  </si>
  <si>
    <r>
      <rPr>
        <sz val="11"/>
        <color theme="1"/>
        <rFont val="Calibri"/>
        <family val="2"/>
        <scheme val="minor"/>
      </rPr>
      <t>mV2 ($/MWh)</t>
    </r>
  </si>
  <si>
    <r>
      <rPr>
        <sz val="11"/>
        <color theme="1"/>
        <rFont val="Calibri"/>
        <family val="2"/>
        <scheme val="minor"/>
      </rPr>
      <t>hs2 ($/MWh)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</si>
</sst>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_€"/>
    <numFmt numFmtId="165" formatCode="0.0"/>
    <numFmt numFmtId="166" formatCode="0.00000000"/>
    <numFmt numFmtId="167" formatCode="&quot;$&quot;#,##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indexed="18"/>
      <name val="Calibri"/>
      <family val="2"/>
      <scheme val="minor"/>
    </font>
    <font>
      <sz val="11"/>
      <color theme="1"/>
      <name val="CMU Serif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0" fillId="2" borderId="0" xfId="0" applyNumberFormat="1" applyFill="1"/>
    <xf numFmtId="2" fontId="0" fillId="0" borderId="4" xfId="0" applyNumberFormat="1" applyFill="1" applyBorder="1" applyAlignment="1"/>
    <xf numFmtId="2" fontId="0" fillId="0" borderId="3" xfId="0" applyNumberFormat="1" applyFill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3" borderId="0" xfId="0" applyFill="1"/>
    <xf numFmtId="0" fontId="8" fillId="3" borderId="0" xfId="0" applyFont="1" applyFill="1"/>
    <xf numFmtId="0" fontId="9" fillId="3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10" fillId="5" borderId="0" xfId="0" applyFont="1" applyFill="1"/>
    <xf numFmtId="1" fontId="0" fillId="0" borderId="0" xfId="0" applyNumberFormat="1" applyFill="1"/>
    <xf numFmtId="2" fontId="0" fillId="2" borderId="0" xfId="0" applyNumberFormat="1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2" fontId="0" fillId="6" borderId="0" xfId="0" applyNumberFormat="1" applyFill="1"/>
    <xf numFmtId="0" fontId="10" fillId="6" borderId="0" xfId="0" applyFont="1" applyFill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8" borderId="0" xfId="0" applyFill="1"/>
    <xf numFmtId="0" fontId="1" fillId="0" borderId="0" xfId="0" applyFont="1" applyFill="1"/>
    <xf numFmtId="166" fontId="0" fillId="0" borderId="0" xfId="0" applyNumberFormat="1" applyFill="1"/>
    <xf numFmtId="0" fontId="10" fillId="0" borderId="0" xfId="0" applyFont="1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5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61498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8D355-D9D9-F546-A4C2-737EBD34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96E21-7570-2F4E-8E6C-CE65C5838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135819</xdr:colOff>
      <xdr:row>7</xdr:row>
      <xdr:rowOff>13228</xdr:rowOff>
    </xdr:from>
    <xdr:to>
      <xdr:col>19</xdr:col>
      <xdr:colOff>712786</xdr:colOff>
      <xdr:row>38</xdr:row>
      <xdr:rowOff>149046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7757" y="1322916"/>
          <a:ext cx="5791905" cy="608894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DA2B4F-23B7-7845-A374-0B9C17FFE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E4A5A-8C9F-4A43-9901-FEDF36C73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55148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045EE-CFC5-6C4E-8C82-7E0401B5B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0</xdr:col>
      <xdr:colOff>2370992</xdr:colOff>
      <xdr:row>4</xdr:row>
      <xdr:rowOff>61498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D759B-1D9A-0A4C-8062-FE2E5CA29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25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E45-D37B-1840-B5E9-101CEE65D454}">
  <dimension ref="A1:I40"/>
  <sheetViews>
    <sheetView zoomScale="140" zoomScaleNormal="140" workbookViewId="0">
      <selection activeCell="M23" sqref="M23"/>
    </sheetView>
  </sheetViews>
  <sheetFormatPr defaultColWidth="11.42578125" defaultRowHeight="15"/>
  <cols>
    <col min="5" max="8" width="6.85546875" customWidth="1"/>
  </cols>
  <sheetData>
    <row r="1" spans="1:9" s="19" customFormat="1"/>
    <row r="2" spans="1:9" s="19" customFormat="1" ht="18.75">
      <c r="G2" s="20" t="s">
        <v>136</v>
      </c>
    </row>
    <row r="3" spans="1:9" s="19" customFormat="1" ht="18.75">
      <c r="G3" s="21" t="s">
        <v>137</v>
      </c>
    </row>
    <row r="4" spans="1:9" s="19" customFormat="1"/>
    <row r="5" spans="1:9" s="22" customFormat="1" ht="5.0999999999999996" customHeight="1"/>
    <row r="6" spans="1:9" s="34" customFormat="1"/>
    <row r="7" spans="1:9" s="34" customFormat="1">
      <c r="F7" s="55" t="s">
        <v>173</v>
      </c>
      <c r="G7" s="55"/>
      <c r="H7" s="55"/>
    </row>
    <row r="8" spans="1:9" s="34" customFormat="1">
      <c r="A8" s="36" t="s">
        <v>138</v>
      </c>
      <c r="E8" s="39"/>
      <c r="F8" s="39" t="s">
        <v>170</v>
      </c>
      <c r="G8" s="39" t="s">
        <v>171</v>
      </c>
      <c r="H8" s="39" t="s">
        <v>172</v>
      </c>
      <c r="I8" s="39"/>
    </row>
    <row r="9" spans="1:9" s="34" customFormat="1">
      <c r="A9" s="34" t="s">
        <v>19</v>
      </c>
      <c r="B9" s="37">
        <v>0</v>
      </c>
      <c r="C9" s="34" t="s">
        <v>6</v>
      </c>
      <c r="E9" s="40" t="s">
        <v>148</v>
      </c>
      <c r="F9" s="40">
        <v>30</v>
      </c>
      <c r="G9" s="40">
        <v>40</v>
      </c>
      <c r="H9" s="40">
        <v>10</v>
      </c>
      <c r="I9" s="40" t="s">
        <v>7</v>
      </c>
    </row>
    <row r="10" spans="1:9" s="34" customFormat="1">
      <c r="A10" s="34" t="s">
        <v>20</v>
      </c>
      <c r="B10" s="37">
        <v>1.5E-3</v>
      </c>
      <c r="C10" s="34" t="s">
        <v>10</v>
      </c>
      <c r="E10" s="41" t="s">
        <v>149</v>
      </c>
      <c r="F10" s="41">
        <v>10</v>
      </c>
      <c r="G10" s="41">
        <v>30</v>
      </c>
      <c r="H10" s="41">
        <v>5</v>
      </c>
      <c r="I10" s="41" t="s">
        <v>7</v>
      </c>
    </row>
    <row r="11" spans="1:9" s="34" customFormat="1">
      <c r="A11" s="34" t="s">
        <v>21</v>
      </c>
      <c r="B11" s="37">
        <v>1E-8</v>
      </c>
      <c r="C11" s="34" t="s">
        <v>22</v>
      </c>
    </row>
    <row r="12" spans="1:9" s="34" customFormat="1" hidden="1"/>
    <row r="13" spans="1:9" s="34" customFormat="1">
      <c r="A13" s="34" t="s">
        <v>139</v>
      </c>
      <c r="B13" s="34">
        <v>1000</v>
      </c>
      <c r="C13" s="34" t="s">
        <v>78</v>
      </c>
    </row>
    <row r="14" spans="1:9" s="34" customFormat="1">
      <c r="A14" s="34" t="s">
        <v>140</v>
      </c>
      <c r="B14" s="34">
        <v>60</v>
      </c>
      <c r="C14" s="34" t="s">
        <v>2</v>
      </c>
    </row>
    <row r="15" spans="1:9" s="34" customFormat="1">
      <c r="A15" s="34" t="s">
        <v>141</v>
      </c>
      <c r="B15" s="34">
        <v>80</v>
      </c>
      <c r="C15" s="34" t="s">
        <v>2</v>
      </c>
    </row>
    <row r="16" spans="1:9" s="34" customFormat="1">
      <c r="A16" s="34" t="s">
        <v>142</v>
      </c>
      <c r="B16" s="34">
        <v>0.02</v>
      </c>
      <c r="C16" s="34" t="s">
        <v>25</v>
      </c>
    </row>
    <row r="17" spans="1:3" s="34" customFormat="1">
      <c r="A17" s="34" t="s">
        <v>143</v>
      </c>
      <c r="B17" s="34">
        <v>0.03</v>
      </c>
      <c r="C17" s="34" t="s">
        <v>25</v>
      </c>
    </row>
    <row r="18" spans="1:3" s="34" customFormat="1">
      <c r="A18" s="34" t="s">
        <v>144</v>
      </c>
      <c r="B18" s="34">
        <f>8760/2</f>
        <v>4380</v>
      </c>
      <c r="C18" s="34" t="s">
        <v>3</v>
      </c>
    </row>
    <row r="19" spans="1:3" s="34" customFormat="1">
      <c r="A19" s="34" t="s">
        <v>145</v>
      </c>
      <c r="B19" s="34">
        <f>B18</f>
        <v>4380</v>
      </c>
      <c r="C19" s="34" t="s">
        <v>3</v>
      </c>
    </row>
    <row r="20" spans="1:3" s="34" customFormat="1">
      <c r="A20" s="38" t="s">
        <v>146</v>
      </c>
      <c r="B20" s="34">
        <v>1000</v>
      </c>
      <c r="C20" s="34" t="s">
        <v>2</v>
      </c>
    </row>
    <row r="21" spans="1:3" s="34" customFormat="1">
      <c r="A21" s="34" t="s">
        <v>147</v>
      </c>
      <c r="B21" s="34">
        <f>(B20-B30)/B29</f>
        <v>7.7083333333333337E-2</v>
      </c>
      <c r="C21" s="34" t="s">
        <v>25</v>
      </c>
    </row>
    <row r="22" spans="1:3" s="34" customFormat="1">
      <c r="A22" s="34" t="s">
        <v>1</v>
      </c>
      <c r="B22" s="34">
        <f>10000*24</f>
        <v>240000</v>
      </c>
      <c r="C22" s="34" t="s">
        <v>81</v>
      </c>
    </row>
    <row r="23" spans="1:3" s="34" customFormat="1">
      <c r="A23" s="34" t="s">
        <v>23</v>
      </c>
      <c r="B23" s="34">
        <f>10*24</f>
        <v>240</v>
      </c>
      <c r="C23" s="34" t="s">
        <v>79</v>
      </c>
    </row>
    <row r="24" spans="1:3" s="34" customFormat="1">
      <c r="A24" s="34" t="s">
        <v>24</v>
      </c>
      <c r="B24" s="34">
        <f>0.000005*24</f>
        <v>1.2000000000000002E-4</v>
      </c>
      <c r="C24" s="34" t="s">
        <v>80</v>
      </c>
    </row>
    <row r="25" spans="1:3" s="34" customFormat="1">
      <c r="A25" s="34" t="s">
        <v>5</v>
      </c>
      <c r="B25" s="34">
        <v>50000</v>
      </c>
      <c r="C25" s="34" t="s">
        <v>6</v>
      </c>
    </row>
    <row r="26" spans="1:3" s="34" customFormat="1" hidden="1"/>
    <row r="27" spans="1:3" s="34" customFormat="1" hidden="1"/>
    <row r="28" spans="1:3" s="34" customFormat="1">
      <c r="A28" s="34" t="s">
        <v>28</v>
      </c>
      <c r="B28" s="34">
        <v>6.0000000000000002E-6</v>
      </c>
    </row>
    <row r="29" spans="1:3" s="34" customFormat="1">
      <c r="A29" s="34" t="s">
        <v>59</v>
      </c>
      <c r="B29" s="34">
        <v>12000</v>
      </c>
      <c r="C29" s="34" t="s">
        <v>4</v>
      </c>
    </row>
    <row r="30" spans="1:3" s="34" customFormat="1">
      <c r="A30" s="34" t="s">
        <v>60</v>
      </c>
      <c r="B30" s="34">
        <v>75</v>
      </c>
      <c r="C30" s="34" t="s">
        <v>2</v>
      </c>
    </row>
    <row r="31" spans="1:3" s="34" customFormat="1">
      <c r="A31" s="34" t="s">
        <v>150</v>
      </c>
      <c r="B31" s="34">
        <v>8000</v>
      </c>
      <c r="C31" s="34" t="s">
        <v>4</v>
      </c>
    </row>
    <row r="32" spans="1:3" s="34" customFormat="1">
      <c r="A32" s="34" t="s">
        <v>151</v>
      </c>
      <c r="B32" s="34">
        <v>0</v>
      </c>
      <c r="C32" s="34" t="s">
        <v>4</v>
      </c>
    </row>
    <row r="33" spans="1:3" s="34" customFormat="1">
      <c r="A33" s="34" t="s">
        <v>152</v>
      </c>
      <c r="B33" s="34">
        <v>15000</v>
      </c>
      <c r="C33" s="34" t="s">
        <v>4</v>
      </c>
    </row>
    <row r="34" spans="1:3" s="34" customFormat="1">
      <c r="A34" s="34" t="s">
        <v>153</v>
      </c>
      <c r="B34" s="34">
        <v>0</v>
      </c>
      <c r="C34" s="34" t="s">
        <v>4</v>
      </c>
    </row>
    <row r="35" spans="1:3" s="34" customFormat="1">
      <c r="A35" s="34" t="s">
        <v>154</v>
      </c>
      <c r="B35" s="34">
        <v>12972.972972972972</v>
      </c>
      <c r="C35" s="34" t="s">
        <v>4</v>
      </c>
    </row>
    <row r="36" spans="1:3" s="34" customFormat="1">
      <c r="A36" s="34" t="s">
        <v>155</v>
      </c>
      <c r="B36" s="34">
        <v>0</v>
      </c>
      <c r="C36" s="34" t="s">
        <v>4</v>
      </c>
    </row>
    <row r="37" spans="1:3" s="34" customFormat="1">
      <c r="A37" s="34" t="s">
        <v>156</v>
      </c>
      <c r="B37" s="34">
        <v>135000</v>
      </c>
      <c r="C37" s="34" t="s">
        <v>6</v>
      </c>
    </row>
    <row r="38" spans="1:3" s="34" customFormat="1">
      <c r="A38" s="34" t="s">
        <v>157</v>
      </c>
      <c r="B38" s="34">
        <v>50000</v>
      </c>
      <c r="C38" s="34" t="s">
        <v>158</v>
      </c>
    </row>
    <row r="39" spans="1:3" s="34" customFormat="1">
      <c r="A39" s="34" t="s">
        <v>159</v>
      </c>
      <c r="B39" s="34">
        <v>0</v>
      </c>
      <c r="C39" s="34" t="s">
        <v>7</v>
      </c>
    </row>
    <row r="40" spans="1:3" s="34" customFormat="1">
      <c r="A40" s="34" t="s">
        <v>160</v>
      </c>
      <c r="B40" s="34">
        <v>30</v>
      </c>
      <c r="C40" s="34" t="s">
        <v>7</v>
      </c>
    </row>
  </sheetData>
  <mergeCells count="1">
    <mergeCell ref="F7:H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1"/>
  <sheetViews>
    <sheetView topLeftCell="A28" zoomScale="110" zoomScaleNormal="110" workbookViewId="0">
      <selection activeCell="A16" sqref="A16"/>
    </sheetView>
  </sheetViews>
  <sheetFormatPr defaultColWidth="10.85546875" defaultRowHeight="15"/>
  <cols>
    <col min="1" max="1" width="31.7109375" style="42" customWidth="1"/>
    <col min="2" max="5" width="19" style="43" customWidth="1"/>
    <col min="6" max="16384" width="10.85546875" style="42"/>
  </cols>
  <sheetData>
    <row r="1" spans="1:5" s="19" customFormat="1"/>
    <row r="2" spans="1:5" s="19" customFormat="1" ht="18.75">
      <c r="B2" s="20" t="s">
        <v>136</v>
      </c>
    </row>
    <row r="3" spans="1:5" s="19" customFormat="1" ht="18.75">
      <c r="B3" s="21" t="s">
        <v>137</v>
      </c>
    </row>
    <row r="4" spans="1:5" s="19" customFormat="1"/>
    <row r="5" spans="1:5" s="22" customFormat="1" ht="5.0999999999999996" customHeight="1"/>
    <row r="6" spans="1:5">
      <c r="B6" s="44"/>
      <c r="C6" s="44"/>
      <c r="D6" s="44"/>
      <c r="E6" s="44"/>
    </row>
    <row r="7" spans="1:5" ht="16.5">
      <c r="A7" s="13"/>
      <c r="B7" s="44" t="s">
        <v>174</v>
      </c>
      <c r="C7" s="44" t="s">
        <v>174</v>
      </c>
      <c r="D7" s="44" t="s">
        <v>177</v>
      </c>
      <c r="E7" s="44" t="s">
        <v>178</v>
      </c>
    </row>
    <row r="8" spans="1:5" ht="16.5">
      <c r="A8" s="13"/>
      <c r="B8" s="45" t="s">
        <v>175</v>
      </c>
      <c r="C8" s="44" t="s">
        <v>176</v>
      </c>
      <c r="D8" s="44" t="s">
        <v>176</v>
      </c>
      <c r="E8" s="44" t="s">
        <v>176</v>
      </c>
    </row>
    <row r="9" spans="1:5" ht="16.5">
      <c r="A9" s="13" t="s">
        <v>73</v>
      </c>
      <c r="B9" s="46">
        <f>('HTC CP1'!K16+'HTC CP1'!K17)*'HTC CP1'!K18</f>
        <v>8760000</v>
      </c>
      <c r="C9" s="47">
        <f>'R2'!B3</f>
        <v>8760000</v>
      </c>
      <c r="D9" s="47">
        <f>'R3'!B3</f>
        <v>8760000</v>
      </c>
      <c r="E9" s="47">
        <f>'R4'!B3</f>
        <v>8760000</v>
      </c>
    </row>
    <row r="10" spans="1:5" ht="16.5">
      <c r="A10" s="13" t="s">
        <v>77</v>
      </c>
      <c r="B10" s="46">
        <f>'HTC CP1'!D7</f>
        <v>277663618.97273767</v>
      </c>
      <c r="C10" s="48">
        <f>'R2'!B4</f>
        <v>2538054714.7756495</v>
      </c>
      <c r="D10" s="48">
        <f>'R3'!B4</f>
        <v>0</v>
      </c>
      <c r="E10" s="48">
        <f>'R4'!B4</f>
        <v>7054239300.4140759</v>
      </c>
    </row>
    <row r="11" spans="1:5" ht="16.5">
      <c r="A11" s="13" t="s">
        <v>74</v>
      </c>
      <c r="B11" s="46">
        <f>'HTC CP1'!D8</f>
        <v>56379130480.902412</v>
      </c>
      <c r="C11" s="48">
        <f>'R2'!B5</f>
        <v>54961298483.326492</v>
      </c>
      <c r="D11" s="48">
        <f>'R3'!B5</f>
        <v>56699745855.333786</v>
      </c>
      <c r="E11" s="48">
        <f>'R4'!B5</f>
        <v>52116099839.996758</v>
      </c>
    </row>
    <row r="12" spans="1:5" ht="16.5">
      <c r="A12" s="13" t="s">
        <v>75</v>
      </c>
      <c r="B12" s="49">
        <f>'HTC CP1'!D9</f>
        <v>0</v>
      </c>
      <c r="C12" s="49">
        <f>'R2'!B6</f>
        <v>-9451034533.2719631</v>
      </c>
      <c r="D12" s="49">
        <f>'R3'!B6</f>
        <v>-12536655000</v>
      </c>
      <c r="E12" s="49">
        <f>'R4'!B6</f>
        <v>-4401900000</v>
      </c>
    </row>
    <row r="13" spans="1:5" ht="16.5">
      <c r="A13" s="13" t="s">
        <v>76</v>
      </c>
      <c r="B13" s="46">
        <f>'HTC CP1'!D10</f>
        <v>-56101466861.929672</v>
      </c>
      <c r="C13" s="46">
        <f>'R2'!B7</f>
        <v>-61874278301.822807</v>
      </c>
      <c r="D13" s="46">
        <f>'R3'!B7</f>
        <v>-69236400855.333786</v>
      </c>
      <c r="E13" s="46">
        <f>'R4'!B7</f>
        <v>-49463760539.58268</v>
      </c>
    </row>
    <row r="14" spans="1:5" ht="16.5">
      <c r="A14" s="13"/>
      <c r="B14" s="50"/>
      <c r="C14" s="50"/>
      <c r="D14" s="50"/>
      <c r="E14" s="50"/>
    </row>
    <row r="15" spans="1:5" ht="16.5">
      <c r="A15" s="13" t="s">
        <v>112</v>
      </c>
      <c r="B15" s="50"/>
      <c r="C15" s="50"/>
      <c r="D15" s="50"/>
      <c r="E15" s="50"/>
    </row>
    <row r="16" spans="1:5" ht="16.5">
      <c r="A16" s="13" t="s">
        <v>115</v>
      </c>
      <c r="B16" s="51">
        <f>'HTC CP1'!C21</f>
        <v>688.81186472307581</v>
      </c>
      <c r="C16" s="51">
        <f>'R2'!B10</f>
        <v>2949.7585475815863</v>
      </c>
      <c r="D16" s="51">
        <f>'R3'!B10</f>
        <v>0</v>
      </c>
      <c r="E16" s="51">
        <f>'R4'!B10</f>
        <v>5521.6192489172618</v>
      </c>
    </row>
    <row r="17" spans="1:5" ht="16.5">
      <c r="A17" s="13" t="s">
        <v>116</v>
      </c>
      <c r="B17" s="52">
        <f>'HTC CP1'!C25</f>
        <v>12014.406558766341</v>
      </c>
      <c r="C17" s="52">
        <f>'R2'!B11</f>
        <v>8108.8996665622135</v>
      </c>
      <c r="D17" s="52">
        <f>'R3'!B11</f>
        <v>13459.030064847519</v>
      </c>
      <c r="E17" s="52">
        <f>'R4'!B11</f>
        <v>3898.9124597974619</v>
      </c>
    </row>
    <row r="18" spans="1:5" ht="16.5">
      <c r="A18" s="13" t="s">
        <v>117</v>
      </c>
      <c r="B18" s="52">
        <f>'HTC CP1'!C23</f>
        <v>11837.142633733451</v>
      </c>
      <c r="C18" s="52">
        <f>'R2'!B12</f>
        <v>10664.132691328598</v>
      </c>
      <c r="D18" s="52">
        <f>'R3'!B12</f>
        <v>12372.157123210285</v>
      </c>
      <c r="E18" s="52">
        <f>'R4'!B12</f>
        <v>9329.3225985004647</v>
      </c>
    </row>
    <row r="19" spans="1:5" ht="16.5">
      <c r="A19" s="13" t="s">
        <v>114</v>
      </c>
      <c r="B19" s="52">
        <f>'HTC CP1'!D15</f>
        <v>866.07578975596516</v>
      </c>
      <c r="C19" s="52">
        <f>'R2'!B13</f>
        <v>394.52552281520184</v>
      </c>
      <c r="D19" s="52">
        <f>'R3'!B13</f>
        <v>1086.8729416372335</v>
      </c>
      <c r="E19" s="52">
        <f>'R4'!B13</f>
        <v>91.209110214258544</v>
      </c>
    </row>
    <row r="20" spans="1:5" ht="16.5">
      <c r="A20" s="13" t="s">
        <v>113</v>
      </c>
      <c r="B20" s="53">
        <f>'HTC CP1'!D17</f>
        <v>6.9142498470889775</v>
      </c>
      <c r="C20" s="53">
        <f>'R2'!B14</f>
        <v>2.8979629401445424</v>
      </c>
      <c r="D20" s="53">
        <f>'R3'!B14</f>
        <v>8.7848297658477801</v>
      </c>
      <c r="E20" s="53">
        <f>'R4'!B14</f>
        <v>0.6141638096180273</v>
      </c>
    </row>
    <row r="21" spans="1:5" ht="16.5">
      <c r="A21" s="13"/>
      <c r="B21" s="50"/>
      <c r="C21" s="50"/>
      <c r="D21" s="50"/>
      <c r="E21" s="50"/>
    </row>
    <row r="22" spans="1:5" ht="16.5">
      <c r="A22" s="13" t="s">
        <v>118</v>
      </c>
      <c r="B22" s="50"/>
      <c r="C22" s="50"/>
      <c r="D22" s="50"/>
      <c r="E22" s="50"/>
    </row>
    <row r="23" spans="1:5" ht="16.5">
      <c r="A23" s="13" t="s">
        <v>119</v>
      </c>
      <c r="B23" s="51">
        <f>'HTC CP1'!C22</f>
        <v>148.8824186597607</v>
      </c>
      <c r="C23" s="51">
        <f>'R2'!B17</f>
        <v>1731.4714861739762</v>
      </c>
      <c r="D23" s="51">
        <f>'R3'!B17</f>
        <v>0</v>
      </c>
      <c r="E23" s="51">
        <f>'R4'!B17</f>
        <v>3575.2561235975213</v>
      </c>
    </row>
    <row r="24" spans="1:5" ht="16.5">
      <c r="A24" s="13" t="s">
        <v>120</v>
      </c>
      <c r="B24" s="52">
        <f>'HTC CP1'!C26</f>
        <v>12627.010968226692</v>
      </c>
      <c r="C24" s="52">
        <f>'R2'!B18</f>
        <v>9384.7103050056048</v>
      </c>
      <c r="D24" s="52">
        <f>'R3'!B18</f>
        <v>13459.030064770663</v>
      </c>
      <c r="E24" s="52">
        <f>'R4'!B18</f>
        <v>5777.2344950076194</v>
      </c>
    </row>
    <row r="25" spans="1:5" ht="16.5">
      <c r="A25" s="13" t="s">
        <v>121</v>
      </c>
      <c r="B25" s="52">
        <f>'HTC CP1'!C24</f>
        <v>11819.244950936149</v>
      </c>
      <c r="C25" s="52">
        <f>'R2'!B19</f>
        <v>10587.745066126308</v>
      </c>
      <c r="D25" s="52">
        <f>'R3'!B19</f>
        <v>12372.15712306426</v>
      </c>
      <c r="E25" s="52">
        <f>'R4'!B19</f>
        <v>9152.2319881439817</v>
      </c>
    </row>
    <row r="26" spans="1:5" ht="16.5">
      <c r="A26" s="13" t="s">
        <v>122</v>
      </c>
      <c r="B26" s="52">
        <f>'HTC CP1'!D16</f>
        <v>956.6484359503047</v>
      </c>
      <c r="C26" s="52">
        <f>'R2'!B20</f>
        <v>528.43672505327231</v>
      </c>
      <c r="D26" s="52">
        <f>'R3'!B20</f>
        <v>1086.8729417064023</v>
      </c>
      <c r="E26" s="52">
        <f>'R4'!B20</f>
        <v>200.25863046115956</v>
      </c>
    </row>
    <row r="27" spans="1:5" ht="16.5">
      <c r="A27" s="13" t="s">
        <v>113</v>
      </c>
      <c r="B27" s="53">
        <f>'HTC CP1'!D18</f>
        <v>7.9933009267648263</v>
      </c>
      <c r="C27" s="53">
        <f>'R2'!B21</f>
        <v>4.2895319098404912</v>
      </c>
      <c r="D27" s="53">
        <f>'R3'!B21</f>
        <v>8.7848297665105335</v>
      </c>
      <c r="E27" s="53">
        <f>'R4'!B21</f>
        <v>1.5734340405819336</v>
      </c>
    </row>
    <row r="28" spans="1:5" ht="16.5">
      <c r="A28" s="13"/>
      <c r="B28" s="50"/>
      <c r="C28" s="50"/>
      <c r="D28" s="50"/>
      <c r="E28" s="50"/>
    </row>
    <row r="29" spans="1:5" ht="16.5">
      <c r="A29" s="13" t="s">
        <v>101</v>
      </c>
      <c r="B29" s="50"/>
      <c r="C29" s="50"/>
      <c r="D29" s="50"/>
      <c r="E29" s="50"/>
    </row>
    <row r="30" spans="1:5" ht="16.5">
      <c r="A30" s="13" t="s">
        <v>105</v>
      </c>
      <c r="B30" s="51">
        <f>'HTC CP1'!K24</f>
        <v>30</v>
      </c>
      <c r="C30" s="51">
        <f>'R2'!B24</f>
        <v>30</v>
      </c>
      <c r="D30" s="51">
        <f>'R3'!B24</f>
        <v>40</v>
      </c>
      <c r="E30" s="51">
        <f>'R4'!B24</f>
        <v>10</v>
      </c>
    </row>
    <row r="31" spans="1:5" ht="16.5">
      <c r="A31" s="13" t="s">
        <v>104</v>
      </c>
      <c r="B31" s="52">
        <f>'HTC CP1'!C29</f>
        <v>0</v>
      </c>
      <c r="C31" s="52">
        <f>'R2'!B25</f>
        <v>0</v>
      </c>
      <c r="D31" s="52">
        <f>'R3'!B25</f>
        <v>6.5936073059360716</v>
      </c>
      <c r="E31" s="52">
        <f>'R4'!B25</f>
        <v>0</v>
      </c>
    </row>
    <row r="32" spans="1:5" ht="16.5">
      <c r="A32" s="13" t="s">
        <v>103</v>
      </c>
      <c r="B32" s="52">
        <f>'HTC CP1'!D13</f>
        <v>19.465069487742788</v>
      </c>
      <c r="C32" s="52">
        <f>'R2'!B26</f>
        <v>12.820892037867049</v>
      </c>
      <c r="D32" s="52">
        <f>'R3'!B26</f>
        <v>22.000000000135969</v>
      </c>
      <c r="E32" s="52">
        <f>'R4'!B26</f>
        <v>6.0003838733878325</v>
      </c>
    </row>
    <row r="33" spans="1:5" ht="16.5">
      <c r="A33" s="13" t="s">
        <v>111</v>
      </c>
      <c r="B33" s="52">
        <f>'HTC CP1'!K23</f>
        <v>50000</v>
      </c>
      <c r="C33" s="52">
        <f>'R2'!B27</f>
        <v>50000</v>
      </c>
      <c r="D33" s="52">
        <f>'R3'!B27</f>
        <v>50000</v>
      </c>
      <c r="E33" s="52">
        <f>'R4'!B27</f>
        <v>50000</v>
      </c>
    </row>
    <row r="34" spans="1:5" ht="16.5">
      <c r="A34" s="13" t="s">
        <v>102</v>
      </c>
      <c r="B34" s="53">
        <f>'HTC CP1'!C27</f>
        <v>96142.99564368659</v>
      </c>
      <c r="C34" s="53">
        <f>'R2'!B28</f>
        <v>125244.49287413528</v>
      </c>
      <c r="D34" s="53">
        <f>'R3'!B28</f>
        <v>99960</v>
      </c>
      <c r="E34" s="53">
        <f>'R4'!B28</f>
        <v>67518.318634566604</v>
      </c>
    </row>
    <row r="35" spans="1:5" ht="16.5">
      <c r="A35" s="13"/>
      <c r="B35" s="50"/>
      <c r="C35" s="50"/>
      <c r="D35" s="50"/>
      <c r="E35" s="50"/>
    </row>
    <row r="36" spans="1:5" ht="16.5">
      <c r="A36" s="13" t="s">
        <v>106</v>
      </c>
      <c r="B36" s="50"/>
      <c r="C36" s="50"/>
      <c r="D36" s="50"/>
      <c r="E36" s="50"/>
    </row>
    <row r="37" spans="1:5" ht="16.5">
      <c r="A37" s="13" t="s">
        <v>107</v>
      </c>
      <c r="B37" s="51">
        <f>'HTC CP1'!K25</f>
        <v>10</v>
      </c>
      <c r="C37" s="51">
        <f>'R2'!B31</f>
        <v>10</v>
      </c>
      <c r="D37" s="51">
        <f>'R3'!B31</f>
        <v>30</v>
      </c>
      <c r="E37" s="51">
        <f>'R4'!B31</f>
        <v>5</v>
      </c>
    </row>
    <row r="38" spans="1:5" ht="16.5">
      <c r="A38" s="13" t="s">
        <v>108</v>
      </c>
      <c r="B38" s="52">
        <f>'HTC CP1'!C30</f>
        <v>0</v>
      </c>
      <c r="C38" s="52">
        <f>'R2'!B32</f>
        <v>0</v>
      </c>
      <c r="D38" s="52">
        <f>'R3'!B32</f>
        <v>0</v>
      </c>
      <c r="E38" s="52">
        <f>'R4'!B32</f>
        <v>0</v>
      </c>
    </row>
    <row r="39" spans="1:5" ht="16.5">
      <c r="A39" s="13" t="s">
        <v>109</v>
      </c>
      <c r="B39" s="52">
        <f>'HTC CP1'!D14</f>
        <v>20.534930512257208</v>
      </c>
      <c r="C39" s="52">
        <f>'R2'!B33</f>
        <v>14.957793332597191</v>
      </c>
      <c r="D39" s="52">
        <f>'R3'!B33</f>
        <v>22</v>
      </c>
      <c r="E39" s="52">
        <f>'R4'!B33</f>
        <v>8.9996161266144892</v>
      </c>
    </row>
    <row r="40" spans="1:5" ht="16.5">
      <c r="A40" s="13" t="s">
        <v>110</v>
      </c>
      <c r="B40" s="53">
        <f>'HTC CP1'!C28</f>
        <v>50000</v>
      </c>
      <c r="C40" s="53">
        <f>'R2'!B34</f>
        <v>103529.35807735957</v>
      </c>
      <c r="D40" s="53">
        <f>'R3'!B34</f>
        <v>135000</v>
      </c>
      <c r="E40" s="53">
        <f>'R4'!B34</f>
        <v>50000</v>
      </c>
    </row>
    <row r="41" spans="1:5" ht="16.5">
      <c r="A41" s="13"/>
      <c r="B41" s="50"/>
      <c r="C41" s="50"/>
      <c r="D41" s="50"/>
      <c r="E41" s="50"/>
    </row>
    <row r="42" spans="1:5" ht="16.5">
      <c r="A42" s="13" t="s">
        <v>82</v>
      </c>
      <c r="B42" s="50"/>
      <c r="C42" s="50"/>
      <c r="D42" s="50"/>
      <c r="E42" s="50"/>
    </row>
    <row r="43" spans="1:5" ht="16.5">
      <c r="A43" s="13" t="s">
        <v>84</v>
      </c>
      <c r="B43" s="51">
        <f>'HTC CP1'!D33</f>
        <v>87.553588649713106</v>
      </c>
      <c r="C43" s="51">
        <f>'R2'!B37</f>
        <v>177.97310504342056</v>
      </c>
      <c r="D43" s="51">
        <f>'R3'!B37</f>
        <v>46.312888419207184</v>
      </c>
      <c r="E43" s="51">
        <f>'R4'!B37</f>
        <v>280.86471636558917</v>
      </c>
    </row>
    <row r="44" spans="1:5" ht="16.5">
      <c r="A44" s="13" t="s">
        <v>85</v>
      </c>
      <c r="B44" s="52">
        <f>'HTC CP1'!E33</f>
        <v>74.93073573311338</v>
      </c>
      <c r="C44" s="52">
        <f>'R2'!B38</f>
        <v>160.65511241769693</v>
      </c>
      <c r="D44" s="52">
        <f>'R3'!B38</f>
        <v>38.832969727718726</v>
      </c>
      <c r="E44" s="52">
        <f>'R4'!B38</f>
        <v>267.72391305972587</v>
      </c>
    </row>
    <row r="45" spans="1:5" ht="16.5">
      <c r="A45" s="13" t="s">
        <v>134</v>
      </c>
      <c r="B45" s="53">
        <f>'1'!E25/(8760)</f>
        <v>-4.9150790362009946</v>
      </c>
      <c r="C45" s="53">
        <f>'R2'!B39/2</f>
        <v>-11.034560748027525</v>
      </c>
      <c r="D45" s="53">
        <f>'R3'!B39/2</f>
        <v>0</v>
      </c>
      <c r="E45" s="53">
        <f>'R4'!B39/2</f>
        <v>-19.367914785987125</v>
      </c>
    </row>
    <row r="46" spans="1:5" ht="16.5" hidden="1">
      <c r="A46" s="13" t="s">
        <v>87</v>
      </c>
      <c r="B46" s="50" t="e">
        <f>'HTC CP1'!#REF!</f>
        <v>#REF!</v>
      </c>
      <c r="C46" s="50" t="e">
        <f>'R2'!B40</f>
        <v>#REF!</v>
      </c>
      <c r="D46" s="50" t="e">
        <f>'R3'!B40</f>
        <v>#REF!</v>
      </c>
      <c r="E46" s="50" t="e">
        <f>'R4'!B40</f>
        <v>#REF!</v>
      </c>
    </row>
    <row r="47" spans="1:5" ht="16.5" hidden="1">
      <c r="A47" s="13" t="s">
        <v>88</v>
      </c>
      <c r="B47" s="50" t="e">
        <f>'HTC CP1'!#REF!</f>
        <v>#REF!</v>
      </c>
      <c r="C47" s="50" t="e">
        <f>'R2'!B41</f>
        <v>#REF!</v>
      </c>
      <c r="D47" s="50" t="e">
        <f>'R3'!B41</f>
        <v>#REF!</v>
      </c>
      <c r="E47" s="50" t="e">
        <f>'R4'!B41</f>
        <v>#REF!</v>
      </c>
    </row>
    <row r="48" spans="1:5" ht="16.5" hidden="1">
      <c r="A48" s="13" t="s">
        <v>89</v>
      </c>
      <c r="B48" s="50" t="e">
        <f>'HTC CP1'!#REF!</f>
        <v>#REF!</v>
      </c>
      <c r="C48" s="50" t="e">
        <f>'R2'!B42</f>
        <v>#REF!</v>
      </c>
      <c r="D48" s="50" t="e">
        <f>'R3'!B42</f>
        <v>#REF!</v>
      </c>
      <c r="E48" s="50" t="e">
        <f>'R4'!B42</f>
        <v>#REF!</v>
      </c>
    </row>
    <row r="49" spans="1:5" ht="16.5" hidden="1">
      <c r="A49" s="13" t="s">
        <v>100</v>
      </c>
      <c r="B49" s="50" t="e">
        <f>'HTC CP1'!#REF!</f>
        <v>#REF!</v>
      </c>
      <c r="C49" s="50" t="e">
        <f>'R2'!B43</f>
        <v>#REF!</v>
      </c>
      <c r="D49" s="50" t="e">
        <f>'R3'!B43</f>
        <v>#REF!</v>
      </c>
      <c r="E49" s="50" t="e">
        <f>'R4'!B43</f>
        <v>#REF!</v>
      </c>
    </row>
    <row r="50" spans="1:5" ht="16.5" hidden="1">
      <c r="A50" s="13" t="s">
        <v>90</v>
      </c>
      <c r="B50" s="50" t="e">
        <f>'HTC CP1'!#REF!</f>
        <v>#REF!</v>
      </c>
      <c r="C50" s="50" t="e">
        <f>'R2'!B44</f>
        <v>#REF!</v>
      </c>
      <c r="D50" s="50" t="e">
        <f>'R3'!B44</f>
        <v>#REF!</v>
      </c>
      <c r="E50" s="50" t="e">
        <f>'R4'!B44</f>
        <v>#REF!</v>
      </c>
    </row>
    <row r="51" spans="1:5" ht="16.5">
      <c r="A51" s="13"/>
      <c r="B51" s="50"/>
      <c r="C51" s="50"/>
      <c r="D51" s="50"/>
      <c r="E51" s="50"/>
    </row>
    <row r="52" spans="1:5" ht="16.5">
      <c r="A52" s="13" t="s">
        <v>91</v>
      </c>
      <c r="B52" s="50"/>
      <c r="C52" s="50"/>
      <c r="D52" s="50"/>
      <c r="E52" s="50"/>
    </row>
    <row r="53" spans="1:5" ht="16.5">
      <c r="A53" s="13" t="s">
        <v>92</v>
      </c>
      <c r="B53" s="51">
        <f>'HTC CP1'!D34</f>
        <v>88.933201698671837</v>
      </c>
      <c r="C53" s="51">
        <f>'R2'!B47</f>
        <v>183.86131781943038</v>
      </c>
      <c r="D53" s="51">
        <f>'R3'!B47</f>
        <v>46.312888430463204</v>
      </c>
      <c r="E53" s="51">
        <f>'R4'!B47</f>
        <v>294.51545091390142</v>
      </c>
    </row>
    <row r="54" spans="1:5" ht="16.5">
      <c r="A54" s="13" t="s">
        <v>93</v>
      </c>
      <c r="B54" s="52">
        <f>'HTC CP1'!E34</f>
        <v>75.457675539208083</v>
      </c>
      <c r="C54" s="52">
        <f>'R2'!B48</f>
        <v>163.15549537104735</v>
      </c>
      <c r="D54" s="52">
        <f>'R3'!B48</f>
        <v>38.832969737199519</v>
      </c>
      <c r="E54" s="52">
        <f>'R4'!B48</f>
        <v>274.09763304591127</v>
      </c>
    </row>
    <row r="55" spans="1:5" ht="16.5">
      <c r="A55" s="13" t="s">
        <v>135</v>
      </c>
      <c r="B55" s="53">
        <f>'1'!E26/(8760)</f>
        <v>-4.9150887311075531</v>
      </c>
      <c r="C55" s="53">
        <f>'R2'!B49/2</f>
        <v>-11.037421328489041</v>
      </c>
      <c r="D55" s="53">
        <f>'R3'!B49/2</f>
        <v>0</v>
      </c>
      <c r="E55" s="53">
        <f>'R4'!B49/2</f>
        <v>-19.367837154351392</v>
      </c>
    </row>
    <row r="56" spans="1:5" hidden="1">
      <c r="A56" s="42" t="s">
        <v>179</v>
      </c>
      <c r="B56" s="50" t="e">
        <f>'HTC CP1'!#REF!</f>
        <v>#REF!</v>
      </c>
      <c r="C56" s="44" t="e">
        <f>'R2'!B50</f>
        <v>#REF!</v>
      </c>
      <c r="D56" s="44" t="e">
        <f>'R3'!B50</f>
        <v>#REF!</v>
      </c>
      <c r="E56" s="44" t="e">
        <f>'R4'!B50</f>
        <v>#REF!</v>
      </c>
    </row>
    <row r="57" spans="1:5" hidden="1">
      <c r="A57" s="42" t="s">
        <v>180</v>
      </c>
      <c r="B57" s="50" t="e">
        <f>'HTC CP1'!#REF!</f>
        <v>#REF!</v>
      </c>
      <c r="C57" s="44" t="e">
        <f>'R2'!B51</f>
        <v>#REF!</v>
      </c>
      <c r="D57" s="44" t="e">
        <f>'R3'!B51</f>
        <v>#REF!</v>
      </c>
      <c r="E57" s="44" t="e">
        <f>'R4'!B51</f>
        <v>#REF!</v>
      </c>
    </row>
    <row r="58" spans="1:5" hidden="1">
      <c r="A58" s="42" t="s">
        <v>181</v>
      </c>
      <c r="B58" s="50" t="e">
        <f>'HTC CP1'!#REF!</f>
        <v>#REF!</v>
      </c>
      <c r="C58" s="44" t="e">
        <f>'R2'!B52</f>
        <v>#REF!</v>
      </c>
      <c r="D58" s="44" t="e">
        <f>'R3'!B52</f>
        <v>#REF!</v>
      </c>
      <c r="E58" s="44" t="e">
        <f>'R4'!B52</f>
        <v>#REF!</v>
      </c>
    </row>
    <row r="59" spans="1:5" hidden="1">
      <c r="A59" s="42" t="s">
        <v>182</v>
      </c>
      <c r="B59" s="50">
        <f>'HTC CP1'!H39</f>
        <v>0</v>
      </c>
      <c r="C59" s="44">
        <f>'R2'!B53</f>
        <v>0</v>
      </c>
      <c r="D59" s="44">
        <f>'R3'!B53</f>
        <v>0</v>
      </c>
      <c r="E59" s="44">
        <f>'R4'!B53</f>
        <v>0</v>
      </c>
    </row>
    <row r="60" spans="1:5" hidden="1">
      <c r="A60" s="42" t="s">
        <v>183</v>
      </c>
      <c r="B60" s="50">
        <f>'HTC CP1'!H40</f>
        <v>0</v>
      </c>
      <c r="C60" s="44">
        <f>'R2'!B54</f>
        <v>0</v>
      </c>
      <c r="D60" s="44">
        <f>'R3'!B54</f>
        <v>0</v>
      </c>
      <c r="E60" s="44">
        <f>'R4'!B54</f>
        <v>0</v>
      </c>
    </row>
    <row r="61" spans="1:5">
      <c r="B61" s="44"/>
      <c r="C61" s="44"/>
      <c r="D61" s="44"/>
      <c r="E61" s="44"/>
    </row>
    <row r="62" spans="1:5">
      <c r="B62" s="44"/>
      <c r="C62" s="44"/>
      <c r="D62" s="44"/>
      <c r="E62" s="44"/>
    </row>
    <row r="63" spans="1:5">
      <c r="B63" s="44"/>
      <c r="C63" s="44"/>
      <c r="D63" s="44"/>
      <c r="E63" s="44"/>
    </row>
    <row r="64" spans="1:5">
      <c r="B64" s="44"/>
      <c r="C64" s="44"/>
      <c r="D64" s="44"/>
      <c r="E64" s="44"/>
    </row>
    <row r="65" spans="2:5">
      <c r="B65" s="44"/>
      <c r="C65" s="44"/>
      <c r="D65" s="44"/>
      <c r="E65" s="44"/>
    </row>
    <row r="66" spans="2:5">
      <c r="B66" s="44"/>
      <c r="C66" s="44"/>
      <c r="D66" s="44"/>
      <c r="E66" s="44"/>
    </row>
    <row r="67" spans="2:5">
      <c r="B67" s="44"/>
      <c r="C67" s="44"/>
      <c r="D67" s="44"/>
      <c r="E67" s="44"/>
    </row>
    <row r="68" spans="2:5">
      <c r="B68" s="44"/>
      <c r="C68" s="44"/>
      <c r="D68" s="44"/>
      <c r="E68" s="44"/>
    </row>
    <row r="69" spans="2:5">
      <c r="B69" s="44"/>
      <c r="C69" s="44"/>
      <c r="D69" s="44"/>
      <c r="E69" s="44"/>
    </row>
    <row r="70" spans="2:5">
      <c r="B70" s="44"/>
      <c r="C70" s="44"/>
      <c r="D70" s="44"/>
      <c r="E70" s="44"/>
    </row>
    <row r="71" spans="2:5">
      <c r="B71" s="44"/>
      <c r="C71" s="44"/>
      <c r="D71" s="44"/>
      <c r="E71" s="44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A44" sqref="A40:XFD44"/>
    </sheetView>
  </sheetViews>
  <sheetFormatPr defaultColWidth="10.85546875" defaultRowHeight="16.5"/>
  <cols>
    <col min="1" max="1" width="43.7109375" style="13" customWidth="1"/>
    <col min="2" max="2" width="23.140625" style="13" customWidth="1"/>
    <col min="3" max="16384" width="10.8554687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CP4'!K16+'HTC CP4'!K17)*'HTC CP4'!K18</f>
        <v>8760000</v>
      </c>
    </row>
    <row r="4" spans="1:2">
      <c r="A4" s="13" t="s">
        <v>77</v>
      </c>
      <c r="B4" s="15">
        <f>'HTC CP4'!D7</f>
        <v>7054239300.4140759</v>
      </c>
    </row>
    <row r="5" spans="1:2">
      <c r="A5" s="13" t="s">
        <v>74</v>
      </c>
      <c r="B5" s="15">
        <f>'HTC CP4'!D8</f>
        <v>52116099839.996758</v>
      </c>
    </row>
    <row r="6" spans="1:2">
      <c r="A6" s="13" t="s">
        <v>75</v>
      </c>
      <c r="B6" s="16">
        <f>'HTC CP4'!D9</f>
        <v>-4401900000</v>
      </c>
    </row>
    <row r="7" spans="1:2">
      <c r="A7" s="13" t="s">
        <v>76</v>
      </c>
      <c r="B7" s="15">
        <f>'HTC CP4'!D10</f>
        <v>-49463760539.58268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CP4'!C21</f>
        <v>5521.6192489172618</v>
      </c>
    </row>
    <row r="11" spans="1:2">
      <c r="A11" s="13" t="s">
        <v>116</v>
      </c>
      <c r="B11" s="15">
        <f>'HTC CP4'!C25</f>
        <v>3898.9124597974619</v>
      </c>
    </row>
    <row r="12" spans="1:2">
      <c r="A12" s="13" t="s">
        <v>117</v>
      </c>
      <c r="B12" s="15">
        <f>'HTC CP4'!C23</f>
        <v>9329.3225985004647</v>
      </c>
    </row>
    <row r="13" spans="1:2">
      <c r="A13" s="13" t="s">
        <v>114</v>
      </c>
      <c r="B13" s="15">
        <f>'HTC CP4'!D15</f>
        <v>91.209110214258544</v>
      </c>
    </row>
    <row r="14" spans="1:2">
      <c r="A14" s="13" t="s">
        <v>113</v>
      </c>
      <c r="B14" s="15">
        <f>'HTC CP4'!D17</f>
        <v>0.6141638096180273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CP4'!C22</f>
        <v>3575.2561235975213</v>
      </c>
    </row>
    <row r="18" spans="1:2">
      <c r="A18" s="13" t="s">
        <v>120</v>
      </c>
      <c r="B18" s="15">
        <f>'HTC CP4'!C26</f>
        <v>5777.2344950076194</v>
      </c>
    </row>
    <row r="19" spans="1:2">
      <c r="A19" s="13" t="s">
        <v>121</v>
      </c>
      <c r="B19" s="15">
        <f>'HTC CP4'!C24</f>
        <v>9152.2319881439817</v>
      </c>
    </row>
    <row r="20" spans="1:2">
      <c r="A20" s="13" t="s">
        <v>122</v>
      </c>
      <c r="B20" s="15">
        <f>'HTC CP4'!D16</f>
        <v>200.25863046115956</v>
      </c>
    </row>
    <row r="21" spans="1:2">
      <c r="A21" s="13" t="s">
        <v>113</v>
      </c>
      <c r="B21" s="15">
        <f>'HTC CP4'!D18</f>
        <v>1.5734340405819336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CP4'!K24</f>
        <v>10</v>
      </c>
    </row>
    <row r="25" spans="1:2">
      <c r="A25" s="13" t="s">
        <v>104</v>
      </c>
      <c r="B25" s="15">
        <f>'HTC CP4'!C29</f>
        <v>0</v>
      </c>
    </row>
    <row r="26" spans="1:2">
      <c r="A26" s="13" t="s">
        <v>103</v>
      </c>
      <c r="B26" s="15">
        <f>'HTC CP4'!D13</f>
        <v>6.0003838733878325</v>
      </c>
    </row>
    <row r="27" spans="1:2">
      <c r="A27" s="13" t="s">
        <v>111</v>
      </c>
      <c r="B27" s="15">
        <f>'HTC CP4'!K23</f>
        <v>50000</v>
      </c>
    </row>
    <row r="28" spans="1:2">
      <c r="A28" s="13" t="s">
        <v>102</v>
      </c>
      <c r="B28" s="15">
        <f>'HTC CP4'!C27</f>
        <v>67518.318634566604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CP4'!K25</f>
        <v>5</v>
      </c>
    </row>
    <row r="32" spans="1:2">
      <c r="A32" s="13" t="s">
        <v>108</v>
      </c>
      <c r="B32" s="15">
        <f>'HTC CP4'!C30</f>
        <v>0</v>
      </c>
    </row>
    <row r="33" spans="1:2">
      <c r="A33" s="13" t="s">
        <v>109</v>
      </c>
      <c r="B33" s="15">
        <f>'HTC CP4'!D14</f>
        <v>8.9996161266144892</v>
      </c>
    </row>
    <row r="34" spans="1:2">
      <c r="A34" s="13" t="s">
        <v>110</v>
      </c>
      <c r="B34" s="15">
        <f>'HTC CP4'!C28</f>
        <v>50000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CP4'!D33</f>
        <v>280.86471636558917</v>
      </c>
    </row>
    <row r="38" spans="1:2">
      <c r="A38" s="13" t="s">
        <v>85</v>
      </c>
      <c r="B38" s="18">
        <f>'HTC CP4'!E33</f>
        <v>267.72391305972587</v>
      </c>
    </row>
    <row r="39" spans="1:2">
      <c r="A39" s="13" t="s">
        <v>86</v>
      </c>
      <c r="B39" s="18">
        <f>'4'!E25/(8760/2)</f>
        <v>-38.73582957197425</v>
      </c>
    </row>
    <row r="40" spans="1:2" hidden="1">
      <c r="A40" s="13" t="s">
        <v>87</v>
      </c>
      <c r="B40" s="18" t="e">
        <f>'HTC CP4'!#REF!</f>
        <v>#REF!</v>
      </c>
    </row>
    <row r="41" spans="1:2" hidden="1">
      <c r="A41" s="13" t="s">
        <v>88</v>
      </c>
      <c r="B41" s="18" t="e">
        <f>'HTC CP4'!#REF!</f>
        <v>#REF!</v>
      </c>
    </row>
    <row r="42" spans="1:2" hidden="1">
      <c r="A42" s="13" t="s">
        <v>89</v>
      </c>
      <c r="B42" s="18" t="e">
        <f>'HTC CP4'!#REF!</f>
        <v>#REF!</v>
      </c>
    </row>
    <row r="43" spans="1:2" hidden="1">
      <c r="A43" s="13" t="s">
        <v>100</v>
      </c>
      <c r="B43" s="18" t="e">
        <f>'HTC CP4'!#REF!</f>
        <v>#REF!</v>
      </c>
    </row>
    <row r="44" spans="1:2" hidden="1">
      <c r="A44" s="13" t="s">
        <v>90</v>
      </c>
      <c r="B44" s="18" t="e">
        <f>'HTC CP4'!#REF!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CP4'!D34</f>
        <v>294.51545091390142</v>
      </c>
    </row>
    <row r="48" spans="1:2">
      <c r="A48" s="13" t="s">
        <v>93</v>
      </c>
      <c r="B48" s="18">
        <f>'HTC CP4'!E34</f>
        <v>274.09763304591127</v>
      </c>
    </row>
    <row r="49" spans="1:2">
      <c r="A49" s="13" t="s">
        <v>94</v>
      </c>
      <c r="B49" s="18">
        <f>'4'!E26/(8760/2)</f>
        <v>-38.735674308702784</v>
      </c>
    </row>
    <row r="50" spans="1:2" hidden="1">
      <c r="A50" s="13" t="s">
        <v>95</v>
      </c>
      <c r="B50" s="18" t="e">
        <f>'HTC CP4'!#REF!</f>
        <v>#REF!</v>
      </c>
    </row>
    <row r="51" spans="1:2" hidden="1">
      <c r="A51" s="13" t="s">
        <v>96</v>
      </c>
      <c r="B51" s="18" t="e">
        <f>'HTC CP4'!#REF!</f>
        <v>#REF!</v>
      </c>
    </row>
    <row r="52" spans="1:2" hidden="1">
      <c r="A52" s="13" t="s">
        <v>97</v>
      </c>
      <c r="B52" s="18" t="e">
        <f>'HTC CP4'!#REF!</f>
        <v>#REF!</v>
      </c>
    </row>
    <row r="53" spans="1:2">
      <c r="A53" s="13" t="s">
        <v>98</v>
      </c>
      <c r="B53" s="18">
        <f>'HTC CP4'!H39</f>
        <v>0</v>
      </c>
    </row>
    <row r="54" spans="1:2">
      <c r="A54" s="13" t="s">
        <v>99</v>
      </c>
      <c r="B54" s="18">
        <f>'HTC CP4'!H40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topLeftCell="A31" workbookViewId="0">
      <selection activeCell="B54" sqref="B54"/>
    </sheetView>
  </sheetViews>
  <sheetFormatPr defaultColWidth="10.85546875" defaultRowHeight="16.5"/>
  <cols>
    <col min="1" max="1" width="43.7109375" style="13" customWidth="1"/>
    <col min="2" max="2" width="23.140625" style="13" customWidth="1"/>
    <col min="3" max="16384" width="10.8554687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CP3'!K16+'HTC CP3'!K17)*'HTC CP3'!K18</f>
        <v>8760000</v>
      </c>
    </row>
    <row r="4" spans="1:2">
      <c r="A4" s="13" t="s">
        <v>77</v>
      </c>
      <c r="B4" s="15">
        <f>'HTC CP3'!D7</f>
        <v>0</v>
      </c>
    </row>
    <row r="5" spans="1:2">
      <c r="A5" s="13" t="s">
        <v>74</v>
      </c>
      <c r="B5" s="15">
        <f>'HTC CP3'!D8</f>
        <v>56699745855.333786</v>
      </c>
    </row>
    <row r="6" spans="1:2">
      <c r="A6" s="13" t="s">
        <v>75</v>
      </c>
      <c r="B6" s="16">
        <f>'HTC CP3'!D9</f>
        <v>-12536655000</v>
      </c>
    </row>
    <row r="7" spans="1:2">
      <c r="A7" s="13" t="s">
        <v>76</v>
      </c>
      <c r="B7" s="15">
        <f>'HTC CP3'!D10</f>
        <v>-69236400855.333786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CP3'!C21</f>
        <v>0</v>
      </c>
    </row>
    <row r="11" spans="1:2">
      <c r="A11" s="13" t="s">
        <v>116</v>
      </c>
      <c r="B11" s="15">
        <f>'HTC CP3'!C25</f>
        <v>13459.030064847519</v>
      </c>
    </row>
    <row r="12" spans="1:2">
      <c r="A12" s="13" t="s">
        <v>117</v>
      </c>
      <c r="B12" s="15">
        <f>'HTC CP3'!C23</f>
        <v>12372.157123210285</v>
      </c>
    </row>
    <row r="13" spans="1:2">
      <c r="A13" s="13" t="s">
        <v>114</v>
      </c>
      <c r="B13" s="15">
        <f>'HTC CP3'!D15</f>
        <v>1086.8729416372335</v>
      </c>
    </row>
    <row r="14" spans="1:2">
      <c r="A14" s="13" t="s">
        <v>113</v>
      </c>
      <c r="B14" s="15">
        <f>'HTC CP3'!D17</f>
        <v>8.7848297658477801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CP3'!C22</f>
        <v>0</v>
      </c>
    </row>
    <row r="18" spans="1:2">
      <c r="A18" s="13" t="s">
        <v>120</v>
      </c>
      <c r="B18" s="15">
        <f>'HTC CP3'!C26</f>
        <v>13459.030064770663</v>
      </c>
    </row>
    <row r="19" spans="1:2">
      <c r="A19" s="13" t="s">
        <v>121</v>
      </c>
      <c r="B19" s="15">
        <f>'HTC CP3'!C24</f>
        <v>12372.15712306426</v>
      </c>
    </row>
    <row r="20" spans="1:2">
      <c r="A20" s="13" t="s">
        <v>122</v>
      </c>
      <c r="B20" s="15">
        <f>'HTC CP3'!D16</f>
        <v>1086.8729417064023</v>
      </c>
    </row>
    <row r="21" spans="1:2">
      <c r="A21" s="13" t="s">
        <v>113</v>
      </c>
      <c r="B21" s="15">
        <f>'HTC CP3'!D18</f>
        <v>8.7848297665105335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CP3'!K24</f>
        <v>40</v>
      </c>
    </row>
    <row r="25" spans="1:2">
      <c r="A25" s="13" t="s">
        <v>104</v>
      </c>
      <c r="B25" s="15">
        <f>'HTC CP3'!C29</f>
        <v>6.5936073059360716</v>
      </c>
    </row>
    <row r="26" spans="1:2">
      <c r="A26" s="13" t="s">
        <v>103</v>
      </c>
      <c r="B26" s="15">
        <f>'HTC CP3'!D13</f>
        <v>22.000000000135969</v>
      </c>
    </row>
    <row r="27" spans="1:2">
      <c r="A27" s="13" t="s">
        <v>111</v>
      </c>
      <c r="B27" s="15">
        <f>'HTC CP3'!K23</f>
        <v>50000</v>
      </c>
    </row>
    <row r="28" spans="1:2">
      <c r="A28" s="13" t="s">
        <v>102</v>
      </c>
      <c r="B28" s="15">
        <f>'HTC CP3'!C27</f>
        <v>99960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CP3'!K25</f>
        <v>30</v>
      </c>
    </row>
    <row r="32" spans="1:2">
      <c r="A32" s="13" t="s">
        <v>108</v>
      </c>
      <c r="B32" s="15">
        <f>'HTC CP3'!C30</f>
        <v>0</v>
      </c>
    </row>
    <row r="33" spans="1:2">
      <c r="A33" s="13" t="s">
        <v>109</v>
      </c>
      <c r="B33" s="15">
        <f>'HTC CP3'!D14</f>
        <v>22</v>
      </c>
    </row>
    <row r="34" spans="1:2">
      <c r="A34" s="13" t="s">
        <v>110</v>
      </c>
      <c r="B34" s="15">
        <f>'HTC CP3'!C28</f>
        <v>135000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CP3'!D33</f>
        <v>46.312888419207184</v>
      </c>
    </row>
    <row r="38" spans="1:2">
      <c r="A38" s="13" t="s">
        <v>85</v>
      </c>
      <c r="B38" s="18">
        <f>'HTC CP3'!E33</f>
        <v>38.832969727718726</v>
      </c>
    </row>
    <row r="39" spans="1:2">
      <c r="A39" s="13" t="s">
        <v>86</v>
      </c>
      <c r="B39" s="18">
        <f>'3'!E25/(8760/2)</f>
        <v>0</v>
      </c>
    </row>
    <row r="40" spans="1:2" hidden="1">
      <c r="A40" s="13" t="s">
        <v>87</v>
      </c>
      <c r="B40" s="18" t="e">
        <f>'HTC CP3'!#REF!</f>
        <v>#REF!</v>
      </c>
    </row>
    <row r="41" spans="1:2" hidden="1">
      <c r="A41" s="13" t="s">
        <v>88</v>
      </c>
      <c r="B41" s="18" t="e">
        <f>'HTC CP3'!#REF!</f>
        <v>#REF!</v>
      </c>
    </row>
    <row r="42" spans="1:2" hidden="1">
      <c r="A42" s="13" t="s">
        <v>89</v>
      </c>
      <c r="B42" s="18" t="e">
        <f>'HTC CP3'!#REF!</f>
        <v>#REF!</v>
      </c>
    </row>
    <row r="43" spans="1:2" hidden="1">
      <c r="A43" s="13" t="s">
        <v>100</v>
      </c>
      <c r="B43" s="18" t="e">
        <f>'HTC CP3'!#REF!</f>
        <v>#REF!</v>
      </c>
    </row>
    <row r="44" spans="1:2" hidden="1">
      <c r="A44" s="13" t="s">
        <v>90</v>
      </c>
      <c r="B44" s="18" t="e">
        <f>'HTC CP3'!#REF!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CP3'!D34</f>
        <v>46.312888430463204</v>
      </c>
    </row>
    <row r="48" spans="1:2">
      <c r="A48" s="13" t="s">
        <v>93</v>
      </c>
      <c r="B48" s="18">
        <f>'HTC CP3'!E34</f>
        <v>38.832969737199519</v>
      </c>
    </row>
    <row r="49" spans="1:2">
      <c r="A49" s="13" t="s">
        <v>94</v>
      </c>
      <c r="B49" s="18">
        <f>'3'!E26/(8760/2)</f>
        <v>0</v>
      </c>
    </row>
    <row r="50" spans="1:2" hidden="1">
      <c r="A50" s="13" t="s">
        <v>95</v>
      </c>
      <c r="B50" s="18" t="e">
        <f>'HTC CP3'!#REF!</f>
        <v>#REF!</v>
      </c>
    </row>
    <row r="51" spans="1:2" hidden="1">
      <c r="A51" s="13" t="s">
        <v>96</v>
      </c>
      <c r="B51" s="18" t="e">
        <f>'HTC CP3'!#REF!</f>
        <v>#REF!</v>
      </c>
    </row>
    <row r="52" spans="1:2" hidden="1">
      <c r="A52" s="13" t="s">
        <v>97</v>
      </c>
      <c r="B52" s="18" t="e">
        <f>'HTC CP3'!#REF!</f>
        <v>#REF!</v>
      </c>
    </row>
    <row r="53" spans="1:2">
      <c r="A53" s="13" t="s">
        <v>98</v>
      </c>
      <c r="B53" s="18">
        <f>'HTC CP3'!H39</f>
        <v>0</v>
      </c>
    </row>
    <row r="54" spans="1:2">
      <c r="A54" s="13" t="s">
        <v>99</v>
      </c>
      <c r="B54" s="18">
        <f>'HTC CP3'!H40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topLeftCell="A19" workbookViewId="0">
      <selection activeCell="A50" sqref="A50:XFD52"/>
    </sheetView>
  </sheetViews>
  <sheetFormatPr defaultColWidth="10.85546875" defaultRowHeight="16.5"/>
  <cols>
    <col min="1" max="1" width="43.7109375" style="13" customWidth="1"/>
    <col min="2" max="2" width="23.140625" style="13" customWidth="1"/>
    <col min="3" max="16384" width="10.8554687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CP2'!K16+'HTC CP2'!K17)*'HTC CP2'!K18</f>
        <v>8760000</v>
      </c>
    </row>
    <row r="4" spans="1:2">
      <c r="A4" s="13" t="s">
        <v>77</v>
      </c>
      <c r="B4" s="15">
        <f>'HTC CP2'!D7</f>
        <v>2538054714.7756495</v>
      </c>
    </row>
    <row r="5" spans="1:2">
      <c r="A5" s="13" t="s">
        <v>74</v>
      </c>
      <c r="B5" s="15">
        <f>'HTC CP2'!D8</f>
        <v>54961298483.326492</v>
      </c>
    </row>
    <row r="6" spans="1:2">
      <c r="A6" s="13" t="s">
        <v>75</v>
      </c>
      <c r="B6" s="16">
        <f>'HTC CP2'!D9</f>
        <v>-9451034533.2719631</v>
      </c>
    </row>
    <row r="7" spans="1:2">
      <c r="A7" s="13" t="s">
        <v>76</v>
      </c>
      <c r="B7" s="15">
        <f>'HTC CP2'!D10</f>
        <v>-61874278301.822807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CP2'!C21</f>
        <v>2949.7585475815863</v>
      </c>
    </row>
    <row r="11" spans="1:2">
      <c r="A11" s="13" t="s">
        <v>116</v>
      </c>
      <c r="B11" s="15">
        <f>'HTC CP2'!C25</f>
        <v>8108.8996665622135</v>
      </c>
    </row>
    <row r="12" spans="1:2">
      <c r="A12" s="13" t="s">
        <v>117</v>
      </c>
      <c r="B12" s="15">
        <f>'HTC CP2'!C23</f>
        <v>10664.132691328598</v>
      </c>
    </row>
    <row r="13" spans="1:2">
      <c r="A13" s="13" t="s">
        <v>114</v>
      </c>
      <c r="B13" s="15">
        <f>'HTC CP2'!D15</f>
        <v>394.52552281520184</v>
      </c>
    </row>
    <row r="14" spans="1:2">
      <c r="A14" s="13" t="s">
        <v>113</v>
      </c>
      <c r="B14" s="15">
        <f>'HTC CP2'!D17</f>
        <v>2.8979629401445424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CP2'!C22</f>
        <v>1731.4714861739762</v>
      </c>
    </row>
    <row r="18" spans="1:2">
      <c r="A18" s="13" t="s">
        <v>120</v>
      </c>
      <c r="B18" s="15">
        <f>'HTC CP2'!C26</f>
        <v>9384.7103050056048</v>
      </c>
    </row>
    <row r="19" spans="1:2">
      <c r="A19" s="13" t="s">
        <v>121</v>
      </c>
      <c r="B19" s="15">
        <f>'HTC CP2'!C24</f>
        <v>10587.745066126308</v>
      </c>
    </row>
    <row r="20" spans="1:2">
      <c r="A20" s="13" t="s">
        <v>122</v>
      </c>
      <c r="B20" s="15">
        <f>'HTC CP2'!D16</f>
        <v>528.43672505327231</v>
      </c>
    </row>
    <row r="21" spans="1:2">
      <c r="A21" s="13" t="s">
        <v>113</v>
      </c>
      <c r="B21" s="15">
        <f>'HTC CP2'!D18</f>
        <v>4.2895319098404912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CP2'!K24</f>
        <v>30</v>
      </c>
    </row>
    <row r="25" spans="1:2">
      <c r="A25" s="13" t="s">
        <v>104</v>
      </c>
      <c r="B25" s="15">
        <f>'HTC CP2'!C29</f>
        <v>0</v>
      </c>
    </row>
    <row r="26" spans="1:2">
      <c r="A26" s="13" t="s">
        <v>103</v>
      </c>
      <c r="B26" s="15">
        <f>'HTC CP2'!D13</f>
        <v>12.820892037867049</v>
      </c>
    </row>
    <row r="27" spans="1:2">
      <c r="A27" s="13" t="s">
        <v>111</v>
      </c>
      <c r="B27" s="15">
        <f>'HTC CP2'!K23</f>
        <v>50000</v>
      </c>
    </row>
    <row r="28" spans="1:2">
      <c r="A28" s="13" t="s">
        <v>102</v>
      </c>
      <c r="B28" s="15">
        <f>'HTC CP2'!C27</f>
        <v>125244.49287413528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CP2'!K25</f>
        <v>10</v>
      </c>
    </row>
    <row r="32" spans="1:2">
      <c r="A32" s="13" t="s">
        <v>108</v>
      </c>
      <c r="B32" s="15">
        <f>'HTC CP2'!C30</f>
        <v>0</v>
      </c>
    </row>
    <row r="33" spans="1:2">
      <c r="A33" s="13" t="s">
        <v>109</v>
      </c>
      <c r="B33" s="15">
        <f>'HTC CP2'!D14</f>
        <v>14.957793332597191</v>
      </c>
    </row>
    <row r="34" spans="1:2">
      <c r="A34" s="13" t="s">
        <v>110</v>
      </c>
      <c r="B34" s="15">
        <f>'HTC CP2'!C28</f>
        <v>103529.35807735957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CP2'!D33</f>
        <v>177.97310504342056</v>
      </c>
    </row>
    <row r="38" spans="1:2">
      <c r="A38" s="13" t="s">
        <v>85</v>
      </c>
      <c r="B38" s="18">
        <f>'HTC CP2'!E33</f>
        <v>160.65511241769693</v>
      </c>
    </row>
    <row r="39" spans="1:2">
      <c r="A39" s="13" t="s">
        <v>86</v>
      </c>
      <c r="B39" s="18">
        <f>'2'!E25/(8760/2)</f>
        <v>-22.06912149605505</v>
      </c>
    </row>
    <row r="40" spans="1:2" hidden="1">
      <c r="A40" s="13" t="s">
        <v>87</v>
      </c>
      <c r="B40" s="18" t="e">
        <f>'HTC CP2'!#REF!</f>
        <v>#REF!</v>
      </c>
    </row>
    <row r="41" spans="1:2" hidden="1">
      <c r="A41" s="13" t="s">
        <v>88</v>
      </c>
      <c r="B41" s="18" t="e">
        <f>'HTC CP2'!#REF!</f>
        <v>#REF!</v>
      </c>
    </row>
    <row r="42" spans="1:2" hidden="1">
      <c r="A42" s="13" t="s">
        <v>89</v>
      </c>
      <c r="B42" s="18" t="e">
        <f>'HTC CP2'!#REF!</f>
        <v>#REF!</v>
      </c>
    </row>
    <row r="43" spans="1:2" hidden="1">
      <c r="A43" s="13" t="s">
        <v>100</v>
      </c>
      <c r="B43" s="18" t="e">
        <f>'HTC CP2'!#REF!</f>
        <v>#REF!</v>
      </c>
    </row>
    <row r="44" spans="1:2" hidden="1">
      <c r="A44" s="13" t="s">
        <v>90</v>
      </c>
      <c r="B44" s="18" t="e">
        <f>'HTC CP2'!#REF!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CP2'!D34</f>
        <v>183.86131781943038</v>
      </c>
    </row>
    <row r="48" spans="1:2">
      <c r="A48" s="13" t="s">
        <v>93</v>
      </c>
      <c r="B48" s="18">
        <f>'HTC CP2'!E34</f>
        <v>163.15549537104735</v>
      </c>
    </row>
    <row r="49" spans="1:2">
      <c r="A49" s="13" t="s">
        <v>94</v>
      </c>
      <c r="B49" s="18">
        <f>'2'!E26/(8760/2)</f>
        <v>-22.074842656978081</v>
      </c>
    </row>
    <row r="50" spans="1:2" hidden="1">
      <c r="A50" s="13" t="s">
        <v>95</v>
      </c>
      <c r="B50" s="18" t="e">
        <f>'HTC CP2'!#REF!</f>
        <v>#REF!</v>
      </c>
    </row>
    <row r="51" spans="1:2" hidden="1">
      <c r="A51" s="13" t="s">
        <v>96</v>
      </c>
      <c r="B51" s="18" t="e">
        <f>'HTC CP2'!#REF!</f>
        <v>#REF!</v>
      </c>
    </row>
    <row r="52" spans="1:2" hidden="1">
      <c r="A52" s="13" t="s">
        <v>97</v>
      </c>
      <c r="B52" s="18" t="e">
        <f>'HTC CP2'!#REF!</f>
        <v>#REF!</v>
      </c>
    </row>
    <row r="53" spans="1:2">
      <c r="A53" s="13" t="s">
        <v>98</v>
      </c>
      <c r="B53" s="18">
        <f>'HTC CP2'!H39</f>
        <v>0</v>
      </c>
    </row>
    <row r="54" spans="1:2">
      <c r="A54" s="13" t="s">
        <v>99</v>
      </c>
      <c r="B54" s="18">
        <f>'HTC CP2'!H40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48574"/>
  <sheetViews>
    <sheetView zoomScale="80" zoomScaleNormal="80" zoomScalePageLayoutView="125" workbookViewId="0">
      <selection activeCell="F7" sqref="F7:F10"/>
    </sheetView>
  </sheetViews>
  <sheetFormatPr defaultColWidth="11.42578125" defaultRowHeight="15"/>
  <cols>
    <col min="3" max="3" width="15.140625" customWidth="1"/>
    <col min="4" max="4" width="33.28515625" customWidth="1"/>
    <col min="6" max="6" width="14.85546875" customWidth="1"/>
    <col min="7" max="7" width="9.85546875" customWidth="1"/>
    <col min="8" max="8" width="10.28515625" customWidth="1"/>
    <col min="9" max="9" width="12.140625" bestFit="1" customWidth="1"/>
    <col min="14" max="16" width="10.85546875" style="34"/>
  </cols>
  <sheetData>
    <row r="1" spans="1:12" s="19" customFormat="1"/>
    <row r="2" spans="1:12" s="19" customFormat="1" ht="18.75">
      <c r="G2" s="20" t="s">
        <v>136</v>
      </c>
    </row>
    <row r="3" spans="1:12" s="19" customFormat="1" ht="18.75">
      <c r="G3" s="21" t="s">
        <v>137</v>
      </c>
    </row>
    <row r="4" spans="1:12" s="19" customFormat="1"/>
    <row r="5" spans="1:12" s="22" customFormat="1" ht="5.0999999999999996" customHeight="1"/>
    <row r="7" spans="1:12" ht="16.5">
      <c r="A7" s="13" t="s">
        <v>73</v>
      </c>
      <c r="D7">
        <f>K16*(K12*C21+K14*C21^2)+K17*(K13*C22+K15*C22^2)</f>
        <v>277663618.97273767</v>
      </c>
      <c r="E7" t="s">
        <v>164</v>
      </c>
      <c r="F7" t="s">
        <v>13</v>
      </c>
      <c r="G7">
        <f>C23+K26*C25^2-(C21+C25)</f>
        <v>0</v>
      </c>
      <c r="J7" s="28" t="s">
        <v>138</v>
      </c>
      <c r="K7" s="28"/>
      <c r="L7" s="28"/>
    </row>
    <row r="8" spans="1:12" ht="16.5">
      <c r="A8" s="13" t="s">
        <v>74</v>
      </c>
      <c r="D8">
        <f>K16*(K18*C23-0.5*K19*C23^2)+K17*(K18*C24-0.5*K19*C24^2)</f>
        <v>56379130480.902412</v>
      </c>
      <c r="E8" t="s">
        <v>164</v>
      </c>
      <c r="F8" t="s">
        <v>14</v>
      </c>
      <c r="G8">
        <f>C24+K26*C26^2-(C22+C26)</f>
        <v>0</v>
      </c>
      <c r="J8" s="28" t="s">
        <v>19</v>
      </c>
      <c r="K8" s="30">
        <f>Dataset!B9</f>
        <v>0</v>
      </c>
      <c r="L8" s="28" t="s">
        <v>6</v>
      </c>
    </row>
    <row r="9" spans="1:12" ht="16.5">
      <c r="A9" s="13" t="s">
        <v>75</v>
      </c>
      <c r="D9">
        <f>(K20-K21*C28-K22*C28^2)*(K16+K17)/24</f>
        <v>0</v>
      </c>
      <c r="E9" t="s">
        <v>164</v>
      </c>
      <c r="F9" s="2" t="s">
        <v>15</v>
      </c>
      <c r="G9">
        <f>C27-$K$23-($K$24-C29-$K$8-$K$9*C25-$K$10*C25^2)*K16</f>
        <v>0</v>
      </c>
      <c r="J9" s="28" t="s">
        <v>20</v>
      </c>
      <c r="K9" s="30">
        <f>Dataset!B10</f>
        <v>1.5E-3</v>
      </c>
      <c r="L9" s="28" t="s">
        <v>10</v>
      </c>
    </row>
    <row r="10" spans="1:12" ht="16.5">
      <c r="A10" s="13" t="s">
        <v>76</v>
      </c>
      <c r="D10" s="35">
        <f>D7-D8+D9</f>
        <v>-56101466861.929672</v>
      </c>
      <c r="E10" t="s">
        <v>164</v>
      </c>
      <c r="F10" s="2" t="s">
        <v>16</v>
      </c>
      <c r="G10">
        <f>C28-C27-($K$25-C30--$K$8-$K$9*C26-$K$10*C26^2)*$K$17</f>
        <v>0</v>
      </c>
      <c r="J10" s="28" t="s">
        <v>21</v>
      </c>
      <c r="K10" s="30">
        <f>Dataset!B11</f>
        <v>1E-8</v>
      </c>
      <c r="L10" s="28" t="s">
        <v>22</v>
      </c>
    </row>
    <row r="11" spans="1:12">
      <c r="C11" t="s">
        <v>165</v>
      </c>
      <c r="D11" s="1">
        <f>K12+2*K14*C21</f>
        <v>87.552474588923033</v>
      </c>
      <c r="E11" s="19" t="s">
        <v>2</v>
      </c>
      <c r="J11" s="28" t="s">
        <v>139</v>
      </c>
      <c r="K11" s="28">
        <f>Dataset!B13</f>
        <v>1000</v>
      </c>
      <c r="L11" s="28" t="s">
        <v>78</v>
      </c>
    </row>
    <row r="12" spans="1:12">
      <c r="C12" s="33" t="s">
        <v>166</v>
      </c>
      <c r="D12" s="1">
        <f>K13+2*K15*C22</f>
        <v>88.932945119585639</v>
      </c>
      <c r="E12" s="19" t="s">
        <v>2</v>
      </c>
      <c r="J12" s="28" t="s">
        <v>140</v>
      </c>
      <c r="K12" s="28">
        <f>Dataset!B14</f>
        <v>60</v>
      </c>
      <c r="L12" s="28" t="s">
        <v>2</v>
      </c>
    </row>
    <row r="13" spans="1:12">
      <c r="C13" s="33" t="s">
        <v>57</v>
      </c>
      <c r="D13" s="1">
        <f>$K$8+$K$9*C25+$K$10*C25^2</f>
        <v>19.465069487742788</v>
      </c>
      <c r="E13" s="19" t="s">
        <v>7</v>
      </c>
      <c r="J13" s="28" t="s">
        <v>141</v>
      </c>
      <c r="K13" s="28">
        <f>Dataset!B15</f>
        <v>80</v>
      </c>
      <c r="L13" s="28" t="s">
        <v>2</v>
      </c>
    </row>
    <row r="14" spans="1:12">
      <c r="C14" s="33" t="s">
        <v>58</v>
      </c>
      <c r="D14" s="1">
        <f>$K$8+$K$9*C26+$K$10*C26^2</f>
        <v>20.534930512257208</v>
      </c>
      <c r="E14" s="19" t="s">
        <v>7</v>
      </c>
      <c r="J14" s="28" t="s">
        <v>142</v>
      </c>
      <c r="K14" s="28">
        <f>Dataset!B16</f>
        <v>0.02</v>
      </c>
      <c r="L14" s="28" t="s">
        <v>25</v>
      </c>
    </row>
    <row r="15" spans="1:12">
      <c r="C15" s="33" t="s">
        <v>123</v>
      </c>
      <c r="D15" s="1">
        <f>C21+C25-C23</f>
        <v>866.07578975596516</v>
      </c>
      <c r="E15" s="19" t="s">
        <v>4</v>
      </c>
      <c r="J15" s="28" t="s">
        <v>143</v>
      </c>
      <c r="K15" s="28">
        <f>Dataset!B17</f>
        <v>0.03</v>
      </c>
      <c r="L15" s="28" t="s">
        <v>25</v>
      </c>
    </row>
    <row r="16" spans="1:12">
      <c r="C16" s="33" t="s">
        <v>124</v>
      </c>
      <c r="D16" s="1">
        <f>C22+C26-C24</f>
        <v>956.6484359503047</v>
      </c>
      <c r="E16" s="19" t="s">
        <v>4</v>
      </c>
      <c r="J16" s="28" t="s">
        <v>144</v>
      </c>
      <c r="K16" s="28">
        <f>Dataset!B18</f>
        <v>4380</v>
      </c>
      <c r="L16" s="28" t="s">
        <v>3</v>
      </c>
    </row>
    <row r="17" spans="1:12">
      <c r="C17" s="33" t="s">
        <v>168</v>
      </c>
      <c r="D17" s="1">
        <f>100*D15/(C21+C23)</f>
        <v>6.9142498470889775</v>
      </c>
      <c r="E17" s="19" t="s">
        <v>167</v>
      </c>
      <c r="J17" s="28" t="s">
        <v>145</v>
      </c>
      <c r="K17" s="28">
        <f>Dataset!B19</f>
        <v>4380</v>
      </c>
      <c r="L17" s="28" t="s">
        <v>3</v>
      </c>
    </row>
    <row r="18" spans="1:12">
      <c r="C18" s="33" t="s">
        <v>169</v>
      </c>
      <c r="D18" s="1">
        <f>100*D16/(C22+C24)</f>
        <v>7.9933009267648263</v>
      </c>
      <c r="E18" s="19" t="s">
        <v>167</v>
      </c>
      <c r="J18" s="31" t="s">
        <v>146</v>
      </c>
      <c r="K18" s="28">
        <f>Dataset!B20</f>
        <v>1000</v>
      </c>
      <c r="L18" s="28" t="s">
        <v>2</v>
      </c>
    </row>
    <row r="19" spans="1:12">
      <c r="J19" s="28" t="s">
        <v>147</v>
      </c>
      <c r="K19" s="28">
        <f>Dataset!B21</f>
        <v>7.7083333333333337E-2</v>
      </c>
      <c r="L19" s="28" t="s">
        <v>25</v>
      </c>
    </row>
    <row r="20" spans="1:12">
      <c r="A20" s="3" t="s">
        <v>161</v>
      </c>
      <c r="J20" s="54" t="s">
        <v>1</v>
      </c>
      <c r="K20" s="54">
        <v>0</v>
      </c>
      <c r="L20" s="54" t="s">
        <v>81</v>
      </c>
    </row>
    <row r="21" spans="1:12">
      <c r="A21">
        <f>K30</f>
        <v>0</v>
      </c>
      <c r="B21" t="s">
        <v>26</v>
      </c>
      <c r="C21" s="27">
        <v>688.81186472307581</v>
      </c>
      <c r="D21" s="26">
        <f>K29</f>
        <v>8000</v>
      </c>
      <c r="E21" t="s">
        <v>4</v>
      </c>
      <c r="F21">
        <v>688.83839241302405</v>
      </c>
      <c r="J21" s="54" t="s">
        <v>23</v>
      </c>
      <c r="K21" s="54">
        <v>0</v>
      </c>
      <c r="L21" s="54" t="s">
        <v>79</v>
      </c>
    </row>
    <row r="22" spans="1:12">
      <c r="A22">
        <f>A21</f>
        <v>0</v>
      </c>
      <c r="B22" t="s">
        <v>27</v>
      </c>
      <c r="C22" s="27">
        <v>148.8824186597607</v>
      </c>
      <c r="D22" s="26">
        <f>D21</f>
        <v>8000</v>
      </c>
      <c r="E22" t="s">
        <v>4</v>
      </c>
      <c r="F22">
        <v>148.88651216611461</v>
      </c>
      <c r="J22" s="54" t="s">
        <v>24</v>
      </c>
      <c r="K22" s="54">
        <v>0</v>
      </c>
      <c r="L22" s="54" t="s">
        <v>80</v>
      </c>
    </row>
    <row r="23" spans="1:12">
      <c r="A23">
        <f>K34</f>
        <v>0</v>
      </c>
      <c r="B23" t="s">
        <v>0</v>
      </c>
      <c r="C23" s="27">
        <v>11837.142633733451</v>
      </c>
      <c r="D23" s="26">
        <f>K33</f>
        <v>12972.972972972972</v>
      </c>
      <c r="E23" t="s">
        <v>4</v>
      </c>
      <c r="F23">
        <v>11837.188826171046</v>
      </c>
      <c r="J23" s="28" t="s">
        <v>5</v>
      </c>
      <c r="K23" s="28">
        <f>Dataset!B25</f>
        <v>50000</v>
      </c>
      <c r="L23" s="28" t="s">
        <v>6</v>
      </c>
    </row>
    <row r="24" spans="1:12">
      <c r="A24">
        <f>A23</f>
        <v>0</v>
      </c>
      <c r="B24" t="s">
        <v>29</v>
      </c>
      <c r="C24" s="27">
        <v>11819.244950936149</v>
      </c>
      <c r="D24" s="26">
        <f>D23</f>
        <v>12972.972972972972</v>
      </c>
      <c r="E24" t="s">
        <v>4</v>
      </c>
      <c r="F24">
        <v>11819.229685026634</v>
      </c>
      <c r="J24" s="28" t="s">
        <v>148</v>
      </c>
      <c r="K24" s="28">
        <f>Dataset!F9</f>
        <v>30</v>
      </c>
      <c r="L24" s="28" t="s">
        <v>7</v>
      </c>
    </row>
    <row r="25" spans="1:12">
      <c r="A25">
        <f>K32</f>
        <v>0</v>
      </c>
      <c r="B25" t="s">
        <v>11</v>
      </c>
      <c r="C25" s="27">
        <v>12014.406558766341</v>
      </c>
      <c r="D25" s="26">
        <f>K31</f>
        <v>15000</v>
      </c>
      <c r="E25" t="s">
        <v>4</v>
      </c>
      <c r="F25">
        <v>12014.429536222493</v>
      </c>
      <c r="J25" s="28" t="s">
        <v>149</v>
      </c>
      <c r="K25" s="28">
        <f>Dataset!F10</f>
        <v>10</v>
      </c>
      <c r="L25" s="28" t="s">
        <v>7</v>
      </c>
    </row>
    <row r="26" spans="1:12">
      <c r="A26">
        <f>A25</f>
        <v>0</v>
      </c>
      <c r="B26" t="s">
        <v>12</v>
      </c>
      <c r="C26" s="27">
        <v>12627.010968226692</v>
      </c>
      <c r="D26" s="26">
        <f>D25</f>
        <v>15000</v>
      </c>
      <c r="E26" t="s">
        <v>4</v>
      </c>
      <c r="F26">
        <v>12626.988151471485</v>
      </c>
      <c r="J26" s="28" t="s">
        <v>28</v>
      </c>
      <c r="K26" s="28">
        <f>Dataset!B28</f>
        <v>6.0000000000000002E-6</v>
      </c>
      <c r="L26" s="28"/>
    </row>
    <row r="27" spans="1:12">
      <c r="A27">
        <f>K36</f>
        <v>50000</v>
      </c>
      <c r="B27" t="s">
        <v>8</v>
      </c>
      <c r="C27" s="27">
        <v>96142.99564368659</v>
      </c>
      <c r="D27" s="26">
        <f>K35</f>
        <v>135000</v>
      </c>
      <c r="E27" t="s">
        <v>6</v>
      </c>
      <c r="F27">
        <v>96142.820499027512</v>
      </c>
      <c r="J27" s="28" t="s">
        <v>59</v>
      </c>
      <c r="K27" s="28">
        <f>Dataset!B29</f>
        <v>12000</v>
      </c>
      <c r="L27" s="28" t="s">
        <v>4</v>
      </c>
    </row>
    <row r="28" spans="1:12">
      <c r="A28">
        <f>A27</f>
        <v>50000</v>
      </c>
      <c r="B28" t="s">
        <v>9</v>
      </c>
      <c r="C28" s="27">
        <v>50000</v>
      </c>
      <c r="D28" s="26">
        <f>D27</f>
        <v>135000</v>
      </c>
      <c r="E28" t="s">
        <v>6</v>
      </c>
      <c r="F28">
        <v>50000</v>
      </c>
      <c r="J28" s="28" t="s">
        <v>60</v>
      </c>
      <c r="K28" s="28">
        <f>Dataset!B30</f>
        <v>75</v>
      </c>
      <c r="L28" s="28" t="s">
        <v>2</v>
      </c>
    </row>
    <row r="29" spans="1:12">
      <c r="A29">
        <f>K37</f>
        <v>0</v>
      </c>
      <c r="B29" t="s">
        <v>17</v>
      </c>
      <c r="C29" s="27">
        <v>0</v>
      </c>
      <c r="D29" s="26">
        <f>K38</f>
        <v>30</v>
      </c>
      <c r="E29" t="s">
        <v>7</v>
      </c>
      <c r="F29">
        <v>0</v>
      </c>
      <c r="J29" s="28" t="s">
        <v>150</v>
      </c>
      <c r="K29" s="28">
        <f>Dataset!B31</f>
        <v>8000</v>
      </c>
      <c r="L29" s="28" t="s">
        <v>4</v>
      </c>
    </row>
    <row r="30" spans="1:12">
      <c r="A30">
        <f>A29</f>
        <v>0</v>
      </c>
      <c r="B30" t="s">
        <v>18</v>
      </c>
      <c r="C30" s="27">
        <v>0</v>
      </c>
      <c r="D30" s="26">
        <f>D29</f>
        <v>30</v>
      </c>
      <c r="E30" t="s">
        <v>7</v>
      </c>
      <c r="F30">
        <v>0</v>
      </c>
      <c r="J30" s="28" t="s">
        <v>151</v>
      </c>
      <c r="K30" s="28">
        <f>Dataset!B32</f>
        <v>0</v>
      </c>
      <c r="L30" s="28" t="s">
        <v>4</v>
      </c>
    </row>
    <row r="31" spans="1:12">
      <c r="J31" s="28" t="s">
        <v>152</v>
      </c>
      <c r="K31" s="28">
        <f>Dataset!B33</f>
        <v>15000</v>
      </c>
      <c r="L31" s="28" t="s">
        <v>4</v>
      </c>
    </row>
    <row r="32" spans="1:12">
      <c r="D32" s="29" t="s">
        <v>162</v>
      </c>
      <c r="E32" s="29" t="s">
        <v>163</v>
      </c>
      <c r="J32" s="28" t="s">
        <v>153</v>
      </c>
      <c r="K32" s="28">
        <f>Dataset!B34</f>
        <v>0</v>
      </c>
      <c r="L32" s="28" t="s">
        <v>4</v>
      </c>
    </row>
    <row r="33" spans="3:12">
      <c r="C33" t="s">
        <v>30</v>
      </c>
      <c r="D33" s="23">
        <f>K18-K19*C23</f>
        <v>87.553588649713106</v>
      </c>
      <c r="E33" s="23">
        <f>D33*(1-2*$K$26*C25)</f>
        <v>74.93073573311338</v>
      </c>
      <c r="J33" s="28" t="s">
        <v>154</v>
      </c>
      <c r="K33" s="28">
        <f>Dataset!B35</f>
        <v>12972.972972972972</v>
      </c>
      <c r="L33" s="28" t="s">
        <v>4</v>
      </c>
    </row>
    <row r="34" spans="3:12">
      <c r="C34" t="s">
        <v>31</v>
      </c>
      <c r="D34" s="23">
        <f>K18-K19*C24</f>
        <v>88.933201698671837</v>
      </c>
      <c r="E34" s="23">
        <f>D34*(1-2*$K$26*C26)</f>
        <v>75.457675539208083</v>
      </c>
      <c r="J34" s="28" t="s">
        <v>155</v>
      </c>
      <c r="K34" s="28">
        <f>Dataset!B36</f>
        <v>0</v>
      </c>
      <c r="L34" s="28" t="s">
        <v>4</v>
      </c>
    </row>
    <row r="35" spans="3:12">
      <c r="J35" s="28" t="s">
        <v>156</v>
      </c>
      <c r="K35" s="28">
        <f>Dataset!B37</f>
        <v>135000</v>
      </c>
      <c r="L35" s="28" t="s">
        <v>6</v>
      </c>
    </row>
    <row r="36" spans="3:12">
      <c r="J36" s="28" t="s">
        <v>157</v>
      </c>
      <c r="K36" s="28">
        <f>Dataset!B38</f>
        <v>50000</v>
      </c>
      <c r="L36" s="28" t="s">
        <v>158</v>
      </c>
    </row>
    <row r="37" spans="3:12">
      <c r="J37" s="28" t="s">
        <v>159</v>
      </c>
      <c r="K37" s="28">
        <f>Dataset!B39</f>
        <v>0</v>
      </c>
      <c r="L37" s="28" t="s">
        <v>7</v>
      </c>
    </row>
    <row r="38" spans="3:12">
      <c r="J38" s="28" t="s">
        <v>160</v>
      </c>
      <c r="K38" s="28">
        <f>Dataset!B40</f>
        <v>30</v>
      </c>
      <c r="L38" s="28" t="s">
        <v>7</v>
      </c>
    </row>
    <row r="1048574" spans="3:3">
      <c r="C1048574" t="s">
        <v>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48574"/>
  <sheetViews>
    <sheetView tabSelected="1" topLeftCell="A34" zoomScale="120" zoomScaleNormal="120" zoomScalePageLayoutView="90" workbookViewId="0">
      <selection activeCell="F7" sqref="F7:F10"/>
    </sheetView>
  </sheetViews>
  <sheetFormatPr defaultColWidth="11.42578125" defaultRowHeight="15"/>
  <cols>
    <col min="3" max="3" width="15.140625" customWidth="1"/>
    <col min="6" max="6" width="9" customWidth="1"/>
    <col min="7" max="7" width="9.85546875" customWidth="1"/>
    <col min="8" max="8" width="15" customWidth="1"/>
    <col min="9" max="9" width="12.140625" bestFit="1" customWidth="1"/>
    <col min="14" max="16" width="10.85546875" style="19"/>
  </cols>
  <sheetData>
    <row r="1" spans="1:20" s="19" customFormat="1"/>
    <row r="2" spans="1:20" s="19" customFormat="1" ht="18.75">
      <c r="G2" s="20" t="s">
        <v>136</v>
      </c>
    </row>
    <row r="3" spans="1:20" s="19" customFormat="1" ht="18.75">
      <c r="G3" s="21" t="s">
        <v>137</v>
      </c>
    </row>
    <row r="4" spans="1:20" s="19" customFormat="1"/>
    <row r="5" spans="1:20" s="22" customFormat="1" ht="5.0999999999999996" customHeight="1"/>
    <row r="6" spans="1:20">
      <c r="L6" s="19"/>
      <c r="M6" s="19"/>
      <c r="Q6" s="19"/>
      <c r="R6" s="19"/>
      <c r="S6" s="19"/>
      <c r="T6" s="19"/>
    </row>
    <row r="7" spans="1:20" ht="16.5">
      <c r="A7" s="13" t="s">
        <v>73</v>
      </c>
      <c r="D7">
        <f>K16*(K12*C21+K14*C21^2)+K17*(K13*C22+K15*C22^2)</f>
        <v>2538054714.7756495</v>
      </c>
      <c r="F7" t="s">
        <v>13</v>
      </c>
      <c r="G7">
        <f>C23+K26*C25^2-(C21+C25)</f>
        <v>-9.6588337328284979E-10</v>
      </c>
      <c r="J7" s="28" t="s">
        <v>138</v>
      </c>
      <c r="K7" s="28"/>
      <c r="L7" s="28"/>
      <c r="M7" s="19"/>
      <c r="Q7" s="19"/>
      <c r="R7" s="19"/>
      <c r="S7" s="19"/>
      <c r="T7" s="19"/>
    </row>
    <row r="8" spans="1:20" ht="16.5">
      <c r="A8" s="13" t="s">
        <v>74</v>
      </c>
      <c r="D8">
        <f>K16*(K18*C23-0.5*K19*C23^2)+K17*(K18*C24-0.5*K19*C24^2)</f>
        <v>54961298483.326492</v>
      </c>
      <c r="F8" t="s">
        <v>14</v>
      </c>
      <c r="G8">
        <f>C24+K26*C26^2-(C22+C26)</f>
        <v>0</v>
      </c>
      <c r="J8" s="28" t="s">
        <v>19</v>
      </c>
      <c r="K8" s="30">
        <f>Dataset!B9</f>
        <v>0</v>
      </c>
      <c r="L8" s="28" t="s">
        <v>6</v>
      </c>
      <c r="M8" s="19"/>
      <c r="Q8" s="19"/>
      <c r="R8" s="19"/>
      <c r="S8" s="19"/>
      <c r="T8" s="19"/>
    </row>
    <row r="9" spans="1:20" ht="16.5">
      <c r="A9" s="13" t="s">
        <v>75</v>
      </c>
      <c r="D9">
        <f>(K20-K21*C28-K22*C28^2)*(K16+K17)/24</f>
        <v>-9451034533.2719631</v>
      </c>
      <c r="F9" s="2" t="s">
        <v>15</v>
      </c>
      <c r="G9">
        <f>C27-$K$23-($K$24-C29-$K$8-$K$9*C25-$K$10*C25^2)*K16</f>
        <v>-7.0576788857579231E-9</v>
      </c>
      <c r="J9" s="28" t="s">
        <v>20</v>
      </c>
      <c r="K9" s="30">
        <f>Dataset!B10</f>
        <v>1.5E-3</v>
      </c>
      <c r="L9" s="28" t="s">
        <v>10</v>
      </c>
      <c r="M9" s="19"/>
      <c r="Q9" s="19"/>
      <c r="R9" s="19"/>
      <c r="S9" s="19"/>
      <c r="T9" s="19"/>
    </row>
    <row r="10" spans="1:20" ht="16.5">
      <c r="A10" s="13" t="s">
        <v>76</v>
      </c>
      <c r="D10" s="32">
        <f>D7-D8+D9</f>
        <v>-61874278301.822807</v>
      </c>
      <c r="F10" s="2" t="s">
        <v>16</v>
      </c>
      <c r="G10">
        <f>C28-C27-($K$25-C30--$K$8-$K$9*C26-$K$10*C26^2)*$K$17</f>
        <v>0</v>
      </c>
      <c r="J10" s="28" t="s">
        <v>21</v>
      </c>
      <c r="K10" s="30">
        <f>Dataset!B11</f>
        <v>1E-8</v>
      </c>
      <c r="L10" s="28" t="s">
        <v>22</v>
      </c>
      <c r="M10" s="19"/>
      <c r="Q10" s="19"/>
      <c r="R10" s="19"/>
      <c r="S10" s="19"/>
      <c r="T10" s="19"/>
    </row>
    <row r="11" spans="1:20">
      <c r="C11" t="s">
        <v>165</v>
      </c>
      <c r="D11">
        <f>K12+2*K14*C21</f>
        <v>177.99034190326347</v>
      </c>
      <c r="E11" s="19" t="s">
        <v>2</v>
      </c>
      <c r="J11" s="28" t="s">
        <v>139</v>
      </c>
      <c r="K11" s="28">
        <f>Dataset!B13</f>
        <v>1000</v>
      </c>
      <c r="L11" s="28" t="s">
        <v>78</v>
      </c>
      <c r="M11" s="19"/>
      <c r="Q11" s="19"/>
      <c r="R11" s="19"/>
      <c r="S11" s="19"/>
      <c r="T11" s="19"/>
    </row>
    <row r="12" spans="1:20">
      <c r="C12" s="33" t="s">
        <v>166</v>
      </c>
      <c r="D12">
        <f>K13+2*K15*C22</f>
        <v>183.88828917043855</v>
      </c>
      <c r="E12" s="19" t="s">
        <v>2</v>
      </c>
      <c r="J12" s="28" t="s">
        <v>140</v>
      </c>
      <c r="K12" s="28">
        <f>Dataset!B14</f>
        <v>60</v>
      </c>
      <c r="L12" s="28" t="s">
        <v>2</v>
      </c>
      <c r="M12" s="19"/>
      <c r="Q12" s="19"/>
      <c r="R12" s="19"/>
      <c r="S12" s="19"/>
      <c r="T12" s="19"/>
    </row>
    <row r="13" spans="1:20">
      <c r="C13" s="33" t="s">
        <v>57</v>
      </c>
      <c r="D13" s="1">
        <f>$K$8+$K$9*C25+$K$10*C25^2</f>
        <v>12.820892037867049</v>
      </c>
      <c r="E13" s="19" t="s">
        <v>7</v>
      </c>
      <c r="J13" s="28" t="s">
        <v>141</v>
      </c>
      <c r="K13" s="28">
        <f>Dataset!B15</f>
        <v>80</v>
      </c>
      <c r="L13" s="28" t="s">
        <v>2</v>
      </c>
      <c r="M13" s="19"/>
      <c r="Q13" s="19"/>
      <c r="R13" s="19"/>
      <c r="S13" s="19"/>
      <c r="T13" s="19"/>
    </row>
    <row r="14" spans="1:20">
      <c r="C14" s="33" t="s">
        <v>58</v>
      </c>
      <c r="D14" s="1">
        <f>$K$8+$K$9*C26+$K$10*C26^2</f>
        <v>14.957793332597191</v>
      </c>
      <c r="E14" s="19" t="s">
        <v>7</v>
      </c>
      <c r="J14" s="28" t="s">
        <v>142</v>
      </c>
      <c r="K14" s="28">
        <f>Dataset!B16</f>
        <v>0.02</v>
      </c>
      <c r="L14" s="28" t="s">
        <v>25</v>
      </c>
      <c r="M14" s="19"/>
      <c r="Q14" s="19"/>
      <c r="R14" s="19"/>
      <c r="S14" s="19"/>
      <c r="T14" s="19"/>
    </row>
    <row r="15" spans="1:20">
      <c r="C15" s="33" t="s">
        <v>123</v>
      </c>
      <c r="D15" s="1">
        <f>C21+C25-C23</f>
        <v>394.52552281520184</v>
      </c>
      <c r="E15" s="19" t="s">
        <v>4</v>
      </c>
      <c r="J15" s="28" t="s">
        <v>143</v>
      </c>
      <c r="K15" s="28">
        <f>Dataset!B17</f>
        <v>0.03</v>
      </c>
      <c r="L15" s="28" t="s">
        <v>25</v>
      </c>
      <c r="M15" s="19"/>
      <c r="Q15" s="19"/>
      <c r="R15" s="19"/>
      <c r="S15" s="19"/>
      <c r="T15" s="19"/>
    </row>
    <row r="16" spans="1:20">
      <c r="C16" s="33" t="s">
        <v>124</v>
      </c>
      <c r="D16">
        <f>C22+C26-C24</f>
        <v>528.43672505327231</v>
      </c>
      <c r="E16" s="19" t="s">
        <v>4</v>
      </c>
      <c r="J16" s="28" t="s">
        <v>144</v>
      </c>
      <c r="K16" s="28">
        <f>Dataset!B18</f>
        <v>4380</v>
      </c>
      <c r="L16" s="28" t="s">
        <v>3</v>
      </c>
      <c r="M16" s="19"/>
      <c r="Q16" s="19"/>
      <c r="R16" s="19"/>
      <c r="S16" s="19"/>
      <c r="T16" s="19"/>
    </row>
    <row r="17" spans="1:20">
      <c r="C17" s="33" t="s">
        <v>168</v>
      </c>
      <c r="D17">
        <f>100*D15/(C21+C23)</f>
        <v>2.8979629401445424</v>
      </c>
      <c r="E17" s="19" t="s">
        <v>167</v>
      </c>
      <c r="J17" s="28" t="s">
        <v>145</v>
      </c>
      <c r="K17" s="28">
        <f>Dataset!B19</f>
        <v>4380</v>
      </c>
      <c r="L17" s="28" t="s">
        <v>3</v>
      </c>
      <c r="M17" s="19"/>
      <c r="Q17" s="19"/>
      <c r="R17" s="19"/>
      <c r="S17" s="19"/>
      <c r="T17" s="19"/>
    </row>
    <row r="18" spans="1:20">
      <c r="C18" s="33" t="s">
        <v>169</v>
      </c>
      <c r="D18">
        <f>100*D16/(C22+C24)</f>
        <v>4.2895319098404912</v>
      </c>
      <c r="E18" s="19" t="s">
        <v>167</v>
      </c>
      <c r="J18" s="31" t="s">
        <v>146</v>
      </c>
      <c r="K18" s="28">
        <f>Dataset!B20</f>
        <v>1000</v>
      </c>
      <c r="L18" s="28" t="s">
        <v>2</v>
      </c>
      <c r="M18" s="19"/>
      <c r="Q18" s="19"/>
      <c r="R18" s="19"/>
      <c r="S18" s="19"/>
      <c r="T18" s="19"/>
    </row>
    <row r="19" spans="1:20">
      <c r="J19" s="28" t="s">
        <v>147</v>
      </c>
      <c r="K19" s="28">
        <f>Dataset!B21</f>
        <v>7.7083333333333337E-2</v>
      </c>
      <c r="L19" s="28" t="s">
        <v>25</v>
      </c>
      <c r="M19" s="19"/>
      <c r="Q19" s="19"/>
      <c r="R19" s="19"/>
      <c r="S19" s="19"/>
      <c r="T19" s="19"/>
    </row>
    <row r="20" spans="1:20">
      <c r="A20" s="3" t="s">
        <v>161</v>
      </c>
      <c r="J20" s="28" t="s">
        <v>1</v>
      </c>
      <c r="K20" s="28">
        <f>Dataset!B22</f>
        <v>240000</v>
      </c>
      <c r="L20" s="28" t="s">
        <v>81</v>
      </c>
      <c r="M20" s="19"/>
      <c r="Q20" s="19"/>
      <c r="R20" s="19"/>
      <c r="S20" s="19"/>
      <c r="T20" s="19"/>
    </row>
    <row r="21" spans="1:20">
      <c r="A21">
        <f>K30</f>
        <v>0</v>
      </c>
      <c r="B21" t="s">
        <v>26</v>
      </c>
      <c r="C21" s="10">
        <v>2949.7585475815863</v>
      </c>
      <c r="D21" s="26">
        <f>K29</f>
        <v>8000</v>
      </c>
      <c r="E21" t="s">
        <v>4</v>
      </c>
      <c r="J21" s="28" t="s">
        <v>23</v>
      </c>
      <c r="K21" s="28">
        <f>Dataset!B23</f>
        <v>240</v>
      </c>
      <c r="L21" s="28" t="s">
        <v>79</v>
      </c>
      <c r="M21" s="19"/>
      <c r="Q21" s="19"/>
      <c r="R21" s="19"/>
      <c r="S21" s="19"/>
      <c r="T21" s="19"/>
    </row>
    <row r="22" spans="1:20">
      <c r="A22">
        <f>A21</f>
        <v>0</v>
      </c>
      <c r="B22" t="s">
        <v>27</v>
      </c>
      <c r="C22" s="10">
        <v>1731.4714861739762</v>
      </c>
      <c r="D22" s="26">
        <f>D21</f>
        <v>8000</v>
      </c>
      <c r="E22" t="s">
        <v>4</v>
      </c>
      <c r="J22" s="28" t="s">
        <v>24</v>
      </c>
      <c r="K22" s="28">
        <f>Dataset!B24</f>
        <v>1.2000000000000002E-4</v>
      </c>
      <c r="L22" s="28" t="s">
        <v>80</v>
      </c>
      <c r="M22" s="19"/>
      <c r="Q22" s="19"/>
      <c r="R22" s="19"/>
      <c r="S22" s="19"/>
      <c r="T22" s="19"/>
    </row>
    <row r="23" spans="1:20">
      <c r="A23">
        <f>K34</f>
        <v>0</v>
      </c>
      <c r="B23" t="s">
        <v>0</v>
      </c>
      <c r="C23" s="10">
        <v>10664.132691328598</v>
      </c>
      <c r="D23" s="26">
        <f>K33</f>
        <v>12972.972972972972</v>
      </c>
      <c r="E23" t="s">
        <v>4</v>
      </c>
      <c r="J23" s="28" t="s">
        <v>5</v>
      </c>
      <c r="K23" s="28">
        <f>Dataset!B25</f>
        <v>50000</v>
      </c>
      <c r="L23" s="28" t="s">
        <v>6</v>
      </c>
      <c r="M23" s="19"/>
      <c r="Q23" s="19"/>
      <c r="R23" s="19"/>
      <c r="S23" s="19"/>
      <c r="T23" s="19"/>
    </row>
    <row r="24" spans="1:20">
      <c r="A24">
        <f>A23</f>
        <v>0</v>
      </c>
      <c r="B24" t="s">
        <v>29</v>
      </c>
      <c r="C24" s="10">
        <v>10587.745066126308</v>
      </c>
      <c r="D24" s="26">
        <f>D23</f>
        <v>12972.972972972972</v>
      </c>
      <c r="E24" t="s">
        <v>4</v>
      </c>
      <c r="J24" s="28" t="s">
        <v>148</v>
      </c>
      <c r="K24" s="28">
        <f>Dataset!F9</f>
        <v>30</v>
      </c>
      <c r="L24" s="28" t="s">
        <v>7</v>
      </c>
      <c r="M24" s="19"/>
      <c r="Q24" s="19"/>
      <c r="R24" s="19"/>
      <c r="S24" s="19"/>
      <c r="T24" s="19"/>
    </row>
    <row r="25" spans="1:20">
      <c r="A25">
        <f>K32</f>
        <v>0</v>
      </c>
      <c r="B25" t="s">
        <v>11</v>
      </c>
      <c r="C25" s="10">
        <v>8108.8996665622135</v>
      </c>
      <c r="D25" s="26">
        <f>K31</f>
        <v>15000</v>
      </c>
      <c r="E25" t="s">
        <v>4</v>
      </c>
      <c r="J25" s="28" t="s">
        <v>149</v>
      </c>
      <c r="K25" s="28">
        <f>Dataset!F10</f>
        <v>10</v>
      </c>
      <c r="L25" s="28" t="s">
        <v>7</v>
      </c>
      <c r="M25" s="19"/>
      <c r="Q25" s="19"/>
      <c r="R25" s="19"/>
      <c r="S25" s="19"/>
      <c r="T25" s="19"/>
    </row>
    <row r="26" spans="1:20">
      <c r="A26">
        <f>A25</f>
        <v>0</v>
      </c>
      <c r="B26" t="s">
        <v>12</v>
      </c>
      <c r="C26" s="10">
        <v>9384.7103050056048</v>
      </c>
      <c r="D26" s="26">
        <f>D25</f>
        <v>15000</v>
      </c>
      <c r="E26" t="s">
        <v>4</v>
      </c>
      <c r="J26" s="28" t="s">
        <v>28</v>
      </c>
      <c r="K26" s="28">
        <f>Dataset!B28</f>
        <v>6.0000000000000002E-6</v>
      </c>
      <c r="L26" s="28"/>
      <c r="M26" s="19"/>
      <c r="Q26" s="19"/>
      <c r="R26" s="19"/>
      <c r="S26" s="19"/>
      <c r="T26" s="19"/>
    </row>
    <row r="27" spans="1:20">
      <c r="A27">
        <f>K36</f>
        <v>50000</v>
      </c>
      <c r="B27" t="s">
        <v>8</v>
      </c>
      <c r="C27" s="10">
        <v>125244.49287413528</v>
      </c>
      <c r="D27" s="26">
        <f>K35</f>
        <v>135000</v>
      </c>
      <c r="E27" t="s">
        <v>6</v>
      </c>
      <c r="J27" s="28" t="s">
        <v>59</v>
      </c>
      <c r="K27" s="28">
        <f>Dataset!B29</f>
        <v>12000</v>
      </c>
      <c r="L27" s="28" t="s">
        <v>4</v>
      </c>
      <c r="M27" s="19"/>
      <c r="Q27" s="19"/>
      <c r="R27" s="19"/>
      <c r="S27" s="19"/>
      <c r="T27" s="19"/>
    </row>
    <row r="28" spans="1:20">
      <c r="A28">
        <f>A27</f>
        <v>50000</v>
      </c>
      <c r="B28" t="s">
        <v>9</v>
      </c>
      <c r="C28" s="10">
        <v>103529.35807735957</v>
      </c>
      <c r="D28" s="26">
        <f>D27</f>
        <v>135000</v>
      </c>
      <c r="E28" t="s">
        <v>6</v>
      </c>
      <c r="J28" s="28" t="s">
        <v>60</v>
      </c>
      <c r="K28" s="28">
        <f>Dataset!B30</f>
        <v>75</v>
      </c>
      <c r="L28" s="28" t="s">
        <v>2</v>
      </c>
      <c r="M28" s="19"/>
      <c r="Q28" s="19"/>
      <c r="R28" s="19"/>
      <c r="S28" s="19"/>
      <c r="T28" s="19"/>
    </row>
    <row r="29" spans="1:20">
      <c r="A29">
        <f>K37</f>
        <v>0</v>
      </c>
      <c r="B29" t="s">
        <v>17</v>
      </c>
      <c r="C29" s="10">
        <v>0</v>
      </c>
      <c r="D29" s="26">
        <f>K38</f>
        <v>30</v>
      </c>
      <c r="E29" t="s">
        <v>7</v>
      </c>
      <c r="J29" s="28" t="s">
        <v>150</v>
      </c>
      <c r="K29" s="28">
        <f>Dataset!B31</f>
        <v>8000</v>
      </c>
      <c r="L29" s="28" t="s">
        <v>4</v>
      </c>
      <c r="M29" s="19"/>
      <c r="Q29" s="19"/>
      <c r="R29" s="19"/>
      <c r="S29" s="19"/>
      <c r="T29" s="19"/>
    </row>
    <row r="30" spans="1:20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8" t="s">
        <v>151</v>
      </c>
      <c r="K30" s="28">
        <f>Dataset!B32</f>
        <v>0</v>
      </c>
      <c r="L30" s="28" t="s">
        <v>4</v>
      </c>
      <c r="M30" s="19"/>
      <c r="Q30" s="19"/>
      <c r="R30" s="19"/>
      <c r="S30" s="19"/>
      <c r="T30" s="19"/>
    </row>
    <row r="31" spans="1:20">
      <c r="J31" s="28" t="s">
        <v>152</v>
      </c>
      <c r="K31" s="28">
        <f>Dataset!B33</f>
        <v>15000</v>
      </c>
      <c r="L31" s="28" t="s">
        <v>4</v>
      </c>
      <c r="M31" s="19"/>
      <c r="Q31" s="19"/>
      <c r="R31" s="19"/>
      <c r="S31" s="19"/>
      <c r="T31" s="19"/>
    </row>
    <row r="32" spans="1:20">
      <c r="D32" s="29" t="s">
        <v>162</v>
      </c>
      <c r="E32" s="29" t="s">
        <v>163</v>
      </c>
      <c r="J32" s="28" t="s">
        <v>153</v>
      </c>
      <c r="K32" s="28">
        <f>Dataset!B34</f>
        <v>0</v>
      </c>
      <c r="L32" s="28" t="s">
        <v>4</v>
      </c>
      <c r="M32" s="19"/>
      <c r="Q32" s="19"/>
      <c r="R32" s="19"/>
      <c r="S32" s="19"/>
      <c r="T32" s="19"/>
    </row>
    <row r="33" spans="3:20">
      <c r="C33" t="s">
        <v>30</v>
      </c>
      <c r="D33" s="23">
        <f>K18-K19*C23</f>
        <v>177.97310504342056</v>
      </c>
      <c r="E33" s="23">
        <f>D33*(1-2*$K$26*C25)</f>
        <v>160.65511241769693</v>
      </c>
      <c r="J33" s="28" t="s">
        <v>154</v>
      </c>
      <c r="K33" s="28">
        <f>Dataset!B35</f>
        <v>12972.972972972972</v>
      </c>
      <c r="L33" s="28" t="s">
        <v>4</v>
      </c>
      <c r="M33" s="19"/>
      <c r="Q33" s="19"/>
      <c r="R33" s="19"/>
      <c r="S33" s="19"/>
      <c r="T33" s="19"/>
    </row>
    <row r="34" spans="3:20">
      <c r="C34" t="s">
        <v>31</v>
      </c>
      <c r="D34" s="23">
        <f>K18-K19*C24</f>
        <v>183.86131781943038</v>
      </c>
      <c r="E34" s="23">
        <f>D34*(1-2*$K$26*C26)</f>
        <v>163.15549537104735</v>
      </c>
      <c r="J34" s="28" t="s">
        <v>155</v>
      </c>
      <c r="K34" s="28">
        <f>Dataset!B36</f>
        <v>0</v>
      </c>
      <c r="L34" s="28" t="s">
        <v>4</v>
      </c>
      <c r="M34" s="19"/>
      <c r="Q34" s="19"/>
      <c r="R34" s="19"/>
      <c r="S34" s="19"/>
      <c r="T34" s="19"/>
    </row>
    <row r="35" spans="3:20">
      <c r="J35" s="28" t="s">
        <v>156</v>
      </c>
      <c r="K35" s="28">
        <f>Dataset!B37</f>
        <v>135000</v>
      </c>
      <c r="L35" s="28" t="s">
        <v>6</v>
      </c>
    </row>
    <row r="36" spans="3:20">
      <c r="J36" s="28" t="s">
        <v>157</v>
      </c>
      <c r="K36" s="28">
        <f>Dataset!B38</f>
        <v>50000</v>
      </c>
      <c r="L36" s="28" t="s">
        <v>158</v>
      </c>
    </row>
    <row r="37" spans="3:20">
      <c r="J37" s="28" t="s">
        <v>159</v>
      </c>
      <c r="K37" s="28">
        <f>Dataset!B39</f>
        <v>0</v>
      </c>
      <c r="L37" s="28" t="s">
        <v>7</v>
      </c>
    </row>
    <row r="38" spans="3:20">
      <c r="J38" s="28" t="s">
        <v>160</v>
      </c>
      <c r="K38" s="28">
        <f>Dataset!B40</f>
        <v>30</v>
      </c>
      <c r="L38" s="28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48574"/>
  <sheetViews>
    <sheetView zoomScale="120" zoomScaleNormal="120" zoomScalePageLayoutView="90" workbookViewId="0">
      <selection activeCell="F14" sqref="F14"/>
    </sheetView>
  </sheetViews>
  <sheetFormatPr defaultColWidth="11.42578125" defaultRowHeight="15"/>
  <cols>
    <col min="3" max="3" width="15.140625" customWidth="1"/>
    <col min="6" max="6" width="14.85546875" customWidth="1"/>
    <col min="7" max="7" width="8.7109375" customWidth="1"/>
    <col min="8" max="8" width="11.28515625" customWidth="1"/>
    <col min="9" max="9" width="12.140625" bestFit="1" customWidth="1"/>
    <col min="14" max="16" width="10.85546875" style="34"/>
  </cols>
  <sheetData>
    <row r="1" spans="1:12" s="19" customFormat="1"/>
    <row r="2" spans="1:12" s="19" customFormat="1" ht="18.75">
      <c r="G2" s="20" t="s">
        <v>136</v>
      </c>
    </row>
    <row r="3" spans="1:12" s="19" customFormat="1" ht="18.75">
      <c r="G3" s="21" t="s">
        <v>137</v>
      </c>
    </row>
    <row r="4" spans="1:12" s="19" customFormat="1"/>
    <row r="5" spans="1:12" s="22" customFormat="1" ht="5.0999999999999996" customHeight="1"/>
    <row r="7" spans="1:12" ht="16.5">
      <c r="A7" s="13" t="s">
        <v>73</v>
      </c>
      <c r="D7">
        <f>K16*(K12*C21+K14*C21^2)+K17*(K13*C22+K15*C22^2)</f>
        <v>0</v>
      </c>
      <c r="F7" t="s">
        <v>13</v>
      </c>
      <c r="G7">
        <f>C23+K26*C25^2-(C21+C25)</f>
        <v>8.1583493738435209E-8</v>
      </c>
      <c r="J7" s="23" t="s">
        <v>138</v>
      </c>
      <c r="K7" s="23"/>
      <c r="L7" s="23"/>
    </row>
    <row r="8" spans="1:12" ht="16.5">
      <c r="A8" s="13" t="s">
        <v>74</v>
      </c>
      <c r="D8">
        <f>K16*(K18*C23-0.5*K19*C23^2)+K17*(K18*C24-0.5*K19*C24^2)</f>
        <v>56699745855.333786</v>
      </c>
      <c r="F8" t="s">
        <v>14</v>
      </c>
      <c r="G8">
        <f>C24+K26*C26^2-(C22+C26)</f>
        <v>0</v>
      </c>
      <c r="J8" s="23" t="s">
        <v>19</v>
      </c>
      <c r="K8" s="24">
        <f>Dataset!B9</f>
        <v>0</v>
      </c>
      <c r="L8" s="23" t="s">
        <v>6</v>
      </c>
    </row>
    <row r="9" spans="1:12" ht="16.5">
      <c r="A9" s="13" t="s">
        <v>75</v>
      </c>
      <c r="D9">
        <f>(K20-K21*C28-K22*C28^2)*(K16+K17)/24</f>
        <v>-12536655000</v>
      </c>
      <c r="F9" s="2" t="s">
        <v>15</v>
      </c>
      <c r="G9">
        <f>C27-$K$23-($K$24-C29-$K$8-$K$9*C25-$K$10*C25^2)*K16</f>
        <v>5.9556623455137014E-7</v>
      </c>
      <c r="J9" s="23" t="s">
        <v>20</v>
      </c>
      <c r="K9" s="24">
        <f>Dataset!B10</f>
        <v>1.5E-3</v>
      </c>
      <c r="L9" s="23" t="s">
        <v>10</v>
      </c>
    </row>
    <row r="10" spans="1:12" ht="16.5">
      <c r="A10" s="13" t="s">
        <v>76</v>
      </c>
      <c r="D10" s="35">
        <f>D7-D8+D9</f>
        <v>-69236400855.333786</v>
      </c>
      <c r="F10" s="2" t="s">
        <v>16</v>
      </c>
      <c r="G10">
        <f>C28-C27-($K$25-C30--$K$8-$K$9*C26-$K$10*C26^2)*$K$17</f>
        <v>0</v>
      </c>
      <c r="J10" s="23" t="s">
        <v>21</v>
      </c>
      <c r="K10" s="24">
        <f>Dataset!B11</f>
        <v>1E-8</v>
      </c>
      <c r="L10" s="23" t="s">
        <v>22</v>
      </c>
    </row>
    <row r="11" spans="1:12">
      <c r="C11" t="s">
        <v>165</v>
      </c>
      <c r="D11">
        <f>K12+2*K14*C21</f>
        <v>60</v>
      </c>
      <c r="E11" s="19" t="s">
        <v>2</v>
      </c>
      <c r="J11" s="23" t="s">
        <v>139</v>
      </c>
      <c r="K11" s="23">
        <f>Dataset!B13</f>
        <v>1000</v>
      </c>
      <c r="L11" s="23" t="s">
        <v>78</v>
      </c>
    </row>
    <row r="12" spans="1:12">
      <c r="C12" s="33" t="s">
        <v>166</v>
      </c>
      <c r="D12">
        <f>K13+2*K15*C22</f>
        <v>80</v>
      </c>
      <c r="E12" s="19" t="s">
        <v>2</v>
      </c>
      <c r="J12" s="23" t="s">
        <v>140</v>
      </c>
      <c r="K12" s="23">
        <f>Dataset!B14</f>
        <v>60</v>
      </c>
      <c r="L12" s="23" t="s">
        <v>2</v>
      </c>
    </row>
    <row r="13" spans="1:12">
      <c r="C13" s="33" t="s">
        <v>57</v>
      </c>
      <c r="D13" s="1">
        <f>$K$8+$K$9*C25+$K$10*C25^2</f>
        <v>22.000000000135969</v>
      </c>
      <c r="E13" s="19" t="s">
        <v>7</v>
      </c>
      <c r="J13" s="23" t="s">
        <v>141</v>
      </c>
      <c r="K13" s="23">
        <f>Dataset!B15</f>
        <v>80</v>
      </c>
      <c r="L13" s="23" t="s">
        <v>2</v>
      </c>
    </row>
    <row r="14" spans="1:12">
      <c r="C14" s="33" t="s">
        <v>58</v>
      </c>
      <c r="D14" s="1">
        <f>$K$8+$K$9*C26+$K$10*C26^2</f>
        <v>22</v>
      </c>
      <c r="E14" s="19" t="s">
        <v>7</v>
      </c>
      <c r="J14" s="23" t="s">
        <v>142</v>
      </c>
      <c r="K14" s="23">
        <f>Dataset!B16</f>
        <v>0.02</v>
      </c>
      <c r="L14" s="23" t="s">
        <v>25</v>
      </c>
    </row>
    <row r="15" spans="1:12">
      <c r="C15" s="33" t="s">
        <v>123</v>
      </c>
      <c r="D15" s="1">
        <f>C21+C25-C23</f>
        <v>1086.8729416372335</v>
      </c>
      <c r="E15" s="19" t="s">
        <v>4</v>
      </c>
      <c r="J15" s="23" t="s">
        <v>143</v>
      </c>
      <c r="K15" s="23">
        <f>Dataset!B17</f>
        <v>0.03</v>
      </c>
      <c r="L15" s="23" t="s">
        <v>25</v>
      </c>
    </row>
    <row r="16" spans="1:12">
      <c r="C16" s="33" t="s">
        <v>124</v>
      </c>
      <c r="D16">
        <f>C22+C26-C24</f>
        <v>1086.8729417064023</v>
      </c>
      <c r="E16" s="19" t="s">
        <v>4</v>
      </c>
      <c r="J16" s="23" t="s">
        <v>144</v>
      </c>
      <c r="K16" s="23">
        <f>Dataset!B18</f>
        <v>4380</v>
      </c>
      <c r="L16" s="23" t="s">
        <v>3</v>
      </c>
    </row>
    <row r="17" spans="1:12">
      <c r="C17" s="33" t="s">
        <v>168</v>
      </c>
      <c r="D17">
        <f>100*D15/(C21+C23)</f>
        <v>8.7848297658477801</v>
      </c>
      <c r="E17" s="19" t="s">
        <v>167</v>
      </c>
      <c r="J17" s="23" t="s">
        <v>145</v>
      </c>
      <c r="K17" s="23">
        <f>Dataset!B19</f>
        <v>4380</v>
      </c>
      <c r="L17" s="23" t="s">
        <v>3</v>
      </c>
    </row>
    <row r="18" spans="1:12">
      <c r="C18" s="33" t="s">
        <v>169</v>
      </c>
      <c r="D18">
        <f>100*D16/(C22+C24)</f>
        <v>8.7848297665105335</v>
      </c>
      <c r="E18" s="19" t="s">
        <v>167</v>
      </c>
      <c r="J18" s="25" t="s">
        <v>146</v>
      </c>
      <c r="K18" s="23">
        <f>Dataset!B20</f>
        <v>1000</v>
      </c>
      <c r="L18" s="23" t="s">
        <v>2</v>
      </c>
    </row>
    <row r="19" spans="1:12">
      <c r="J19" s="23" t="s">
        <v>147</v>
      </c>
      <c r="K19" s="23">
        <f>Dataset!B21</f>
        <v>7.7083333333333337E-2</v>
      </c>
      <c r="L19" s="23" t="s">
        <v>25</v>
      </c>
    </row>
    <row r="20" spans="1:12">
      <c r="A20" s="3" t="s">
        <v>161</v>
      </c>
      <c r="J20" s="23" t="s">
        <v>1</v>
      </c>
      <c r="K20" s="23">
        <f>Dataset!B22</f>
        <v>240000</v>
      </c>
      <c r="L20" s="23" t="s">
        <v>81</v>
      </c>
    </row>
    <row r="21" spans="1:12">
      <c r="A21">
        <f>K30</f>
        <v>0</v>
      </c>
      <c r="B21" t="s">
        <v>26</v>
      </c>
      <c r="C21" s="10">
        <v>0</v>
      </c>
      <c r="D21" s="26">
        <f>K29</f>
        <v>8000</v>
      </c>
      <c r="E21" t="s">
        <v>4</v>
      </c>
      <c r="J21" s="23" t="s">
        <v>23</v>
      </c>
      <c r="K21" s="23">
        <f>Dataset!B23</f>
        <v>240</v>
      </c>
      <c r="L21" s="23" t="s">
        <v>79</v>
      </c>
    </row>
    <row r="22" spans="1:12">
      <c r="A22">
        <f>A21</f>
        <v>0</v>
      </c>
      <c r="B22" t="s">
        <v>27</v>
      </c>
      <c r="C22" s="10">
        <v>0</v>
      </c>
      <c r="D22" s="26">
        <f>D21</f>
        <v>8000</v>
      </c>
      <c r="E22" t="s">
        <v>4</v>
      </c>
      <c r="J22" s="23" t="s">
        <v>24</v>
      </c>
      <c r="K22" s="23">
        <f>Dataset!B24</f>
        <v>1.2000000000000002E-4</v>
      </c>
      <c r="L22" s="23" t="s">
        <v>80</v>
      </c>
    </row>
    <row r="23" spans="1:12">
      <c r="A23">
        <f>K34</f>
        <v>0</v>
      </c>
      <c r="B23" t="s">
        <v>0</v>
      </c>
      <c r="C23" s="10">
        <v>12372.157123210285</v>
      </c>
      <c r="D23" s="26">
        <f>K33</f>
        <v>12972.972972972972</v>
      </c>
      <c r="E23" t="s">
        <v>4</v>
      </c>
      <c r="J23" s="23" t="s">
        <v>5</v>
      </c>
      <c r="K23" s="23">
        <f>Dataset!B25</f>
        <v>50000</v>
      </c>
      <c r="L23" s="23" t="s">
        <v>6</v>
      </c>
    </row>
    <row r="24" spans="1:12">
      <c r="A24">
        <f>A23</f>
        <v>0</v>
      </c>
      <c r="B24" t="s">
        <v>29</v>
      </c>
      <c r="C24" s="10">
        <v>12372.15712306426</v>
      </c>
      <c r="D24" s="26">
        <f>D23</f>
        <v>12972.972972972972</v>
      </c>
      <c r="E24" t="s">
        <v>4</v>
      </c>
      <c r="J24" s="23" t="s">
        <v>148</v>
      </c>
      <c r="K24" s="23">
        <f>Dataset!G9</f>
        <v>40</v>
      </c>
      <c r="L24" s="23" t="s">
        <v>7</v>
      </c>
    </row>
    <row r="25" spans="1:12">
      <c r="A25">
        <f>K32</f>
        <v>0</v>
      </c>
      <c r="B25" t="s">
        <v>11</v>
      </c>
      <c r="C25" s="10">
        <v>13459.030064847519</v>
      </c>
      <c r="D25" s="26">
        <f>K31</f>
        <v>15000</v>
      </c>
      <c r="E25" t="s">
        <v>4</v>
      </c>
      <c r="J25" s="23" t="s">
        <v>149</v>
      </c>
      <c r="K25" s="23">
        <f>Dataset!G10</f>
        <v>30</v>
      </c>
      <c r="L25" s="23" t="s">
        <v>7</v>
      </c>
    </row>
    <row r="26" spans="1:12">
      <c r="A26">
        <f>A25</f>
        <v>0</v>
      </c>
      <c r="B26" t="s">
        <v>12</v>
      </c>
      <c r="C26" s="10">
        <v>13459.030064770663</v>
      </c>
      <c r="D26" s="26">
        <f>D25</f>
        <v>15000</v>
      </c>
      <c r="E26" t="s">
        <v>4</v>
      </c>
      <c r="J26" s="23" t="s">
        <v>28</v>
      </c>
      <c r="K26" s="23">
        <f>Dataset!B28</f>
        <v>6.0000000000000002E-6</v>
      </c>
      <c r="L26" s="23"/>
    </row>
    <row r="27" spans="1:12">
      <c r="A27">
        <f>K36</f>
        <v>50000</v>
      </c>
      <c r="B27" t="s">
        <v>8</v>
      </c>
      <c r="C27" s="10">
        <v>99960</v>
      </c>
      <c r="D27" s="26">
        <f>K35</f>
        <v>135000</v>
      </c>
      <c r="E27" t="s">
        <v>6</v>
      </c>
      <c r="J27" s="23" t="s">
        <v>59</v>
      </c>
      <c r="K27" s="23">
        <f>Dataset!B29</f>
        <v>12000</v>
      </c>
      <c r="L27" s="23" t="s">
        <v>4</v>
      </c>
    </row>
    <row r="28" spans="1:12">
      <c r="A28">
        <f>A27</f>
        <v>50000</v>
      </c>
      <c r="B28" t="s">
        <v>9</v>
      </c>
      <c r="C28" s="10">
        <v>135000</v>
      </c>
      <c r="D28" s="26">
        <f>D27</f>
        <v>135000</v>
      </c>
      <c r="E28" t="s">
        <v>6</v>
      </c>
      <c r="J28" s="23" t="s">
        <v>60</v>
      </c>
      <c r="K28" s="23">
        <f>Dataset!B30</f>
        <v>75</v>
      </c>
      <c r="L28" s="23" t="s">
        <v>2</v>
      </c>
    </row>
    <row r="29" spans="1:12">
      <c r="A29">
        <f>K37</f>
        <v>0</v>
      </c>
      <c r="B29" t="s">
        <v>17</v>
      </c>
      <c r="C29" s="10">
        <v>6.5936073059360716</v>
      </c>
      <c r="D29" s="26">
        <f>K38</f>
        <v>30</v>
      </c>
      <c r="E29" t="s">
        <v>7</v>
      </c>
      <c r="J29" s="23" t="s">
        <v>150</v>
      </c>
      <c r="K29" s="23">
        <f>Dataset!B31</f>
        <v>8000</v>
      </c>
      <c r="L29" s="23" t="s">
        <v>4</v>
      </c>
    </row>
    <row r="30" spans="1:12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3" t="s">
        <v>151</v>
      </c>
      <c r="K30" s="23">
        <f>Dataset!B32</f>
        <v>0</v>
      </c>
      <c r="L30" s="23" t="s">
        <v>4</v>
      </c>
    </row>
    <row r="31" spans="1:12">
      <c r="J31" s="23" t="s">
        <v>152</v>
      </c>
      <c r="K31" s="23">
        <f>Dataset!B33</f>
        <v>15000</v>
      </c>
      <c r="L31" s="23" t="s">
        <v>4</v>
      </c>
    </row>
    <row r="32" spans="1:12">
      <c r="D32" s="29" t="s">
        <v>162</v>
      </c>
      <c r="E32" s="29" t="s">
        <v>163</v>
      </c>
      <c r="J32" s="23" t="s">
        <v>153</v>
      </c>
      <c r="K32" s="23">
        <f>Dataset!B34</f>
        <v>0</v>
      </c>
      <c r="L32" s="23" t="s">
        <v>4</v>
      </c>
    </row>
    <row r="33" spans="3:12">
      <c r="C33" t="s">
        <v>30</v>
      </c>
      <c r="D33" s="23">
        <f>K18-K19*C23</f>
        <v>46.312888419207184</v>
      </c>
      <c r="E33" s="23">
        <f>D33*(1-2*$K$26*C25)</f>
        <v>38.832969727718726</v>
      </c>
      <c r="J33" s="23" t="s">
        <v>154</v>
      </c>
      <c r="K33" s="23">
        <f>Dataset!B35</f>
        <v>12972.972972972972</v>
      </c>
      <c r="L33" s="23" t="s">
        <v>4</v>
      </c>
    </row>
    <row r="34" spans="3:12">
      <c r="C34" t="s">
        <v>31</v>
      </c>
      <c r="D34" s="23">
        <f>K18-K19*C24</f>
        <v>46.312888430463204</v>
      </c>
      <c r="E34" s="23">
        <f>D34*(1-2*$K$26*C26)</f>
        <v>38.832969737199519</v>
      </c>
      <c r="J34" s="23" t="s">
        <v>155</v>
      </c>
      <c r="K34" s="23">
        <f>Dataset!B36</f>
        <v>0</v>
      </c>
      <c r="L34" s="23" t="s">
        <v>4</v>
      </c>
    </row>
    <row r="35" spans="3:12">
      <c r="J35" s="23" t="s">
        <v>156</v>
      </c>
      <c r="K35" s="23">
        <f>Dataset!B37</f>
        <v>135000</v>
      </c>
      <c r="L35" s="23" t="s">
        <v>6</v>
      </c>
    </row>
    <row r="36" spans="3:12">
      <c r="J36" s="23" t="s">
        <v>157</v>
      </c>
      <c r="K36" s="23">
        <f>Dataset!B38</f>
        <v>50000</v>
      </c>
      <c r="L36" s="23" t="s">
        <v>158</v>
      </c>
    </row>
    <row r="37" spans="3:12">
      <c r="J37" s="23" t="s">
        <v>159</v>
      </c>
      <c r="K37" s="23">
        <f>Dataset!B39</f>
        <v>0</v>
      </c>
      <c r="L37" s="23" t="s">
        <v>7</v>
      </c>
    </row>
    <row r="38" spans="3:12">
      <c r="J38" s="23" t="s">
        <v>160</v>
      </c>
      <c r="K38" s="23">
        <f>Dataset!B40</f>
        <v>30</v>
      </c>
      <c r="L38" s="23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8574"/>
  <sheetViews>
    <sheetView topLeftCell="A4" zoomScale="120" zoomScaleNormal="120" zoomScalePageLayoutView="90" workbookViewId="0">
      <selection activeCell="G16" sqref="G16"/>
    </sheetView>
  </sheetViews>
  <sheetFormatPr defaultColWidth="11.42578125" defaultRowHeight="15"/>
  <cols>
    <col min="3" max="3" width="15.140625" customWidth="1"/>
    <col min="4" max="4" width="11.7109375" customWidth="1"/>
    <col min="6" max="6" width="14.85546875" customWidth="1"/>
    <col min="7" max="7" width="8.28515625" customWidth="1"/>
    <col min="8" max="8" width="9.42578125" customWidth="1"/>
    <col min="9" max="9" width="12.140625" bestFit="1" customWidth="1"/>
    <col min="14" max="16" width="10.85546875" style="34"/>
  </cols>
  <sheetData>
    <row r="1" spans="1:12" s="19" customFormat="1"/>
    <row r="2" spans="1:12" s="19" customFormat="1" ht="18.75">
      <c r="G2" s="20" t="s">
        <v>136</v>
      </c>
    </row>
    <row r="3" spans="1:12" s="19" customFormat="1" ht="18.75">
      <c r="G3" s="21" t="s">
        <v>137</v>
      </c>
    </row>
    <row r="4" spans="1:12" s="19" customFormat="1"/>
    <row r="5" spans="1:12" s="22" customFormat="1" ht="5.0999999999999996" customHeight="1"/>
    <row r="7" spans="1:12" ht="16.5">
      <c r="A7" s="13" t="s">
        <v>73</v>
      </c>
      <c r="D7">
        <f>K16*(K12*C21+K14*C21^2)+K17*(K13*C22+K15*C22^2)</f>
        <v>7054239300.4140759</v>
      </c>
      <c r="F7" t="s">
        <v>13</v>
      </c>
      <c r="G7">
        <f>C23+K26*C25^2-(C21+C25)</f>
        <v>7.2395778261125088E-10</v>
      </c>
      <c r="J7" s="23" t="s">
        <v>138</v>
      </c>
      <c r="K7" s="23"/>
      <c r="L7" s="23"/>
    </row>
    <row r="8" spans="1:12" ht="16.5">
      <c r="A8" s="13" t="s">
        <v>74</v>
      </c>
      <c r="D8">
        <f>K16*(K18*C23-0.5*K19*C23^2)+K17*(K18*C24-0.5*K19*C24^2)</f>
        <v>52116099839.996758</v>
      </c>
      <c r="F8" t="s">
        <v>14</v>
      </c>
      <c r="G8">
        <f>C24+K26*C26^2-(C22+C26)</f>
        <v>6.7666405811905861E-10</v>
      </c>
      <c r="J8" s="23" t="s">
        <v>19</v>
      </c>
      <c r="K8" s="24">
        <f>Dataset!B9</f>
        <v>0</v>
      </c>
      <c r="L8" s="23" t="s">
        <v>6</v>
      </c>
    </row>
    <row r="9" spans="1:12" ht="16.5">
      <c r="A9" s="13" t="s">
        <v>75</v>
      </c>
      <c r="D9">
        <f>(K20-K21*C28-K22*C28^2)*(K16+K17)/24</f>
        <v>-4401900000</v>
      </c>
      <c r="F9" s="2" t="s">
        <v>15</v>
      </c>
      <c r="G9">
        <f>C27-$K$23-($K$24-C29-$K$8-$K$9*C25-$K$10*C25^2)*K16</f>
        <v>5.3078110795468092E-9</v>
      </c>
      <c r="J9" s="23" t="s">
        <v>20</v>
      </c>
      <c r="K9" s="24">
        <f>Dataset!B10</f>
        <v>1.5E-3</v>
      </c>
      <c r="L9" s="23" t="s">
        <v>10</v>
      </c>
    </row>
    <row r="10" spans="1:12" ht="16.5">
      <c r="A10" s="13" t="s">
        <v>76</v>
      </c>
      <c r="D10" s="35">
        <f>D7-D8+D9</f>
        <v>-49463760539.58268</v>
      </c>
      <c r="F10" s="2" t="s">
        <v>16</v>
      </c>
      <c r="G10">
        <f>C28-C27-($K$25-C30--$K$8-$K$9*C26-$K$10*C26^2)*$K$17</f>
        <v>4.8603396862745285E-9</v>
      </c>
      <c r="J10" s="23" t="s">
        <v>21</v>
      </c>
      <c r="K10" s="24">
        <f>Dataset!B11</f>
        <v>1E-8</v>
      </c>
      <c r="L10" s="23" t="s">
        <v>22</v>
      </c>
    </row>
    <row r="11" spans="1:12">
      <c r="C11" t="s">
        <v>165</v>
      </c>
      <c r="D11" s="1">
        <f>K12+2*K14*C21</f>
        <v>280.86476995669045</v>
      </c>
      <c r="E11" s="19" t="s">
        <v>2</v>
      </c>
      <c r="J11" s="23" t="s">
        <v>139</v>
      </c>
      <c r="K11" s="23">
        <f>Dataset!B13</f>
        <v>1000</v>
      </c>
      <c r="L11" s="23" t="s">
        <v>78</v>
      </c>
    </row>
    <row r="12" spans="1:12">
      <c r="C12" s="33" t="s">
        <v>166</v>
      </c>
      <c r="D12" s="1">
        <f>K13+2*K15*C22</f>
        <v>294.5153674158513</v>
      </c>
      <c r="E12" s="19" t="s">
        <v>2</v>
      </c>
      <c r="J12" s="23" t="s">
        <v>140</v>
      </c>
      <c r="K12" s="23">
        <f>Dataset!B14</f>
        <v>60</v>
      </c>
      <c r="L12" s="23" t="s">
        <v>2</v>
      </c>
    </row>
    <row r="13" spans="1:12">
      <c r="C13" s="33" t="s">
        <v>57</v>
      </c>
      <c r="D13" s="1">
        <f>$K$8+$K$9*C25+$K$10*C25^2</f>
        <v>6.0003838733878325</v>
      </c>
      <c r="E13" s="19" t="s">
        <v>7</v>
      </c>
      <c r="J13" s="23" t="s">
        <v>141</v>
      </c>
      <c r="K13" s="23">
        <f>Dataset!B15</f>
        <v>80</v>
      </c>
      <c r="L13" s="23" t="s">
        <v>2</v>
      </c>
    </row>
    <row r="14" spans="1:12">
      <c r="C14" s="33" t="s">
        <v>58</v>
      </c>
      <c r="D14" s="1">
        <f>$K$8+$K$9*C26+$K$10*C26^2</f>
        <v>8.9996161266144892</v>
      </c>
      <c r="E14" s="19" t="s">
        <v>7</v>
      </c>
      <c r="J14" s="23" t="s">
        <v>142</v>
      </c>
      <c r="K14" s="23">
        <f>Dataset!B16</f>
        <v>0.02</v>
      </c>
      <c r="L14" s="23" t="s">
        <v>25</v>
      </c>
    </row>
    <row r="15" spans="1:12">
      <c r="C15" s="33" t="s">
        <v>123</v>
      </c>
      <c r="D15" s="1">
        <f>C21+C25-C23</f>
        <v>91.209110214258544</v>
      </c>
      <c r="E15" s="19" t="s">
        <v>4</v>
      </c>
      <c r="J15" s="23" t="s">
        <v>143</v>
      </c>
      <c r="K15" s="23">
        <f>Dataset!B17</f>
        <v>0.03</v>
      </c>
      <c r="L15" s="23" t="s">
        <v>25</v>
      </c>
    </row>
    <row r="16" spans="1:12">
      <c r="C16" s="33" t="s">
        <v>124</v>
      </c>
      <c r="D16" s="1">
        <f>C22+C26-C24</f>
        <v>200.25863046115956</v>
      </c>
      <c r="E16" s="19" t="s">
        <v>4</v>
      </c>
      <c r="J16" s="23" t="s">
        <v>144</v>
      </c>
      <c r="K16" s="23">
        <f>Dataset!B18</f>
        <v>4380</v>
      </c>
      <c r="L16" s="23" t="s">
        <v>3</v>
      </c>
    </row>
    <row r="17" spans="1:12">
      <c r="C17" s="33" t="s">
        <v>168</v>
      </c>
      <c r="D17" s="1">
        <f>100*D15/(C21+C23)</f>
        <v>0.6141638096180273</v>
      </c>
      <c r="E17" s="19" t="s">
        <v>167</v>
      </c>
      <c r="J17" s="23" t="s">
        <v>145</v>
      </c>
      <c r="K17" s="23">
        <f>Dataset!B19</f>
        <v>4380</v>
      </c>
      <c r="L17" s="23" t="s">
        <v>3</v>
      </c>
    </row>
    <row r="18" spans="1:12">
      <c r="C18" s="33" t="s">
        <v>169</v>
      </c>
      <c r="D18" s="1">
        <f>100*D16/(C22+C24)</f>
        <v>1.5734340405819336</v>
      </c>
      <c r="E18" s="19" t="s">
        <v>167</v>
      </c>
      <c r="J18" s="25" t="s">
        <v>146</v>
      </c>
      <c r="K18" s="23">
        <f>Dataset!B20</f>
        <v>1000</v>
      </c>
      <c r="L18" s="23" t="s">
        <v>2</v>
      </c>
    </row>
    <row r="19" spans="1:12">
      <c r="J19" s="23" t="s">
        <v>147</v>
      </c>
      <c r="K19" s="23">
        <f>Dataset!B21</f>
        <v>7.7083333333333337E-2</v>
      </c>
      <c r="L19" s="23" t="s">
        <v>25</v>
      </c>
    </row>
    <row r="20" spans="1:12">
      <c r="A20" s="3" t="s">
        <v>161</v>
      </c>
      <c r="J20" s="23" t="s">
        <v>1</v>
      </c>
      <c r="K20" s="23">
        <f>Dataset!B22</f>
        <v>240000</v>
      </c>
      <c r="L20" s="23" t="s">
        <v>81</v>
      </c>
    </row>
    <row r="21" spans="1:12">
      <c r="A21">
        <f>K30</f>
        <v>0</v>
      </c>
      <c r="B21" t="s">
        <v>26</v>
      </c>
      <c r="C21" s="10">
        <v>5521.6192489172618</v>
      </c>
      <c r="D21" s="26">
        <f>K29</f>
        <v>8000</v>
      </c>
      <c r="E21" t="s">
        <v>4</v>
      </c>
      <c r="J21" s="23" t="s">
        <v>23</v>
      </c>
      <c r="K21" s="23">
        <f>Dataset!B23</f>
        <v>240</v>
      </c>
      <c r="L21" s="23" t="s">
        <v>79</v>
      </c>
    </row>
    <row r="22" spans="1:12">
      <c r="A22">
        <f>A21</f>
        <v>0</v>
      </c>
      <c r="B22" t="s">
        <v>27</v>
      </c>
      <c r="C22" s="10">
        <v>3575.2561235975213</v>
      </c>
      <c r="D22" s="26">
        <f>D21</f>
        <v>8000</v>
      </c>
      <c r="E22" t="s">
        <v>4</v>
      </c>
      <c r="J22" s="23" t="s">
        <v>24</v>
      </c>
      <c r="K22" s="23">
        <f>Dataset!B24</f>
        <v>1.2000000000000002E-4</v>
      </c>
      <c r="L22" s="23" t="s">
        <v>80</v>
      </c>
    </row>
    <row r="23" spans="1:12">
      <c r="A23">
        <f>K34</f>
        <v>0</v>
      </c>
      <c r="B23" t="s">
        <v>0</v>
      </c>
      <c r="C23" s="10">
        <v>9329.3225985004647</v>
      </c>
      <c r="D23" s="26">
        <f>K33</f>
        <v>12972.972972972972</v>
      </c>
      <c r="E23" t="s">
        <v>4</v>
      </c>
      <c r="J23" s="23" t="s">
        <v>5</v>
      </c>
      <c r="K23" s="23">
        <f>Dataset!B25</f>
        <v>50000</v>
      </c>
      <c r="L23" s="23" t="s">
        <v>6</v>
      </c>
    </row>
    <row r="24" spans="1:12">
      <c r="A24">
        <f>A23</f>
        <v>0</v>
      </c>
      <c r="B24" t="s">
        <v>29</v>
      </c>
      <c r="C24" s="10">
        <v>9152.2319881439817</v>
      </c>
      <c r="D24" s="26">
        <f>D23</f>
        <v>12972.972972972972</v>
      </c>
      <c r="E24" t="s">
        <v>4</v>
      </c>
      <c r="J24" s="23" t="s">
        <v>148</v>
      </c>
      <c r="K24" s="23">
        <f>Dataset!H9</f>
        <v>10</v>
      </c>
      <c r="L24" s="23" t="s">
        <v>7</v>
      </c>
    </row>
    <row r="25" spans="1:12">
      <c r="A25">
        <f>K32</f>
        <v>0</v>
      </c>
      <c r="B25" t="s">
        <v>11</v>
      </c>
      <c r="C25" s="10">
        <v>3898.9124597974619</v>
      </c>
      <c r="D25" s="26">
        <f>K31</f>
        <v>15000</v>
      </c>
      <c r="E25" t="s">
        <v>4</v>
      </c>
      <c r="J25" s="23" t="s">
        <v>149</v>
      </c>
      <c r="K25" s="23">
        <f>Dataset!H10</f>
        <v>5</v>
      </c>
      <c r="L25" s="23" t="s">
        <v>7</v>
      </c>
    </row>
    <row r="26" spans="1:12">
      <c r="A26">
        <f>A25</f>
        <v>0</v>
      </c>
      <c r="B26" t="s">
        <v>12</v>
      </c>
      <c r="C26" s="10">
        <v>5777.2344950076194</v>
      </c>
      <c r="D26" s="26">
        <f>D25</f>
        <v>15000</v>
      </c>
      <c r="E26" t="s">
        <v>4</v>
      </c>
      <c r="J26" s="23" t="s">
        <v>28</v>
      </c>
      <c r="K26" s="23">
        <f>Dataset!B28</f>
        <v>6.0000000000000002E-6</v>
      </c>
      <c r="L26" s="23"/>
    </row>
    <row r="27" spans="1:12">
      <c r="A27">
        <f>K36</f>
        <v>50000</v>
      </c>
      <c r="B27" t="s">
        <v>8</v>
      </c>
      <c r="C27" s="10">
        <v>67518.318634566604</v>
      </c>
      <c r="D27" s="26">
        <f>K35</f>
        <v>135000</v>
      </c>
      <c r="E27" t="s">
        <v>6</v>
      </c>
      <c r="J27" s="23" t="s">
        <v>59</v>
      </c>
      <c r="K27" s="23">
        <f>Dataset!B29</f>
        <v>12000</v>
      </c>
      <c r="L27" s="23" t="s">
        <v>4</v>
      </c>
    </row>
    <row r="28" spans="1:12">
      <c r="A28">
        <f>A27</f>
        <v>50000</v>
      </c>
      <c r="B28" t="s">
        <v>9</v>
      </c>
      <c r="C28" s="10">
        <v>50000</v>
      </c>
      <c r="D28" s="26">
        <f>D27</f>
        <v>135000</v>
      </c>
      <c r="E28" t="s">
        <v>6</v>
      </c>
      <c r="J28" s="23" t="s">
        <v>60</v>
      </c>
      <c r="K28" s="23">
        <f>Dataset!B30</f>
        <v>75</v>
      </c>
      <c r="L28" s="23" t="s">
        <v>2</v>
      </c>
    </row>
    <row r="29" spans="1:12">
      <c r="A29">
        <f>K37</f>
        <v>0</v>
      </c>
      <c r="B29" t="s">
        <v>17</v>
      </c>
      <c r="C29" s="10">
        <v>0</v>
      </c>
      <c r="D29" s="26">
        <f>K38</f>
        <v>30</v>
      </c>
      <c r="E29" t="s">
        <v>7</v>
      </c>
      <c r="J29" s="23" t="s">
        <v>150</v>
      </c>
      <c r="K29" s="23">
        <f>Dataset!B31</f>
        <v>8000</v>
      </c>
      <c r="L29" s="23" t="s">
        <v>4</v>
      </c>
    </row>
    <row r="30" spans="1:12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3" t="s">
        <v>151</v>
      </c>
      <c r="K30" s="23">
        <f>Dataset!B32</f>
        <v>0</v>
      </c>
      <c r="L30" s="23" t="s">
        <v>4</v>
      </c>
    </row>
    <row r="31" spans="1:12">
      <c r="J31" s="23" t="s">
        <v>152</v>
      </c>
      <c r="K31" s="23">
        <f>Dataset!B33</f>
        <v>15000</v>
      </c>
      <c r="L31" s="23" t="s">
        <v>4</v>
      </c>
    </row>
    <row r="32" spans="1:12">
      <c r="D32" s="29" t="s">
        <v>162</v>
      </c>
      <c r="E32" s="29" t="s">
        <v>163</v>
      </c>
      <c r="J32" s="23" t="s">
        <v>153</v>
      </c>
      <c r="K32" s="23">
        <f>Dataset!B34</f>
        <v>0</v>
      </c>
      <c r="L32" s="23" t="s">
        <v>4</v>
      </c>
    </row>
    <row r="33" spans="3:12">
      <c r="C33" t="s">
        <v>30</v>
      </c>
      <c r="D33" s="23">
        <f>K18-K19*C23</f>
        <v>280.86471636558917</v>
      </c>
      <c r="E33" s="23">
        <f>D33*(1-2*$K$26*C25)</f>
        <v>267.72391305972587</v>
      </c>
      <c r="J33" s="23" t="s">
        <v>154</v>
      </c>
      <c r="K33" s="23">
        <f>Dataset!B35</f>
        <v>12972.972972972972</v>
      </c>
      <c r="L33" s="23" t="s">
        <v>4</v>
      </c>
    </row>
    <row r="34" spans="3:12">
      <c r="C34" t="s">
        <v>31</v>
      </c>
      <c r="D34" s="23">
        <f>K18-K19*C24</f>
        <v>294.51545091390142</v>
      </c>
      <c r="E34" s="23">
        <f>D34*(1-2*$K$26*C26)</f>
        <v>274.09763304591127</v>
      </c>
      <c r="J34" s="23" t="s">
        <v>155</v>
      </c>
      <c r="K34" s="23">
        <f>Dataset!B36</f>
        <v>0</v>
      </c>
      <c r="L34" s="23" t="s">
        <v>4</v>
      </c>
    </row>
    <row r="35" spans="3:12">
      <c r="J35" s="23" t="s">
        <v>156</v>
      </c>
      <c r="K35" s="23">
        <f>Dataset!B37</f>
        <v>135000</v>
      </c>
      <c r="L35" s="23" t="s">
        <v>6</v>
      </c>
    </row>
    <row r="36" spans="3:12">
      <c r="J36" s="23" t="s">
        <v>157</v>
      </c>
      <c r="K36" s="23">
        <f>Dataset!B38</f>
        <v>50000</v>
      </c>
      <c r="L36" s="23" t="s">
        <v>158</v>
      </c>
    </row>
    <row r="37" spans="3:12">
      <c r="J37" s="23" t="s">
        <v>159</v>
      </c>
      <c r="K37" s="23">
        <f>Dataset!B39</f>
        <v>0</v>
      </c>
      <c r="L37" s="23" t="s">
        <v>7</v>
      </c>
    </row>
    <row r="38" spans="3:12">
      <c r="J38" s="23" t="s">
        <v>160</v>
      </c>
      <c r="K38" s="23">
        <f>Dataset!B40</f>
        <v>30</v>
      </c>
      <c r="L38" s="23" t="s">
        <v>7</v>
      </c>
    </row>
    <row r="1048574" spans="3:3">
      <c r="C1048574" t="s">
        <v>6</v>
      </c>
    </row>
  </sheetData>
  <phoneticPr fontId="1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showGridLines="0" topLeftCell="A4" workbookViewId="0">
      <selection sqref="A1:A3"/>
    </sheetView>
  </sheetViews>
  <sheetFormatPr defaultColWidth="11.42578125" defaultRowHeight="15"/>
  <cols>
    <col min="1" max="1" width="2.28515625" customWidth="1"/>
    <col min="2" max="2" width="6.28515625" bestFit="1" customWidth="1"/>
    <col min="3" max="3" width="12.28515625" bestFit="1" customWidth="1"/>
    <col min="4" max="4" width="12.7109375" bestFit="1" customWidth="1"/>
    <col min="5" max="5" width="13" customWidth="1"/>
  </cols>
  <sheetData>
    <row r="1" spans="1:5">
      <c r="A1" s="3" t="s">
        <v>50</v>
      </c>
    </row>
    <row r="2" spans="1:5">
      <c r="A2" s="3" t="s">
        <v>128</v>
      </c>
    </row>
    <row r="3" spans="1:5">
      <c r="A3" s="3" t="s">
        <v>129</v>
      </c>
    </row>
    <row r="6" spans="1:5" ht="15.75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5.75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5521.6251358973304</v>
      </c>
      <c r="E9" s="11">
        <v>0</v>
      </c>
    </row>
    <row r="10" spans="1:5">
      <c r="B10" s="5" t="s">
        <v>37</v>
      </c>
      <c r="C10" s="5" t="s">
        <v>62</v>
      </c>
      <c r="D10" s="11">
        <v>3575.245978348938</v>
      </c>
      <c r="E10" s="11">
        <v>0</v>
      </c>
    </row>
    <row r="11" spans="1:5">
      <c r="B11" s="5" t="s">
        <v>38</v>
      </c>
      <c r="C11" s="5" t="s">
        <v>63</v>
      </c>
      <c r="D11" s="11">
        <v>9329.3110684282674</v>
      </c>
      <c r="E11" s="11">
        <v>0</v>
      </c>
    </row>
    <row r="12" spans="1:5">
      <c r="B12" s="5" t="s">
        <v>39</v>
      </c>
      <c r="C12" s="5" t="s">
        <v>64</v>
      </c>
      <c r="D12" s="11">
        <v>9152.2384526664027</v>
      </c>
      <c r="E12" s="11">
        <v>0</v>
      </c>
    </row>
    <row r="13" spans="1:5">
      <c r="B13" s="5" t="s">
        <v>40</v>
      </c>
      <c r="C13" s="5" t="s">
        <v>65</v>
      </c>
      <c r="D13" s="11">
        <v>3898.8941878595451</v>
      </c>
      <c r="E13" s="11">
        <v>0</v>
      </c>
    </row>
    <row r="14" spans="1:5">
      <c r="B14" s="5" t="s">
        <v>41</v>
      </c>
      <c r="C14" s="5" t="s">
        <v>66</v>
      </c>
      <c r="D14" s="11">
        <v>5777.2523420606649</v>
      </c>
      <c r="E14" s="11">
        <v>0</v>
      </c>
    </row>
    <row r="15" spans="1:5">
      <c r="B15" s="5" t="s">
        <v>42</v>
      </c>
      <c r="C15" s="5" t="s">
        <v>67</v>
      </c>
      <c r="D15" s="11">
        <v>67518.444921863935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77682.253472118202</v>
      </c>
    </row>
    <row r="17" spans="1:5">
      <c r="B17" s="5" t="s">
        <v>44</v>
      </c>
      <c r="C17" s="5" t="s">
        <v>69</v>
      </c>
      <c r="D17" s="11">
        <v>0</v>
      </c>
      <c r="E17" s="11">
        <v>743123648.84058273</v>
      </c>
    </row>
    <row r="18" spans="1:5" ht="15.75" thickBot="1">
      <c r="B18" s="4" t="s">
        <v>45</v>
      </c>
      <c r="C18" s="4" t="s">
        <v>70</v>
      </c>
      <c r="D18" s="12">
        <v>0</v>
      </c>
      <c r="E18" s="12">
        <v>743120670.20787776</v>
      </c>
    </row>
    <row r="20" spans="1:5" ht="15.75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5.75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1.4188117347657681E-10</v>
      </c>
      <c r="E23" s="7">
        <v>-1230189.25</v>
      </c>
    </row>
    <row r="24" spans="1:5">
      <c r="B24" s="5" t="s">
        <v>47</v>
      </c>
      <c r="C24" s="5" t="s">
        <v>14</v>
      </c>
      <c r="D24" s="7">
        <v>-1.2732925824820995E-10</v>
      </c>
      <c r="E24" s="7">
        <v>-1289975.125</v>
      </c>
    </row>
    <row r="25" spans="1:5">
      <c r="B25" s="5" t="s">
        <v>48</v>
      </c>
      <c r="C25" s="5" t="s">
        <v>15</v>
      </c>
      <c r="D25" s="7">
        <v>1.0186340659856796E-9</v>
      </c>
      <c r="E25" s="7">
        <v>-169662.93352524721</v>
      </c>
    </row>
    <row r="26" spans="1:5">
      <c r="B26" s="5" t="s">
        <v>49</v>
      </c>
      <c r="C26" s="5" t="s">
        <v>16</v>
      </c>
      <c r="D26" s="7">
        <v>-9.3132257461547852E-10</v>
      </c>
      <c r="E26" s="7">
        <v>-169662.2534721182</v>
      </c>
    </row>
    <row r="27" spans="1:5">
      <c r="B27" s="5" t="s">
        <v>130</v>
      </c>
      <c r="C27" s="5" t="s">
        <v>57</v>
      </c>
      <c r="D27" s="11">
        <v>6.0003550406705672</v>
      </c>
      <c r="E27" s="11">
        <v>0</v>
      </c>
    </row>
    <row r="28" spans="1:5" ht="15.75" thickBot="1">
      <c r="B28" s="4" t="s">
        <v>131</v>
      </c>
      <c r="C28" s="4" t="s">
        <v>58</v>
      </c>
      <c r="D28" s="12">
        <v>8.9996449593294532</v>
      </c>
      <c r="E28" s="1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"/>
  <sheetViews>
    <sheetView showGridLines="0" topLeftCell="A16" workbookViewId="0">
      <selection sqref="A1:A3"/>
    </sheetView>
  </sheetViews>
  <sheetFormatPr defaultColWidth="11.42578125" defaultRowHeight="15"/>
  <cols>
    <col min="1" max="1" width="2.28515625" customWidth="1"/>
    <col min="2" max="2" width="6.28515625" bestFit="1" customWidth="1"/>
    <col min="3" max="3" width="12.28515625" bestFit="1" customWidth="1"/>
    <col min="4" max="4" width="12" bestFit="1" customWidth="1"/>
    <col min="5" max="5" width="13" customWidth="1"/>
  </cols>
  <sheetData>
    <row r="1" spans="1:5">
      <c r="A1" s="3" t="s">
        <v>50</v>
      </c>
    </row>
    <row r="2" spans="1:5">
      <c r="A2" s="3" t="s">
        <v>132</v>
      </c>
    </row>
    <row r="3" spans="1:5">
      <c r="A3" s="3" t="s">
        <v>133</v>
      </c>
    </row>
    <row r="6" spans="1:5" ht="15.75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5.75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0</v>
      </c>
      <c r="E9" s="11">
        <v>60059.030514836311</v>
      </c>
    </row>
    <row r="10" spans="1:5">
      <c r="B10" s="5" t="s">
        <v>37</v>
      </c>
      <c r="C10" s="5" t="s">
        <v>62</v>
      </c>
      <c r="D10" s="11">
        <v>0</v>
      </c>
      <c r="E10" s="11">
        <v>147648.15567967948</v>
      </c>
    </row>
    <row r="11" spans="1:5">
      <c r="B11" s="5" t="s">
        <v>38</v>
      </c>
      <c r="C11" s="5" t="s">
        <v>63</v>
      </c>
      <c r="D11" s="11">
        <v>12372.157123210285</v>
      </c>
      <c r="E11" s="11">
        <v>0</v>
      </c>
    </row>
    <row r="12" spans="1:5">
      <c r="B12" s="5" t="s">
        <v>39</v>
      </c>
      <c r="C12" s="5" t="s">
        <v>64</v>
      </c>
      <c r="D12" s="11">
        <v>12372.15712306426</v>
      </c>
      <c r="E12" s="11">
        <v>0</v>
      </c>
    </row>
    <row r="13" spans="1:5">
      <c r="B13" s="5" t="s">
        <v>40</v>
      </c>
      <c r="C13" s="5" t="s">
        <v>65</v>
      </c>
      <c r="D13" s="11">
        <v>13459.030064847519</v>
      </c>
      <c r="E13" s="11">
        <v>0</v>
      </c>
    </row>
    <row r="14" spans="1:5">
      <c r="B14" s="5" t="s">
        <v>41</v>
      </c>
      <c r="C14" s="5" t="s">
        <v>66</v>
      </c>
      <c r="D14" s="11">
        <v>13459.030064770663</v>
      </c>
      <c r="E14" s="11">
        <v>0</v>
      </c>
    </row>
    <row r="15" spans="1:5">
      <c r="B15" s="5" t="s">
        <v>42</v>
      </c>
      <c r="C15" s="5" t="s">
        <v>67</v>
      </c>
      <c r="D15" s="11">
        <v>99960</v>
      </c>
      <c r="E15" s="11">
        <v>0</v>
      </c>
    </row>
    <row r="16" spans="1:5">
      <c r="B16" s="5" t="s">
        <v>43</v>
      </c>
      <c r="C16" s="5" t="s">
        <v>68</v>
      </c>
      <c r="D16" s="11">
        <v>135000</v>
      </c>
      <c r="E16" s="11">
        <v>-99425.9921875</v>
      </c>
    </row>
    <row r="17" spans="1:5">
      <c r="B17" s="5" t="s">
        <v>44</v>
      </c>
      <c r="C17" s="5" t="s">
        <v>69</v>
      </c>
      <c r="D17" s="11">
        <v>6.5936073059360716</v>
      </c>
      <c r="E17" s="11">
        <v>0</v>
      </c>
    </row>
    <row r="18" spans="1:5" ht="15.75" thickBot="1">
      <c r="B18" s="4" t="s">
        <v>45</v>
      </c>
      <c r="C18" s="4" t="s">
        <v>70</v>
      </c>
      <c r="D18" s="12">
        <v>0</v>
      </c>
      <c r="E18" s="12">
        <v>0</v>
      </c>
    </row>
    <row r="20" spans="1:5" ht="15.75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5.75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8.1583493738435209E-8</v>
      </c>
      <c r="E23" s="7">
        <v>-202848.359375</v>
      </c>
    </row>
    <row r="24" spans="1:5">
      <c r="B24" s="5" t="s">
        <v>47</v>
      </c>
      <c r="C24" s="5" t="s">
        <v>14</v>
      </c>
      <c r="D24" s="7">
        <v>0</v>
      </c>
      <c r="E24" s="7">
        <v>-202848.359375</v>
      </c>
    </row>
    <row r="25" spans="1:5">
      <c r="B25" s="5" t="s">
        <v>48</v>
      </c>
      <c r="C25" s="5" t="s">
        <v>15</v>
      </c>
      <c r="D25" s="7">
        <v>5.9556623455137014E-7</v>
      </c>
      <c r="E25" s="7">
        <v>0</v>
      </c>
    </row>
    <row r="26" spans="1:5">
      <c r="B26" s="5" t="s">
        <v>49</v>
      </c>
      <c r="C26" s="5" t="s">
        <v>16</v>
      </c>
      <c r="D26" s="7">
        <v>0</v>
      </c>
      <c r="E26" s="7">
        <v>0</v>
      </c>
    </row>
    <row r="27" spans="1:5">
      <c r="B27" s="5" t="s">
        <v>130</v>
      </c>
      <c r="C27" s="5" t="s">
        <v>57</v>
      </c>
      <c r="D27" s="11">
        <v>22.000000000135969</v>
      </c>
      <c r="E27" s="11">
        <v>-96138642.842070296</v>
      </c>
    </row>
    <row r="28" spans="1:5" ht="15.75" thickBot="1">
      <c r="B28" s="4" t="s">
        <v>131</v>
      </c>
      <c r="C28" s="4" t="s">
        <v>58</v>
      </c>
      <c r="D28" s="12">
        <v>22</v>
      </c>
      <c r="E28" s="12">
        <v>-96138642.842070282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showGridLines="0" workbookViewId="0">
      <selection sqref="A1:A3"/>
    </sheetView>
  </sheetViews>
  <sheetFormatPr defaultColWidth="11.42578125" defaultRowHeight="15"/>
  <cols>
    <col min="1" max="1" width="2.28515625" customWidth="1"/>
    <col min="2" max="2" width="6.28515625" bestFit="1" customWidth="1"/>
    <col min="3" max="3" width="12.28515625" bestFit="1" customWidth="1"/>
    <col min="4" max="4" width="12.7109375" bestFit="1" customWidth="1"/>
    <col min="5" max="5" width="13" customWidth="1"/>
  </cols>
  <sheetData>
    <row r="1" spans="1:5">
      <c r="A1" s="3" t="s">
        <v>50</v>
      </c>
    </row>
    <row r="2" spans="1:5">
      <c r="A2" s="3" t="s">
        <v>126</v>
      </c>
    </row>
    <row r="3" spans="1:5">
      <c r="A3" s="3" t="s">
        <v>127</v>
      </c>
    </row>
    <row r="6" spans="1:5" ht="15.75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5.75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2949.7585475815863</v>
      </c>
      <c r="E9" s="11">
        <v>0</v>
      </c>
    </row>
    <row r="10" spans="1:5">
      <c r="B10" s="5" t="s">
        <v>37</v>
      </c>
      <c r="C10" s="5" t="s">
        <v>62</v>
      </c>
      <c r="D10" s="11">
        <v>1731.4714861739762</v>
      </c>
      <c r="E10" s="11">
        <v>0</v>
      </c>
    </row>
    <row r="11" spans="1:5">
      <c r="B11" s="5" t="s">
        <v>38</v>
      </c>
      <c r="C11" s="5" t="s">
        <v>63</v>
      </c>
      <c r="D11" s="11">
        <v>10664.132691328598</v>
      </c>
      <c r="E11" s="11">
        <v>0</v>
      </c>
    </row>
    <row r="12" spans="1:5">
      <c r="B12" s="5" t="s">
        <v>39</v>
      </c>
      <c r="C12" s="5" t="s">
        <v>64</v>
      </c>
      <c r="D12" s="11">
        <v>10587.745066126308</v>
      </c>
      <c r="E12" s="11">
        <v>0</v>
      </c>
    </row>
    <row r="13" spans="1:5">
      <c r="B13" s="5" t="s">
        <v>40</v>
      </c>
      <c r="C13" s="5" t="s">
        <v>65</v>
      </c>
      <c r="D13" s="11">
        <v>8108.8996665622135</v>
      </c>
      <c r="E13" s="11">
        <v>0</v>
      </c>
    </row>
    <row r="14" spans="1:5">
      <c r="B14" s="5" t="s">
        <v>41</v>
      </c>
      <c r="C14" s="5" t="s">
        <v>66</v>
      </c>
      <c r="D14" s="11">
        <v>9384.7103050056048</v>
      </c>
      <c r="E14" s="11">
        <v>0</v>
      </c>
    </row>
    <row r="15" spans="1:5">
      <c r="B15" s="5" t="s">
        <v>42</v>
      </c>
      <c r="C15" s="5" t="s">
        <v>67</v>
      </c>
      <c r="D15" s="11">
        <v>125244.49287413528</v>
      </c>
      <c r="E15" s="11">
        <v>0</v>
      </c>
    </row>
    <row r="16" spans="1:5">
      <c r="B16" s="5" t="s">
        <v>43</v>
      </c>
      <c r="C16" s="5" t="s">
        <v>68</v>
      </c>
      <c r="D16" s="11">
        <v>103529.35807735957</v>
      </c>
      <c r="E16" s="11">
        <v>0</v>
      </c>
    </row>
    <row r="17" spans="1:5">
      <c r="B17" s="5" t="s">
        <v>44</v>
      </c>
      <c r="C17" s="5" t="s">
        <v>69</v>
      </c>
      <c r="D17" s="11">
        <v>0</v>
      </c>
      <c r="E17" s="11">
        <v>423382854.42891848</v>
      </c>
    </row>
    <row r="18" spans="1:5" ht="15.75" thickBot="1">
      <c r="B18" s="4" t="s">
        <v>45</v>
      </c>
      <c r="C18" s="4" t="s">
        <v>70</v>
      </c>
      <c r="D18" s="12">
        <v>0</v>
      </c>
      <c r="E18" s="12">
        <v>423492611.4685303</v>
      </c>
    </row>
    <row r="20" spans="1:5" ht="15.75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5.75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-9.6588337328284979E-10</v>
      </c>
      <c r="E23" s="7">
        <v>-779597.9375</v>
      </c>
    </row>
    <row r="24" spans="1:5">
      <c r="B24" s="5" t="s">
        <v>47</v>
      </c>
      <c r="C24" s="5" t="s">
        <v>14</v>
      </c>
      <c r="D24" s="7">
        <v>0</v>
      </c>
      <c r="E24" s="7">
        <v>-805430.9375</v>
      </c>
    </row>
    <row r="25" spans="1:5">
      <c r="B25" s="5" t="s">
        <v>48</v>
      </c>
      <c r="C25" s="5" t="s">
        <v>15</v>
      </c>
      <c r="D25" s="7">
        <v>-7.0576788857579231E-9</v>
      </c>
      <c r="E25" s="7">
        <v>-96662.752152721121</v>
      </c>
    </row>
    <row r="26" spans="1:5" ht="15.75" thickBot="1">
      <c r="B26" s="4" t="s">
        <v>49</v>
      </c>
      <c r="C26" s="4" t="s">
        <v>16</v>
      </c>
      <c r="D26" s="6">
        <v>0</v>
      </c>
      <c r="E26" s="6">
        <v>-96687.810837564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showGridLines="0" workbookViewId="0">
      <selection sqref="A1:A3"/>
    </sheetView>
  </sheetViews>
  <sheetFormatPr defaultColWidth="11.42578125" defaultRowHeight="15"/>
  <cols>
    <col min="1" max="1" width="2.28515625" customWidth="1"/>
    <col min="2" max="2" width="6.28515625" bestFit="1" customWidth="1"/>
    <col min="3" max="3" width="12.28515625" bestFit="1" customWidth="1"/>
    <col min="4" max="4" width="12.7109375" bestFit="1" customWidth="1"/>
    <col min="5" max="5" width="13" customWidth="1"/>
  </cols>
  <sheetData>
    <row r="1" spans="1:5">
      <c r="A1" s="3" t="s">
        <v>50</v>
      </c>
    </row>
    <row r="2" spans="1:5">
      <c r="A2" s="3" t="s">
        <v>83</v>
      </c>
    </row>
    <row r="3" spans="1:5">
      <c r="A3" s="3" t="s">
        <v>125</v>
      </c>
    </row>
    <row r="6" spans="1:5" ht="15.75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5.75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688.81848915628143</v>
      </c>
      <c r="E9" s="11">
        <v>0</v>
      </c>
    </row>
    <row r="10" spans="1:5">
      <c r="B10" s="5" t="s">
        <v>37</v>
      </c>
      <c r="C10" s="5" t="s">
        <v>62</v>
      </c>
      <c r="D10" s="11">
        <v>148.88679384807438</v>
      </c>
      <c r="E10" s="11">
        <v>0</v>
      </c>
    </row>
    <row r="11" spans="1:5">
      <c r="B11" s="5" t="s">
        <v>38</v>
      </c>
      <c r="C11" s="5" t="s">
        <v>63</v>
      </c>
      <c r="D11" s="11">
        <v>11837.151624334347</v>
      </c>
      <c r="E11" s="11">
        <v>0</v>
      </c>
    </row>
    <row r="12" spans="1:5">
      <c r="B12" s="5" t="s">
        <v>39</v>
      </c>
      <c r="C12" s="5" t="s">
        <v>64</v>
      </c>
      <c r="D12" s="11">
        <v>11819.246996660013</v>
      </c>
      <c r="E12" s="11">
        <v>0</v>
      </c>
    </row>
    <row r="13" spans="1:5">
      <c r="B13" s="5" t="s">
        <v>40</v>
      </c>
      <c r="C13" s="5" t="s">
        <v>65</v>
      </c>
      <c r="D13" s="11">
        <v>12014.409323546002</v>
      </c>
      <c r="E13" s="11">
        <v>0</v>
      </c>
    </row>
    <row r="14" spans="1:5">
      <c r="B14" s="5" t="s">
        <v>41</v>
      </c>
      <c r="C14" s="5" t="s">
        <v>66</v>
      </c>
      <c r="D14" s="11">
        <v>12627.008222764565</v>
      </c>
      <c r="E14" s="11">
        <v>0</v>
      </c>
    </row>
    <row r="15" spans="1:5">
      <c r="B15" s="5" t="s">
        <v>42</v>
      </c>
      <c r="C15" s="5" t="s">
        <v>67</v>
      </c>
      <c r="D15" s="11">
        <v>96142.974569217127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43056.177284502162</v>
      </c>
    </row>
    <row r="17" spans="1:5">
      <c r="B17" s="5" t="s">
        <v>44</v>
      </c>
      <c r="C17" s="5" t="s">
        <v>69</v>
      </c>
      <c r="D17" s="11">
        <v>0</v>
      </c>
      <c r="E17" s="11">
        <v>188585684.5241887</v>
      </c>
    </row>
    <row r="18" spans="1:5" ht="15.75" thickBot="1">
      <c r="B18" s="4" t="s">
        <v>45</v>
      </c>
      <c r="C18" s="4" t="s">
        <v>70</v>
      </c>
      <c r="D18" s="12">
        <v>0</v>
      </c>
      <c r="E18" s="12">
        <v>188586056.50611946</v>
      </c>
    </row>
    <row r="20" spans="1:5" ht="15.75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5.75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-5.6825228966772556E-9</v>
      </c>
      <c r="E23" s="7">
        <v>-383481.0625</v>
      </c>
    </row>
    <row r="24" spans="1:5">
      <c r="B24" s="5" t="s">
        <v>47</v>
      </c>
      <c r="C24" s="5" t="s">
        <v>14</v>
      </c>
      <c r="D24" s="7">
        <v>-6.0426827985793352E-9</v>
      </c>
      <c r="E24" s="7">
        <v>-389527.5</v>
      </c>
    </row>
    <row r="25" spans="1:5">
      <c r="B25" s="5" t="s">
        <v>48</v>
      </c>
      <c r="C25" s="5" t="s">
        <v>15</v>
      </c>
      <c r="D25" s="7">
        <v>-4.1174644138664007E-8</v>
      </c>
      <c r="E25" s="7">
        <v>-43056.092357120709</v>
      </c>
    </row>
    <row r="26" spans="1:5" ht="15.75" thickBot="1">
      <c r="B26" s="4" t="s">
        <v>49</v>
      </c>
      <c r="C26" s="4" t="s">
        <v>16</v>
      </c>
      <c r="D26" s="6">
        <v>-4.3866748455911875E-8</v>
      </c>
      <c r="E26" s="6">
        <v>-43056.177284502162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</vt:lpstr>
      <vt:lpstr>HTC CP1</vt:lpstr>
      <vt:lpstr>HTC CP2</vt:lpstr>
      <vt:lpstr>HTC CP3</vt:lpstr>
      <vt:lpstr>HTC CP4</vt:lpstr>
      <vt:lpstr>4</vt:lpstr>
      <vt:lpstr>3</vt:lpstr>
      <vt:lpstr>2</vt:lpstr>
      <vt:lpstr>1</vt:lpstr>
      <vt:lpstr>ResumenGlobal</vt:lpstr>
      <vt:lpstr>R4</vt:lpstr>
      <vt:lpstr>R3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VaioPC</dc:creator>
  <cp:lastModifiedBy>Paulo Manuel De oliveira de jesus</cp:lastModifiedBy>
  <dcterms:created xsi:type="dcterms:W3CDTF">2017-08-09T14:49:00Z</dcterms:created>
  <dcterms:modified xsi:type="dcterms:W3CDTF">2021-05-11T09:42:23Z</dcterms:modified>
</cp:coreProperties>
</file>