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.sharepoint.com/sites/MOOCPOWERSYSTEM/Documentos compartidos/GitHub/Modulo 3d/"/>
    </mc:Choice>
  </mc:AlternateContent>
  <xr:revisionPtr revIDLastSave="36291" documentId="14_{2BB196F9-F191-4125-91B0-A7D93112A89D}" xr6:coauthVersionLast="47" xr6:coauthVersionMax="47" xr10:uidLastSave="{4FE5AF62-C88B-42E2-B736-41E7184C3013}"/>
  <bookViews>
    <workbookView xWindow="-120" yWindow="-120" windowWidth="20730" windowHeight="11160" xr2:uid="{00000000-000D-0000-FFFF-FFFF00000000}"/>
  </bookViews>
  <sheets>
    <sheet name="Con Límites de Transporte" sheetId="33" r:id="rId1"/>
    <sheet name="Sin Límites de Transporte" sheetId="24" r:id="rId2"/>
  </sheets>
  <definedNames>
    <definedName name="_B11" localSheetId="0">'Con Límites de Transporte'!$F$4</definedName>
    <definedName name="_B11" localSheetId="1">'Sin Límites de Transporte'!$F$4</definedName>
    <definedName name="_B11">#REF!</definedName>
    <definedName name="_B12" localSheetId="0">'Con Límites de Transporte'!$G$4</definedName>
    <definedName name="_B12" localSheetId="1">'Sin Límites de Transporte'!$G$4</definedName>
    <definedName name="_B12">#REF!</definedName>
    <definedName name="_B13" localSheetId="0">'Con Límites de Transporte'!$H$4</definedName>
    <definedName name="_B13" localSheetId="1">'Sin Límites de Transporte'!$H$4</definedName>
    <definedName name="_B13">#REF!</definedName>
    <definedName name="_B21" localSheetId="0">'Con Límites de Transporte'!$F$5</definedName>
    <definedName name="_B21" localSheetId="1">'Sin Límites de Transporte'!$F$5</definedName>
    <definedName name="_B21">#REF!</definedName>
    <definedName name="_B22" localSheetId="0">'Con Límites de Transporte'!$G$5</definedName>
    <definedName name="_B22" localSheetId="1">'Sin Límites de Transporte'!$G$5</definedName>
    <definedName name="_B22">#REF!</definedName>
    <definedName name="_B23" localSheetId="0">'Con Límites de Transporte'!$H$5</definedName>
    <definedName name="_B23" localSheetId="1">'Sin Límites de Transporte'!$H$5</definedName>
    <definedName name="_B23">#REF!</definedName>
    <definedName name="_B31" localSheetId="0">'Con Límites de Transporte'!$F$6</definedName>
    <definedName name="_B31" localSheetId="1">'Sin Límites de Transporte'!$F$6</definedName>
    <definedName name="_B31">#REF!</definedName>
    <definedName name="_B32" localSheetId="0">'Con Límites de Transporte'!$G$6</definedName>
    <definedName name="_B32" localSheetId="1">'Sin Límites de Transporte'!$G$6</definedName>
    <definedName name="_B32">#REF!</definedName>
    <definedName name="_B33" localSheetId="0">'Con Límites de Transporte'!$H$6</definedName>
    <definedName name="_B33" localSheetId="1">'Sin Límites de Transporte'!$H$6</definedName>
    <definedName name="_B33">#REF!</definedName>
    <definedName name="_G11" localSheetId="0">'Con Límites de Transporte'!$B$4</definedName>
    <definedName name="_G11" localSheetId="1">'Sin Límites de Transporte'!$B$4</definedName>
    <definedName name="_G11">#REF!</definedName>
    <definedName name="_G12" localSheetId="0">'Con Límites de Transporte'!$C$4</definedName>
    <definedName name="_G12" localSheetId="1">'Sin Límites de Transporte'!$C$4</definedName>
    <definedName name="_G12">#REF!</definedName>
    <definedName name="_G13" localSheetId="0">'Con Límites de Transporte'!$D$4</definedName>
    <definedName name="_G13" localSheetId="1">'Sin Límites de Transporte'!$D$4</definedName>
    <definedName name="_G13">#REF!</definedName>
    <definedName name="_G21" localSheetId="0">'Con Límites de Transporte'!$B$5</definedName>
    <definedName name="_G21" localSheetId="1">'Sin Límites de Transporte'!$B$5</definedName>
    <definedName name="_G21">#REF!</definedName>
    <definedName name="_G22" localSheetId="0">'Con Límites de Transporte'!$C$5</definedName>
    <definedName name="_G22" localSheetId="1">'Sin Límites de Transporte'!$C$5</definedName>
    <definedName name="_G22">#REF!</definedName>
    <definedName name="_G23" localSheetId="0">'Con Límites de Transporte'!$D$5</definedName>
    <definedName name="_G23" localSheetId="1">'Sin Límites de Transporte'!$D$5</definedName>
    <definedName name="_G23">#REF!</definedName>
    <definedName name="_G31" localSheetId="0">'Con Límites de Transporte'!$B$6</definedName>
    <definedName name="_G31" localSheetId="1">'Sin Límites de Transporte'!$B$6</definedName>
    <definedName name="_G31">#REF!</definedName>
    <definedName name="_G32" localSheetId="0">'Con Límites de Transporte'!$C$6</definedName>
    <definedName name="_G32" localSheetId="1">'Sin Límites de Transporte'!$C$6</definedName>
    <definedName name="_G32">#REF!</definedName>
    <definedName name="_G33" localSheetId="0">'Con Límites de Transporte'!$D$6</definedName>
    <definedName name="_G33" localSheetId="1">'Sin Límites de Transporte'!$D$6</definedName>
    <definedName name="_G33">#REF!</definedName>
    <definedName name="_PD1" localSheetId="0">'Con Límites de Transporte'!$H$9</definedName>
    <definedName name="_PD1" localSheetId="1">'Sin Límites de Transporte'!$H$9</definedName>
    <definedName name="_PD1">#REF!</definedName>
    <definedName name="_PD2" localSheetId="0">'Con Límites de Transporte'!$H$10</definedName>
    <definedName name="_PD2" localSheetId="1">'Sin Límites de Transporte'!$H$10</definedName>
    <definedName name="_PD2">#REF!</definedName>
    <definedName name="_PD3" localSheetId="0">'Con Límites de Transporte'!$H$11</definedName>
    <definedName name="_PD3" localSheetId="1">'Sin Límites de Transporte'!$H$11</definedName>
    <definedName name="_PD3">#REF!</definedName>
    <definedName name="_PG1" localSheetId="0">'Con Límites de Transporte'!$F$9</definedName>
    <definedName name="_PG1" localSheetId="1">'Sin Límites de Transporte'!$F$9</definedName>
    <definedName name="_PG1">#REF!</definedName>
    <definedName name="_PG2" localSheetId="0">'Con Límites de Transporte'!$F$10</definedName>
    <definedName name="_PG2" localSheetId="1">'Sin Límites de Transporte'!$F$10</definedName>
    <definedName name="_PG2">#REF!</definedName>
    <definedName name="_PG3" localSheetId="0">'Con Límites de Transporte'!$F$11</definedName>
    <definedName name="_PG3" localSheetId="1">'Sin Límites de Transporte'!$F$11</definedName>
    <definedName name="_PG3">#REF!</definedName>
    <definedName name="_QD1" localSheetId="0">'Con Límites de Transporte'!$H$12</definedName>
    <definedName name="_QD1" localSheetId="1">'Sin Límites de Transporte'!$H$12</definedName>
    <definedName name="_QD1">#REF!</definedName>
    <definedName name="_QD2" localSheetId="0">'Con Límites de Transporte'!$H$13</definedName>
    <definedName name="_QD2" localSheetId="1">'Sin Límites de Transporte'!$H$13</definedName>
    <definedName name="_QD2">#REF!</definedName>
    <definedName name="_QD3" localSheetId="0">'Con Límites de Transporte'!$H$14</definedName>
    <definedName name="_QD3" localSheetId="1">'Sin Límites de Transporte'!$H$14</definedName>
    <definedName name="_QD3">#REF!</definedName>
    <definedName name="_QG1" localSheetId="0">'Con Límites de Transporte'!$F$12</definedName>
    <definedName name="_QG1" localSheetId="1">'Sin Límites de Transporte'!$F$12</definedName>
    <definedName name="_QG1">#REF!</definedName>
    <definedName name="_QG2" localSheetId="0">'Con Límites de Transporte'!$F$13</definedName>
    <definedName name="_QG2" localSheetId="1">'Sin Límites de Transporte'!$F$13</definedName>
    <definedName name="_QG2">#REF!</definedName>
    <definedName name="_QG3" localSheetId="0">'Con Límites de Transporte'!$F$14</definedName>
    <definedName name="_QG3" localSheetId="1">'Sin Límites de Transporte'!$F$14</definedName>
    <definedName name="_QG3">#REF!</definedName>
    <definedName name="_T1" localSheetId="0">'Con Límites de Transporte'!$B$12</definedName>
    <definedName name="_T1" localSheetId="1">'Sin Límites de Transporte'!$B$12</definedName>
    <definedName name="_T1">#REF!</definedName>
    <definedName name="_T2" localSheetId="0">'Con Límites de Transporte'!$B$13</definedName>
    <definedName name="_T2" localSheetId="1">'Sin Límites de Transporte'!$B$13</definedName>
    <definedName name="_T2">#REF!</definedName>
    <definedName name="_T3" localSheetId="0">'Con Límites de Transporte'!$B$14</definedName>
    <definedName name="_T3" localSheetId="1">'Sin Límites de Transporte'!$B$14</definedName>
    <definedName name="_T3">#REF!</definedName>
    <definedName name="_V1" localSheetId="0">'Con Límites de Transporte'!$B$9</definedName>
    <definedName name="_V1" localSheetId="1">'Sin Límites de Transporte'!$B$9</definedName>
    <definedName name="_V1">#REF!</definedName>
    <definedName name="_V2" localSheetId="0">'Con Límites de Transporte'!$B$10</definedName>
    <definedName name="_V2" localSheetId="1">'Sin Límites de Transporte'!$B$10</definedName>
    <definedName name="_V2">#REF!</definedName>
    <definedName name="_V3" localSheetId="0">'Con Límites de Transporte'!$B$11</definedName>
    <definedName name="_V3" localSheetId="1">'Sin Límites de Transporte'!$B$11</definedName>
    <definedName name="_V3">#REF!</definedName>
    <definedName name="solver_adj" localSheetId="0" hidden="1">'Con Límites de Transporte'!$B$10:$B$11,'Con Límites de Transporte'!$B$13:$B$14,'Con Límites de Transporte'!$F$13:$F$14,'Con Límites de Transporte'!$H$10:$H$11</definedName>
    <definedName name="solver_adj" localSheetId="1" hidden="1">'Sin Límites de Transporte'!$B$10:$B$11,'Sin Límites de Transporte'!$B$13:$B$14,'Sin Límites de Transporte'!$F$13:$F$14,'Sin Límites de Transporte'!$H$10:$H$11</definedName>
    <definedName name="solver_cvg" localSheetId="0" hidden="1">0.0000000001</definedName>
    <definedName name="solver_cvg" localSheetId="1" hidden="1">0.0000000001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2</definedName>
    <definedName name="solver_est" localSheetId="1" hidden="1">2</definedName>
    <definedName name="solver_itr" localSheetId="0" hidden="1">100</definedName>
    <definedName name="solver_itr" localSheetId="1" hidden="1">100</definedName>
    <definedName name="solver_lhs0" localSheetId="0" hidden="1">'Con Límites de Transporte'!$D$10:$D$11</definedName>
    <definedName name="solver_lhs0" localSheetId="1" hidden="1">'Sin Límites de Transporte'!$D$10:$D$11</definedName>
    <definedName name="solver_lhs1" localSheetId="0" hidden="1">'Con Límites de Transporte'!$B$9:$B$11</definedName>
    <definedName name="solver_lhs1" localSheetId="1" hidden="1">'Sin Límites de Transporte'!$B$9:$B$11</definedName>
    <definedName name="solver_lhs2" localSheetId="0" hidden="1">'Con Límites de Transporte'!$B$9:$B$11</definedName>
    <definedName name="solver_lhs2" localSheetId="1" hidden="1">'Sin Límites de Transporte'!$B$9:$B$11</definedName>
    <definedName name="solver_lhs3" localSheetId="0" hidden="1">'Con Límites de Transporte'!$D$10:$D$11</definedName>
    <definedName name="solver_lhs3" localSheetId="1" hidden="1">'Sin Límites de Transporte'!$D$10:$D$11</definedName>
    <definedName name="solver_lhs4" localSheetId="0" hidden="1">'Con Límites de Transporte'!$D$13:$D$14</definedName>
    <definedName name="solver_lhs4" localSheetId="1" hidden="1">'Sin Límites de Transporte'!$D$13:$D$14</definedName>
    <definedName name="solver_lhs5" localSheetId="0" hidden="1">'Con Límites de Transporte'!$H$24:$H$26</definedName>
    <definedName name="solver_lhs5" localSheetId="1" hidden="1">'Sin Límites de Transporte'!$F$9</definedName>
    <definedName name="solver_lhs6" localSheetId="0" hidden="1">'Con Límites de Transporte'!$F$9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5</definedName>
    <definedName name="solver_nwt" localSheetId="0" hidden="1">2</definedName>
    <definedName name="solver_nwt" localSheetId="1" hidden="1">2</definedName>
    <definedName name="solver_opt" localSheetId="0" hidden="1">'Con Límites de Transporte'!$E$21</definedName>
    <definedName name="solver_opt" localSheetId="1" hidden="1">'Sin Límites de Transporte'!$E$21</definedName>
    <definedName name="solver_pre" localSheetId="0" hidden="1">0.0000000001</definedName>
    <definedName name="solver_pre" localSheetId="1" hidden="1">0.0000000001</definedName>
    <definedName name="solver_rbv" localSheetId="0" hidden="1">1</definedName>
    <definedName name="solver_rbv" localSheetId="1" hidden="1">1</definedName>
    <definedName name="solver_rel0" localSheetId="0" hidden="1">2</definedName>
    <definedName name="solver_rel0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 hidden="1">1</definedName>
    <definedName name="solver_rel5" localSheetId="1" hidden="1">3</definedName>
    <definedName name="solver_rel6" localSheetId="0" hidden="1">3</definedName>
    <definedName name="solver_rhs0" localSheetId="0" hidden="1">'Con Límites de Transporte'!#REF!</definedName>
    <definedName name="solver_rhs0" localSheetId="1" hidden="1">'Sin Límites de Transporte'!#REF!</definedName>
    <definedName name="solver_rhs1" localSheetId="0" hidden="1">1.1</definedName>
    <definedName name="solver_rhs1" localSheetId="1" hidden="1">1.1</definedName>
    <definedName name="solver_rhs2" localSheetId="0" hidden="1">0.9</definedName>
    <definedName name="solver_rhs2" localSheetId="1" hidden="1">0.9</definedName>
    <definedName name="solver_rhs3" localSheetId="0" hidden="1">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 hidden="1">'Con Límites de Transporte'!$J$24:$J$26</definedName>
    <definedName name="solver_rhs5" localSheetId="1" hidden="1">0</definedName>
    <definedName name="solver_rhs6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24" l="1"/>
  <c r="H1" i="33"/>
  <c r="J1" i="33"/>
  <c r="C4" i="33"/>
  <c r="G4" i="33"/>
  <c r="D24" i="33"/>
  <c r="B5" i="33"/>
  <c r="F5" i="33"/>
  <c r="E24" i="33"/>
  <c r="L24" i="33"/>
  <c r="H2" i="33"/>
  <c r="J2" i="33"/>
  <c r="D4" i="33"/>
  <c r="H4" i="33"/>
  <c r="D25" i="33"/>
  <c r="B6" i="33"/>
  <c r="F6" i="33"/>
  <c r="E25" i="33"/>
  <c r="L25" i="33"/>
  <c r="H3" i="33"/>
  <c r="J3" i="33"/>
  <c r="D5" i="33"/>
  <c r="H5" i="33"/>
  <c r="D26" i="33"/>
  <c r="C6" i="33"/>
  <c r="G6" i="33"/>
  <c r="E26" i="33"/>
  <c r="L26" i="33"/>
  <c r="L27" i="33"/>
  <c r="B24" i="33"/>
  <c r="C24" i="33"/>
  <c r="K24" i="33"/>
  <c r="B25" i="33"/>
  <c r="C25" i="33"/>
  <c r="K25" i="33"/>
  <c r="B26" i="33"/>
  <c r="C26" i="33"/>
  <c r="K26" i="33"/>
  <c r="K27" i="33"/>
  <c r="F26" i="33"/>
  <c r="G26" i="33"/>
  <c r="H26" i="33"/>
  <c r="F25" i="33"/>
  <c r="G25" i="33"/>
  <c r="H25" i="33"/>
  <c r="F24" i="33"/>
  <c r="G24" i="33"/>
  <c r="H24" i="33"/>
  <c r="N14" i="33"/>
  <c r="L14" i="33"/>
  <c r="P16" i="33"/>
  <c r="N15" i="33"/>
  <c r="L15" i="33"/>
  <c r="P17" i="33"/>
  <c r="P18" i="33"/>
  <c r="B4" i="33"/>
  <c r="F9" i="33"/>
  <c r="E18" i="33"/>
  <c r="E21" i="33"/>
  <c r="M17" i="33"/>
  <c r="M20" i="33"/>
  <c r="M16" i="33"/>
  <c r="M19" i="33"/>
  <c r="F4" i="33"/>
  <c r="F12" i="33"/>
  <c r="H13" i="33"/>
  <c r="H14" i="33"/>
  <c r="H18" i="33"/>
  <c r="G18" i="33"/>
  <c r="H6" i="33"/>
  <c r="D14" i="33"/>
  <c r="G5" i="33"/>
  <c r="D13" i="33"/>
  <c r="O12" i="33"/>
  <c r="N12" i="33"/>
  <c r="D12" i="33"/>
  <c r="D6" i="33"/>
  <c r="D11" i="33"/>
  <c r="R10" i="33"/>
  <c r="Q10" i="33"/>
  <c r="C5" i="33"/>
  <c r="D10" i="33"/>
  <c r="M9" i="33"/>
  <c r="D9" i="33"/>
  <c r="O8" i="33"/>
  <c r="Q5" i="33"/>
  <c r="P5" i="33"/>
  <c r="K5" i="33"/>
  <c r="M4" i="33"/>
  <c r="K4" i="33"/>
  <c r="O1" i="33"/>
  <c r="N1" i="33"/>
  <c r="M17" i="24"/>
  <c r="M20" i="24"/>
  <c r="M16" i="24"/>
  <c r="M19" i="24"/>
  <c r="B25" i="24"/>
  <c r="C25" i="24"/>
  <c r="F25" i="24"/>
  <c r="D25" i="24"/>
  <c r="F6" i="24"/>
  <c r="E25" i="24"/>
  <c r="G25" i="24"/>
  <c r="H25" i="24"/>
  <c r="M9" i="24"/>
  <c r="R10" i="24"/>
  <c r="L15" i="24"/>
  <c r="N15" i="24"/>
  <c r="P17" i="24"/>
  <c r="F9" i="24"/>
  <c r="E18" i="24"/>
  <c r="Q10" i="24"/>
  <c r="H14" i="24"/>
  <c r="H13" i="24"/>
  <c r="H1" i="24"/>
  <c r="J1" i="24"/>
  <c r="H2" i="24"/>
  <c r="J2" i="24"/>
  <c r="B4" i="24"/>
  <c r="C4" i="24"/>
  <c r="G4" i="24"/>
  <c r="D4" i="24"/>
  <c r="H4" i="24"/>
  <c r="F4" i="24"/>
  <c r="F12" i="24"/>
  <c r="H18" i="24"/>
  <c r="G18" i="24"/>
  <c r="D24" i="24"/>
  <c r="B5" i="24"/>
  <c r="F5" i="24"/>
  <c r="E24" i="24"/>
  <c r="L24" i="24"/>
  <c r="B6" i="24"/>
  <c r="L25" i="24"/>
  <c r="H3" i="24"/>
  <c r="J3" i="24"/>
  <c r="D5" i="24"/>
  <c r="H5" i="24"/>
  <c r="D26" i="24"/>
  <c r="C6" i="24"/>
  <c r="G6" i="24"/>
  <c r="E26" i="24"/>
  <c r="L26" i="24"/>
  <c r="L27" i="24"/>
  <c r="B24" i="24"/>
  <c r="C24" i="24"/>
  <c r="K24" i="24"/>
  <c r="K25" i="24"/>
  <c r="B26" i="24"/>
  <c r="C26" i="24"/>
  <c r="K26" i="24"/>
  <c r="K27" i="24"/>
  <c r="F26" i="24"/>
  <c r="G26" i="24"/>
  <c r="H26" i="24"/>
  <c r="F24" i="24"/>
  <c r="G24" i="24"/>
  <c r="H24" i="24"/>
  <c r="H6" i="24"/>
  <c r="D14" i="24"/>
  <c r="G5" i="24"/>
  <c r="D13" i="24"/>
  <c r="O12" i="24"/>
  <c r="N12" i="24"/>
  <c r="D12" i="24"/>
  <c r="D6" i="24"/>
  <c r="D11" i="24"/>
  <c r="C5" i="24"/>
  <c r="D10" i="24"/>
  <c r="D9" i="24"/>
  <c r="O8" i="24"/>
  <c r="Q5" i="24"/>
  <c r="P5" i="24"/>
  <c r="K5" i="24"/>
  <c r="M4" i="24"/>
  <c r="K4" i="24"/>
  <c r="O1" i="24"/>
  <c r="N1" i="24"/>
  <c r="N14" i="24"/>
  <c r="P16" i="24"/>
  <c r="P18" i="24"/>
  <c r="E21" i="24"/>
</calcChain>
</file>

<file path=xl/sharedStrings.xml><?xml version="1.0" encoding="utf-8"?>
<sst xmlns="http://schemas.openxmlformats.org/spreadsheetml/2006/main" count="196" uniqueCount="87">
  <si>
    <t>Sbase</t>
  </si>
  <si>
    <t>Vbase</t>
  </si>
  <si>
    <t>kV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</si>
  <si>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</si>
  <si>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</si>
  <si>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</si>
  <si>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</si>
  <si>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</si>
  <si>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</si>
  <si>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</si>
  <si>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</si>
  <si>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</si>
  <si>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MD2</t>
  </si>
  <si>
    <t>MD3</t>
  </si>
  <si>
    <t>U2</t>
  </si>
  <si>
    <t>U3</t>
  </si>
  <si>
    <t>UTOT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</si>
  <si>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</si>
  <si>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</si>
  <si>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</si>
  <si>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</si>
  <si>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</si>
  <si>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</si>
  <si>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</si>
  <si>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</si>
  <si>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</si>
  <si>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</si>
  <si>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</si>
  <si>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</si>
  <si>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</si>
  <si>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Losses</t>
  </si>
  <si>
    <t>Real (pu)</t>
  </si>
  <si>
    <t>Reactive (pu)</t>
  </si>
  <si>
    <t>P1-PG1+PD1=0 -&gt;</t>
  </si>
  <si>
    <t>P2-PG2+PD2=0 -&gt;</t>
  </si>
  <si>
    <t>P3-PG3+PD3=0 -&gt;</t>
  </si>
  <si>
    <t>Q1-QG1+QD1=0 -&gt;</t>
  </si>
  <si>
    <t>Q2-QG2+QD2=0 -&gt;</t>
  </si>
  <si>
    <t>Q3-QG3+QD3=0 -&gt;</t>
  </si>
  <si>
    <t>Generation</t>
  </si>
  <si>
    <t>Demand</t>
  </si>
  <si>
    <t>L12 (km)=</t>
  </si>
  <si>
    <t>L13 (km)=</t>
  </si>
  <si>
    <t>L23 (km)=</t>
  </si>
  <si>
    <t>z12 (pu)=</t>
  </si>
  <si>
    <t>z13 (pu)=</t>
  </si>
  <si>
    <t>z23 (pu)=</t>
  </si>
  <si>
    <t>Production Cost=</t>
  </si>
  <si>
    <t>Smax</t>
  </si>
  <si>
    <t>&lt;</t>
  </si>
  <si>
    <t>Equilibrium equations</t>
  </si>
  <si>
    <t>Production Cost Curves= b*Pg+c*Pg^2</t>
  </si>
  <si>
    <t>Line Flows:</t>
  </si>
  <si>
    <t>pmax2</t>
  </si>
  <si>
    <t>z (pu/km)=</t>
  </si>
  <si>
    <t>Ybus=</t>
  </si>
  <si>
    <t>State Variables</t>
  </si>
  <si>
    <t>v1=</t>
  </si>
  <si>
    <t>v3=</t>
  </si>
  <si>
    <t>theta1=</t>
  </si>
  <si>
    <t>v2=</t>
  </si>
  <si>
    <t>theta2=</t>
  </si>
  <si>
    <t>theta3=</t>
  </si>
  <si>
    <t>$/pu.h</t>
  </si>
  <si>
    <t>pmax3</t>
  </si>
  <si>
    <t>PG_max</t>
  </si>
  <si>
    <t>QG_max</t>
  </si>
  <si>
    <t>Limits</t>
  </si>
  <si>
    <t>PG1-&gt;</t>
  </si>
  <si>
    <t>PG2-&gt;</t>
  </si>
  <si>
    <t>m</t>
  </si>
  <si>
    <t>Maximum SOCIAL Welfare</t>
  </si>
  <si>
    <t>&lt;- dispuesto a pagar m veces el precio base cuando Pd=0</t>
  </si>
  <si>
    <t>Beneficio Marginal 2</t>
  </si>
  <si>
    <t>Beneficio Marginal 3</t>
  </si>
  <si>
    <t>LMP2</t>
  </si>
  <si>
    <t>&lt;&lt;&lt; PG3+jQG3</t>
  </si>
  <si>
    <t>&lt;&lt;&lt;  PD2+jQD2</t>
  </si>
  <si>
    <t>PG2+jQG2 &gt;&gt;&gt;</t>
  </si>
  <si>
    <t>PD3+jQD3 &gt;&gt;&gt;</t>
  </si>
  <si>
    <t>PG1+jQG1</t>
  </si>
  <si>
    <t>S13 &gt;&gt;&gt;&gt;&gt;&gt;&gt;</t>
  </si>
  <si>
    <t>S12</t>
  </si>
  <si>
    <t>S23</t>
  </si>
  <si>
    <t>LMP0</t>
  </si>
  <si>
    <t>$/MWh</t>
  </si>
  <si>
    <t>LMP3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</si>
</sst>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A5A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167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7" fontId="0" fillId="0" borderId="4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center"/>
    </xf>
    <xf numFmtId="0" fontId="10" fillId="2" borderId="0" xfId="0" applyFont="1" applyFill="1"/>
    <xf numFmtId="2" fontId="10" fillId="2" borderId="0" xfId="0" applyNumberFormat="1" applyFont="1" applyFill="1"/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67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left"/>
    </xf>
    <xf numFmtId="2" fontId="0" fillId="3" borderId="0" xfId="0" applyNumberFormat="1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2" fontId="0" fillId="3" borderId="8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167" fontId="1" fillId="0" borderId="3" xfId="0" applyNumberFormat="1" applyFont="1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0" applyBorder="1"/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" xfId="0" applyBorder="1"/>
    <xf numFmtId="2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0" fillId="3" borderId="0" xfId="0" applyNumberFormat="1" applyFill="1"/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3" borderId="0" xfId="0" applyFont="1" applyFill="1" applyAlignment="1">
      <alignment horizontal="right"/>
    </xf>
    <xf numFmtId="2" fontId="12" fillId="0" borderId="0" xfId="0" applyNumberFormat="1" applyFont="1"/>
    <xf numFmtId="0" fontId="0" fillId="0" borderId="3" xfId="0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167" fontId="1" fillId="0" borderId="3" xfId="0" applyNumberFormat="1" applyFont="1" applyFill="1" applyBorder="1"/>
    <xf numFmtId="0" fontId="0" fillId="4" borderId="0" xfId="0" applyFill="1"/>
    <xf numFmtId="2" fontId="0" fillId="4" borderId="0" xfId="0" applyNumberFormat="1" applyFill="1"/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1" applyFont="1"/>
    <xf numFmtId="167" fontId="0" fillId="0" borderId="0" xfId="0" applyNumberFormat="1" applyBorder="1" applyAlignment="1">
      <alignment horizontal="center"/>
    </xf>
    <xf numFmtId="2" fontId="0" fillId="5" borderId="0" xfId="0" applyNumberFormat="1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5" fontId="3" fillId="3" borderId="0" xfId="0" applyNumberFormat="1" applyFont="1" applyFill="1" applyAlignment="1">
      <alignment horizontal="right"/>
    </xf>
    <xf numFmtId="2" fontId="15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left"/>
    </xf>
    <xf numFmtId="0" fontId="6" fillId="4" borderId="0" xfId="0" applyFont="1" applyFill="1"/>
    <xf numFmtId="166" fontId="0" fillId="0" borderId="3" xfId="0" applyNumberFormat="1" applyFill="1" applyBorder="1" applyAlignment="1">
      <alignment horizontal="left"/>
    </xf>
    <xf numFmtId="167" fontId="0" fillId="6" borderId="3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167" fontId="0" fillId="6" borderId="5" xfId="0" applyNumberFormat="1" applyFill="1" applyBorder="1" applyAlignment="1">
      <alignment horizontal="left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166" fontId="0" fillId="0" borderId="5" xfId="0" applyNumberFormat="1" applyFill="1" applyBorder="1" applyAlignment="1">
      <alignment horizontal="left"/>
    </xf>
    <xf numFmtId="167" fontId="0" fillId="0" borderId="3" xfId="0" applyNumberFormat="1" applyFill="1" applyBorder="1"/>
    <xf numFmtId="167" fontId="0" fillId="0" borderId="5" xfId="0" applyNumberFormat="1" applyFill="1" applyBorder="1"/>
    <xf numFmtId="0" fontId="0" fillId="3" borderId="0" xfId="0" applyFill="1" applyAlignment="1">
      <alignment horizontal="right"/>
    </xf>
    <xf numFmtId="167" fontId="1" fillId="2" borderId="3" xfId="0" applyNumberFormat="1" applyFont="1" applyFill="1" applyBorder="1" applyAlignment="1">
      <alignment horizontal="left"/>
    </xf>
    <xf numFmtId="167" fontId="0" fillId="2" borderId="3" xfId="0" applyNumberFormat="1" applyFill="1" applyBorder="1" applyAlignment="1">
      <alignment horizontal="left"/>
    </xf>
    <xf numFmtId="167" fontId="0" fillId="2" borderId="5" xfId="0" applyNumberForma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167" fontId="3" fillId="0" borderId="3" xfId="0" applyNumberFormat="1" applyFont="1" applyFill="1" applyBorder="1" applyAlignment="1">
      <alignment horizontal="left"/>
    </xf>
    <xf numFmtId="166" fontId="1" fillId="0" borderId="3" xfId="0" applyNumberFormat="1" applyFont="1" applyFill="1" applyBorder="1" applyAlignment="1">
      <alignment horizontal="left"/>
    </xf>
    <xf numFmtId="166" fontId="0" fillId="6" borderId="3" xfId="0" applyNumberFormat="1" applyFill="1" applyBorder="1" applyAlignment="1">
      <alignment horizontal="left"/>
    </xf>
    <xf numFmtId="166" fontId="0" fillId="6" borderId="5" xfId="0" applyNumberFormat="1" applyFill="1" applyBorder="1" applyAlignment="1">
      <alignment horizontal="left"/>
    </xf>
  </cellXfs>
  <cellStyles count="1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3" builtinId="9" hidden="1"/>
    <cellStyle name="Millares" xfId="1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14979</xdr:colOff>
      <xdr:row>2</xdr:row>
      <xdr:rowOff>78153</xdr:rowOff>
    </xdr:from>
    <xdr:to>
      <xdr:col>11</xdr:col>
      <xdr:colOff>376440</xdr:colOff>
      <xdr:row>4</xdr:row>
      <xdr:rowOff>117230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7059916-48DB-441A-8B63-342B893789CF}"/>
            </a:ext>
          </a:extLst>
        </xdr:cNvPr>
        <xdr:cNvSpPr/>
      </xdr:nvSpPr>
      <xdr:spPr>
        <a:xfrm>
          <a:off x="7377804" y="459153"/>
          <a:ext cx="361461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38426</xdr:colOff>
      <xdr:row>3</xdr:row>
      <xdr:rowOff>100296</xdr:rowOff>
    </xdr:from>
    <xdr:to>
      <xdr:col>13</xdr:col>
      <xdr:colOff>83364</xdr:colOff>
      <xdr:row>5</xdr:row>
      <xdr:rowOff>80757</xdr:rowOff>
    </xdr:to>
    <xdr:sp macro="" textlink="">
      <xdr:nvSpPr>
        <xdr:cNvPr id="3" name="Rectángulo 4">
          <a:extLst>
            <a:ext uri="{FF2B5EF4-FFF2-40B4-BE49-F238E27FC236}">
              <a16:creationId xmlns:a16="http://schemas.microsoft.com/office/drawing/2014/main" id="{5DE12AFA-2943-4A1D-84B3-514026AF3721}"/>
            </a:ext>
          </a:extLst>
        </xdr:cNvPr>
        <xdr:cNvSpPr/>
      </xdr:nvSpPr>
      <xdr:spPr>
        <a:xfrm>
          <a:off x="9058601" y="6717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50150</xdr:colOff>
      <xdr:row>1</xdr:row>
      <xdr:rowOff>104857</xdr:rowOff>
    </xdr:from>
    <xdr:to>
      <xdr:col>14</xdr:col>
      <xdr:colOff>412914</xdr:colOff>
      <xdr:row>3</xdr:row>
      <xdr:rowOff>143934</xdr:rowOff>
    </xdr:to>
    <xdr:sp macro="" textlink="">
      <xdr:nvSpPr>
        <xdr:cNvPr id="4" name="Elipse 5">
          <a:extLst>
            <a:ext uri="{FF2B5EF4-FFF2-40B4-BE49-F238E27FC236}">
              <a16:creationId xmlns:a16="http://schemas.microsoft.com/office/drawing/2014/main" id="{C6BBD3EE-5D04-46C0-8FF1-7076B0EE448F}"/>
            </a:ext>
          </a:extLst>
        </xdr:cNvPr>
        <xdr:cNvSpPr/>
      </xdr:nvSpPr>
      <xdr:spPr>
        <a:xfrm>
          <a:off x="9832325" y="295357"/>
          <a:ext cx="362764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670169</xdr:colOff>
      <xdr:row>3</xdr:row>
      <xdr:rowOff>103555</xdr:rowOff>
    </xdr:from>
    <xdr:to>
      <xdr:col>11</xdr:col>
      <xdr:colOff>728784</xdr:colOff>
      <xdr:row>5</xdr:row>
      <xdr:rowOff>84016</xdr:rowOff>
    </xdr:to>
    <xdr:sp macro="" textlink="">
      <xdr:nvSpPr>
        <xdr:cNvPr id="5" name="Rectángulo 6">
          <a:extLst>
            <a:ext uri="{FF2B5EF4-FFF2-40B4-BE49-F238E27FC236}">
              <a16:creationId xmlns:a16="http://schemas.microsoft.com/office/drawing/2014/main" id="{8D70D34C-B93D-4B74-9E52-44DEB37DB556}"/>
            </a:ext>
          </a:extLst>
        </xdr:cNvPr>
        <xdr:cNvSpPr/>
      </xdr:nvSpPr>
      <xdr:spPr>
        <a:xfrm>
          <a:off x="8032994" y="675055"/>
          <a:ext cx="58615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728784</xdr:colOff>
      <xdr:row>4</xdr:row>
      <xdr:rowOff>90527</xdr:rowOff>
    </xdr:from>
    <xdr:to>
      <xdr:col>13</xdr:col>
      <xdr:colOff>38426</xdr:colOff>
      <xdr:row>4</xdr:row>
      <xdr:rowOff>93786</xdr:rowOff>
    </xdr:to>
    <xdr:cxnSp macro="">
      <xdr:nvCxnSpPr>
        <xdr:cNvPr id="6" name="Conector recto de flecha 9">
          <a:extLst>
            <a:ext uri="{FF2B5EF4-FFF2-40B4-BE49-F238E27FC236}">
              <a16:creationId xmlns:a16="http://schemas.microsoft.com/office/drawing/2014/main" id="{E96C64B0-40F8-41CC-BF3B-041990E4AB2B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8091609" y="852527"/>
          <a:ext cx="966992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44612</xdr:colOff>
      <xdr:row>9</xdr:row>
      <xdr:rowOff>101601</xdr:rowOff>
    </xdr:from>
    <xdr:to>
      <xdr:col>15</xdr:col>
      <xdr:colOff>74245</xdr:colOff>
      <xdr:row>9</xdr:row>
      <xdr:rowOff>167056</xdr:rowOff>
    </xdr:to>
    <xdr:sp macro="" textlink="">
      <xdr:nvSpPr>
        <xdr:cNvPr id="7" name="Rectángulo 20">
          <a:extLst>
            <a:ext uri="{FF2B5EF4-FFF2-40B4-BE49-F238E27FC236}">
              <a16:creationId xmlns:a16="http://schemas.microsoft.com/office/drawing/2014/main" id="{B1DC7686-5E5E-4B8C-92D6-E6811FC2B963}"/>
            </a:ext>
          </a:extLst>
        </xdr:cNvPr>
        <xdr:cNvSpPr/>
      </xdr:nvSpPr>
      <xdr:spPr>
        <a:xfrm rot="5400000">
          <a:off x="10137488" y="1400625"/>
          <a:ext cx="65455" cy="68685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83364</xdr:colOff>
      <xdr:row>4</xdr:row>
      <xdr:rowOff>90527</xdr:rowOff>
    </xdr:from>
    <xdr:to>
      <xdr:col>14</xdr:col>
      <xdr:colOff>271095</xdr:colOff>
      <xdr:row>9</xdr:row>
      <xdr:rowOff>101602</xdr:rowOff>
    </xdr:to>
    <xdr:cxnSp macro="">
      <xdr:nvCxnSpPr>
        <xdr:cNvPr id="8" name="Conector recto de flecha 21">
          <a:extLst>
            <a:ext uri="{FF2B5EF4-FFF2-40B4-BE49-F238E27FC236}">
              <a16:creationId xmlns:a16="http://schemas.microsoft.com/office/drawing/2014/main" id="{A014C6E2-FACC-4B18-AC9D-F7AE6FB93B29}"/>
            </a:ext>
          </a:extLst>
        </xdr:cNvPr>
        <xdr:cNvCxnSpPr>
          <a:stCxn id="3" idx="3"/>
          <a:endCxn id="7" idx="1"/>
        </xdr:cNvCxnSpPr>
      </xdr:nvCxnSpPr>
      <xdr:spPr>
        <a:xfrm>
          <a:off x="9103539" y="852527"/>
          <a:ext cx="949731" cy="858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270933</xdr:colOff>
      <xdr:row>9</xdr:row>
      <xdr:rowOff>167057</xdr:rowOff>
    </xdr:from>
    <xdr:to>
      <xdr:col>14</xdr:col>
      <xdr:colOff>271095</xdr:colOff>
      <xdr:row>11</xdr:row>
      <xdr:rowOff>33867</xdr:rowOff>
    </xdr:to>
    <xdr:cxnSp macro="">
      <xdr:nvCxnSpPr>
        <xdr:cNvPr id="9" name="Conector recto de flecha 10">
          <a:extLst>
            <a:ext uri="{FF2B5EF4-FFF2-40B4-BE49-F238E27FC236}">
              <a16:creationId xmlns:a16="http://schemas.microsoft.com/office/drawing/2014/main" id="{E8144F50-7AE2-4723-AD9C-680A74FDD022}"/>
            </a:ext>
          </a:extLst>
        </xdr:cNvPr>
        <xdr:cNvCxnSpPr>
          <a:stCxn id="7" idx="3"/>
        </xdr:cNvCxnSpPr>
      </xdr:nvCxnSpPr>
      <xdr:spPr>
        <a:xfrm flipH="1">
          <a:off x="10053108" y="1776782"/>
          <a:ext cx="162" cy="2478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135466</xdr:colOff>
      <xdr:row>4</xdr:row>
      <xdr:rowOff>84667</xdr:rowOff>
    </xdr:from>
    <xdr:to>
      <xdr:col>15</xdr:col>
      <xdr:colOff>50800</xdr:colOff>
      <xdr:row>4</xdr:row>
      <xdr:rowOff>101601</xdr:rowOff>
    </xdr:to>
    <xdr:cxnSp macro="">
      <xdr:nvCxnSpPr>
        <xdr:cNvPr id="10" name="Conector recto de flecha 13">
          <a:extLst>
            <a:ext uri="{FF2B5EF4-FFF2-40B4-BE49-F238E27FC236}">
              <a16:creationId xmlns:a16="http://schemas.microsoft.com/office/drawing/2014/main" id="{680297D0-413F-4F66-97A6-4EEF3366BEE6}"/>
            </a:ext>
          </a:extLst>
        </xdr:cNvPr>
        <xdr:cNvCxnSpPr/>
      </xdr:nvCxnSpPr>
      <xdr:spPr>
        <a:xfrm flipV="1">
          <a:off x="9155641" y="846667"/>
          <a:ext cx="1334559" cy="169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376440</xdr:colOff>
      <xdr:row>3</xdr:row>
      <xdr:rowOff>97692</xdr:rowOff>
    </xdr:from>
    <xdr:to>
      <xdr:col>11</xdr:col>
      <xdr:colOff>670169</xdr:colOff>
      <xdr:row>4</xdr:row>
      <xdr:rowOff>93786</xdr:rowOff>
    </xdr:to>
    <xdr:cxnSp macro="">
      <xdr:nvCxnSpPr>
        <xdr:cNvPr id="11" name="Conector recto de flecha 27">
          <a:extLst>
            <a:ext uri="{FF2B5EF4-FFF2-40B4-BE49-F238E27FC236}">
              <a16:creationId xmlns:a16="http://schemas.microsoft.com/office/drawing/2014/main" id="{4D41CD0B-D41A-4146-8A8D-6DAC8353B017}"/>
            </a:ext>
          </a:extLst>
        </xdr:cNvPr>
        <xdr:cNvCxnSpPr>
          <a:stCxn id="2" idx="6"/>
          <a:endCxn id="5" idx="1"/>
        </xdr:cNvCxnSpPr>
      </xdr:nvCxnSpPr>
      <xdr:spPr>
        <a:xfrm>
          <a:off x="7739265" y="669192"/>
          <a:ext cx="293729" cy="1865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83364</xdr:colOff>
      <xdr:row>2</xdr:row>
      <xdr:rowOff>124396</xdr:rowOff>
    </xdr:from>
    <xdr:to>
      <xdr:col>14</xdr:col>
      <xdr:colOff>50150</xdr:colOff>
      <xdr:row>4</xdr:row>
      <xdr:rowOff>90527</xdr:rowOff>
    </xdr:to>
    <xdr:cxnSp macro="">
      <xdr:nvCxnSpPr>
        <xdr:cNvPr id="12" name="Conector recto de flecha 31">
          <a:extLst>
            <a:ext uri="{FF2B5EF4-FFF2-40B4-BE49-F238E27FC236}">
              <a16:creationId xmlns:a16="http://schemas.microsoft.com/office/drawing/2014/main" id="{AD1F5C19-61F3-47A6-8650-352FBD42BC79}"/>
            </a:ext>
          </a:extLst>
        </xdr:cNvPr>
        <xdr:cNvCxnSpPr>
          <a:stCxn id="4" idx="2"/>
          <a:endCxn id="3" idx="3"/>
        </xdr:cNvCxnSpPr>
      </xdr:nvCxnSpPr>
      <xdr:spPr>
        <a:xfrm flipH="1">
          <a:off x="9103539" y="505396"/>
          <a:ext cx="728786" cy="34713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728784</xdr:colOff>
      <xdr:row>4</xdr:row>
      <xdr:rowOff>93786</xdr:rowOff>
    </xdr:from>
    <xdr:to>
      <xdr:col>14</xdr:col>
      <xdr:colOff>44612</xdr:colOff>
      <xdr:row>9</xdr:row>
      <xdr:rowOff>134330</xdr:rowOff>
    </xdr:to>
    <xdr:cxnSp macro="">
      <xdr:nvCxnSpPr>
        <xdr:cNvPr id="13" name="Conector recto 43">
          <a:extLst>
            <a:ext uri="{FF2B5EF4-FFF2-40B4-BE49-F238E27FC236}">
              <a16:creationId xmlns:a16="http://schemas.microsoft.com/office/drawing/2014/main" id="{54E1AF9A-FF44-478C-824A-7D30E56324D1}"/>
            </a:ext>
          </a:extLst>
        </xdr:cNvPr>
        <xdr:cNvCxnSpPr>
          <a:stCxn id="5" idx="3"/>
          <a:endCxn id="7" idx="2"/>
        </xdr:cNvCxnSpPr>
      </xdr:nvCxnSpPr>
      <xdr:spPr>
        <a:xfrm>
          <a:off x="8091609" y="855786"/>
          <a:ext cx="1735178" cy="888269"/>
        </a:xfrm>
        <a:prstGeom prst="line">
          <a:avLst/>
        </a:prstGeom>
        <a:ln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275693</xdr:colOff>
      <xdr:row>7</xdr:row>
      <xdr:rowOff>45981</xdr:rowOff>
    </xdr:from>
    <xdr:to>
      <xdr:col>16</xdr:col>
      <xdr:colOff>226218</xdr:colOff>
      <xdr:row>9</xdr:row>
      <xdr:rowOff>133878</xdr:rowOff>
    </xdr:to>
    <xdr:pic>
      <xdr:nvPicPr>
        <xdr:cNvPr id="14" name="Imagen 50">
          <a:extLst>
            <a:ext uri="{FF2B5EF4-FFF2-40B4-BE49-F238E27FC236}">
              <a16:creationId xmlns:a16="http://schemas.microsoft.com/office/drawing/2014/main" id="{965B5909-7136-422E-916F-27D19139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093" y="1274706"/>
          <a:ext cx="674425" cy="468897"/>
        </a:xfrm>
        <a:prstGeom prst="rect">
          <a:avLst/>
        </a:prstGeom>
      </xdr:spPr>
    </xdr:pic>
    <xdr:clientData/>
  </xdr:twoCellAnchor>
  <xdr:oneCellAnchor>
    <xdr:from>
      <xdr:col>11</xdr:col>
      <xdr:colOff>541866</xdr:colOff>
      <xdr:row>2</xdr:row>
      <xdr:rowOff>42334</xdr:rowOff>
    </xdr:from>
    <xdr:ext cx="256162" cy="261610"/>
    <xdr:sp macro="" textlink="">
      <xdr:nvSpPr>
        <xdr:cNvPr id="15" name="CuadroTexto 51">
          <a:extLst>
            <a:ext uri="{FF2B5EF4-FFF2-40B4-BE49-F238E27FC236}">
              <a16:creationId xmlns:a16="http://schemas.microsoft.com/office/drawing/2014/main" id="{DF2F60E6-C810-419A-A65D-469431833EF6}"/>
            </a:ext>
          </a:extLst>
        </xdr:cNvPr>
        <xdr:cNvSpPr txBox="1"/>
      </xdr:nvSpPr>
      <xdr:spPr>
        <a:xfrm>
          <a:off x="7904691" y="423334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12</xdr:col>
      <xdr:colOff>575732</xdr:colOff>
      <xdr:row>2</xdr:row>
      <xdr:rowOff>33867</xdr:rowOff>
    </xdr:from>
    <xdr:ext cx="256162" cy="261610"/>
    <xdr:sp macro="" textlink="">
      <xdr:nvSpPr>
        <xdr:cNvPr id="16" name="CuadroTexto 52">
          <a:extLst>
            <a:ext uri="{FF2B5EF4-FFF2-40B4-BE49-F238E27FC236}">
              <a16:creationId xmlns:a16="http://schemas.microsoft.com/office/drawing/2014/main" id="{B061B255-5EE3-4E80-B214-D291035B27DD}"/>
            </a:ext>
          </a:extLst>
        </xdr:cNvPr>
        <xdr:cNvSpPr txBox="1"/>
      </xdr:nvSpPr>
      <xdr:spPr>
        <a:xfrm>
          <a:off x="8900582" y="414867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13</xdr:col>
      <xdr:colOff>508000</xdr:colOff>
      <xdr:row>9</xdr:row>
      <xdr:rowOff>110067</xdr:rowOff>
    </xdr:from>
    <xdr:ext cx="256162" cy="261610"/>
    <xdr:sp macro="" textlink="">
      <xdr:nvSpPr>
        <xdr:cNvPr id="17" name="CuadroTexto 53">
          <a:extLst>
            <a:ext uri="{FF2B5EF4-FFF2-40B4-BE49-F238E27FC236}">
              <a16:creationId xmlns:a16="http://schemas.microsoft.com/office/drawing/2014/main" id="{D12A599F-D411-48B0-BFBB-B6D6662B07F4}"/>
            </a:ext>
          </a:extLst>
        </xdr:cNvPr>
        <xdr:cNvSpPr txBox="1"/>
      </xdr:nvSpPr>
      <xdr:spPr>
        <a:xfrm>
          <a:off x="9528175" y="171979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15</xdr:col>
      <xdr:colOff>245533</xdr:colOff>
      <xdr:row>0</xdr:row>
      <xdr:rowOff>0</xdr:rowOff>
    </xdr:from>
    <xdr:to>
      <xdr:col>16</xdr:col>
      <xdr:colOff>651933</xdr:colOff>
      <xdr:row>3</xdr:row>
      <xdr:rowOff>23250</xdr:rowOff>
    </xdr:to>
    <xdr:pic>
      <xdr:nvPicPr>
        <xdr:cNvPr id="18" name="Imagen 19" descr="pannel.png">
          <a:extLst>
            <a:ext uri="{FF2B5EF4-FFF2-40B4-BE49-F238E27FC236}">
              <a16:creationId xmlns:a16="http://schemas.microsoft.com/office/drawing/2014/main" id="{2A72B173-5FBB-49FF-81DA-2AA90DB91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4933" y="0"/>
          <a:ext cx="1130300" cy="594750"/>
        </a:xfrm>
        <a:prstGeom prst="rect">
          <a:avLst/>
        </a:prstGeom>
      </xdr:spPr>
    </xdr:pic>
    <xdr:clientData/>
  </xdr:twoCellAnchor>
  <xdr:twoCellAnchor>
    <xdr:from>
      <xdr:col>15</xdr:col>
      <xdr:colOff>126351</xdr:colOff>
      <xdr:row>9</xdr:row>
      <xdr:rowOff>117231</xdr:rowOff>
    </xdr:from>
    <xdr:to>
      <xdr:col>16</xdr:col>
      <xdr:colOff>517769</xdr:colOff>
      <xdr:row>9</xdr:row>
      <xdr:rowOff>127653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883FCE0-F752-435F-B784-EFFDE31DC3C3}"/>
            </a:ext>
          </a:extLst>
        </xdr:cNvPr>
        <xdr:cNvCxnSpPr/>
      </xdr:nvCxnSpPr>
      <xdr:spPr>
        <a:xfrm flipH="1">
          <a:off x="10565751" y="1726956"/>
          <a:ext cx="1115318" cy="1042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14979</xdr:colOff>
      <xdr:row>2</xdr:row>
      <xdr:rowOff>78153</xdr:rowOff>
    </xdr:from>
    <xdr:to>
      <xdr:col>11</xdr:col>
      <xdr:colOff>376440</xdr:colOff>
      <xdr:row>4</xdr:row>
      <xdr:rowOff>117230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120629" y="459153"/>
          <a:ext cx="361461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38426</xdr:colOff>
      <xdr:row>3</xdr:row>
      <xdr:rowOff>100296</xdr:rowOff>
    </xdr:from>
    <xdr:to>
      <xdr:col>13</xdr:col>
      <xdr:colOff>83364</xdr:colOff>
      <xdr:row>5</xdr:row>
      <xdr:rowOff>80757</xdr:rowOff>
    </xdr:to>
    <xdr:sp macro="" textlink="">
      <xdr:nvSpPr>
        <xdr:cNvPr id="3" name="Rectángulo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01376" y="6717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50150</xdr:colOff>
      <xdr:row>1</xdr:row>
      <xdr:rowOff>104857</xdr:rowOff>
    </xdr:from>
    <xdr:to>
      <xdr:col>14</xdr:col>
      <xdr:colOff>412914</xdr:colOff>
      <xdr:row>3</xdr:row>
      <xdr:rowOff>143934</xdr:rowOff>
    </xdr:to>
    <xdr:sp macro="" textlink="">
      <xdr:nvSpPr>
        <xdr:cNvPr id="4" name="Elips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956025" y="295357"/>
          <a:ext cx="362764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670169</xdr:colOff>
      <xdr:row>3</xdr:row>
      <xdr:rowOff>103555</xdr:rowOff>
    </xdr:from>
    <xdr:to>
      <xdr:col>11</xdr:col>
      <xdr:colOff>728784</xdr:colOff>
      <xdr:row>5</xdr:row>
      <xdr:rowOff>84016</xdr:rowOff>
    </xdr:to>
    <xdr:sp macro="" textlink="">
      <xdr:nvSpPr>
        <xdr:cNvPr id="5" name="Rectángulo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775819" y="675055"/>
          <a:ext cx="49090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728784</xdr:colOff>
      <xdr:row>4</xdr:row>
      <xdr:rowOff>90527</xdr:rowOff>
    </xdr:from>
    <xdr:to>
      <xdr:col>13</xdr:col>
      <xdr:colOff>38426</xdr:colOff>
      <xdr:row>4</xdr:row>
      <xdr:rowOff>93786</xdr:rowOff>
    </xdr:to>
    <xdr:cxnSp macro="">
      <xdr:nvCxnSpPr>
        <xdr:cNvPr id="6" name="Conector recto de flecha 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7824909" y="852527"/>
          <a:ext cx="576467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44612</xdr:colOff>
      <xdr:row>9</xdr:row>
      <xdr:rowOff>101601</xdr:rowOff>
    </xdr:from>
    <xdr:to>
      <xdr:col>15</xdr:col>
      <xdr:colOff>74245</xdr:colOff>
      <xdr:row>9</xdr:row>
      <xdr:rowOff>167056</xdr:rowOff>
    </xdr:to>
    <xdr:sp macro="" textlink="">
      <xdr:nvSpPr>
        <xdr:cNvPr id="7" name="Rectángulo 2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5400000">
          <a:off x="9261188" y="1400625"/>
          <a:ext cx="65455" cy="68685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83364</xdr:colOff>
      <xdr:row>4</xdr:row>
      <xdr:rowOff>90527</xdr:rowOff>
    </xdr:from>
    <xdr:to>
      <xdr:col>14</xdr:col>
      <xdr:colOff>271095</xdr:colOff>
      <xdr:row>9</xdr:row>
      <xdr:rowOff>101602</xdr:rowOff>
    </xdr:to>
    <xdr:cxnSp macro="">
      <xdr:nvCxnSpPr>
        <xdr:cNvPr id="8" name="Conector recto de flecha 2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3" idx="3"/>
          <a:endCxn id="7" idx="1"/>
        </xdr:cNvCxnSpPr>
      </xdr:nvCxnSpPr>
      <xdr:spPr>
        <a:xfrm>
          <a:off x="8446314" y="852527"/>
          <a:ext cx="730656" cy="858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270933</xdr:colOff>
      <xdr:row>9</xdr:row>
      <xdr:rowOff>167057</xdr:rowOff>
    </xdr:from>
    <xdr:to>
      <xdr:col>14</xdr:col>
      <xdr:colOff>271095</xdr:colOff>
      <xdr:row>11</xdr:row>
      <xdr:rowOff>33867</xdr:rowOff>
    </xdr:to>
    <xdr:cxnSp macro="">
      <xdr:nvCxnSpPr>
        <xdr:cNvPr id="9" name="Conector recto de flecha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7" idx="3"/>
        </xdr:cNvCxnSpPr>
      </xdr:nvCxnSpPr>
      <xdr:spPr>
        <a:xfrm flipH="1">
          <a:off x="9176808" y="1776782"/>
          <a:ext cx="162" cy="2478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135466</xdr:colOff>
      <xdr:row>4</xdr:row>
      <xdr:rowOff>84667</xdr:rowOff>
    </xdr:from>
    <xdr:to>
      <xdr:col>15</xdr:col>
      <xdr:colOff>50800</xdr:colOff>
      <xdr:row>4</xdr:row>
      <xdr:rowOff>101601</xdr:rowOff>
    </xdr:to>
    <xdr:cxnSp macro="">
      <xdr:nvCxnSpPr>
        <xdr:cNvPr id="10" name="Conector recto de flecha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10185399" y="795867"/>
          <a:ext cx="1549401" cy="169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376440</xdr:colOff>
      <xdr:row>3</xdr:row>
      <xdr:rowOff>97692</xdr:rowOff>
    </xdr:from>
    <xdr:to>
      <xdr:col>11</xdr:col>
      <xdr:colOff>670169</xdr:colOff>
      <xdr:row>4</xdr:row>
      <xdr:rowOff>93786</xdr:rowOff>
    </xdr:to>
    <xdr:cxnSp macro="">
      <xdr:nvCxnSpPr>
        <xdr:cNvPr id="11" name="Conector recto de flecha 2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2" idx="6"/>
          <a:endCxn id="5" idx="1"/>
        </xdr:cNvCxnSpPr>
      </xdr:nvCxnSpPr>
      <xdr:spPr>
        <a:xfrm>
          <a:off x="7482090" y="669192"/>
          <a:ext cx="293729" cy="1865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83364</xdr:colOff>
      <xdr:row>2</xdr:row>
      <xdr:rowOff>124396</xdr:rowOff>
    </xdr:from>
    <xdr:to>
      <xdr:col>14</xdr:col>
      <xdr:colOff>50150</xdr:colOff>
      <xdr:row>4</xdr:row>
      <xdr:rowOff>90527</xdr:rowOff>
    </xdr:to>
    <xdr:cxnSp macro="">
      <xdr:nvCxnSpPr>
        <xdr:cNvPr id="12" name="Conector recto de flecha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4" idx="2"/>
          <a:endCxn id="3" idx="3"/>
        </xdr:cNvCxnSpPr>
      </xdr:nvCxnSpPr>
      <xdr:spPr>
        <a:xfrm flipH="1">
          <a:off x="8446314" y="505396"/>
          <a:ext cx="509711" cy="34713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728784</xdr:colOff>
      <xdr:row>4</xdr:row>
      <xdr:rowOff>93786</xdr:rowOff>
    </xdr:from>
    <xdr:to>
      <xdr:col>14</xdr:col>
      <xdr:colOff>44612</xdr:colOff>
      <xdr:row>9</xdr:row>
      <xdr:rowOff>134330</xdr:rowOff>
    </xdr:to>
    <xdr:cxnSp macro="">
      <xdr:nvCxnSpPr>
        <xdr:cNvPr id="13" name="Conector recto 4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5" idx="3"/>
          <a:endCxn id="7" idx="2"/>
        </xdr:cNvCxnSpPr>
      </xdr:nvCxnSpPr>
      <xdr:spPr>
        <a:xfrm>
          <a:off x="7824909" y="855786"/>
          <a:ext cx="1125578" cy="888269"/>
        </a:xfrm>
        <a:prstGeom prst="line">
          <a:avLst/>
        </a:prstGeom>
        <a:ln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275693</xdr:colOff>
      <xdr:row>7</xdr:row>
      <xdr:rowOff>45981</xdr:rowOff>
    </xdr:from>
    <xdr:to>
      <xdr:col>16</xdr:col>
      <xdr:colOff>226218</xdr:colOff>
      <xdr:row>9</xdr:row>
      <xdr:rowOff>133878</xdr:rowOff>
    </xdr:to>
    <xdr:pic>
      <xdr:nvPicPr>
        <xdr:cNvPr id="15" name="Imagen 5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7474" y="1272325"/>
          <a:ext cx="676807" cy="468897"/>
        </a:xfrm>
        <a:prstGeom prst="rect">
          <a:avLst/>
        </a:prstGeom>
      </xdr:spPr>
    </xdr:pic>
    <xdr:clientData/>
  </xdr:twoCellAnchor>
  <xdr:oneCellAnchor>
    <xdr:from>
      <xdr:col>11</xdr:col>
      <xdr:colOff>541866</xdr:colOff>
      <xdr:row>2</xdr:row>
      <xdr:rowOff>42334</xdr:rowOff>
    </xdr:from>
    <xdr:ext cx="256162" cy="261610"/>
    <xdr:sp macro="" textlink="">
      <xdr:nvSpPr>
        <xdr:cNvPr id="16" name="CuadroTexto 5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7647516" y="423334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12</xdr:col>
      <xdr:colOff>575732</xdr:colOff>
      <xdr:row>2</xdr:row>
      <xdr:rowOff>33867</xdr:rowOff>
    </xdr:from>
    <xdr:ext cx="256162" cy="261610"/>
    <xdr:sp macro="" textlink="">
      <xdr:nvSpPr>
        <xdr:cNvPr id="17" name="CuadroTexto 5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8367182" y="414867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13</xdr:col>
      <xdr:colOff>508000</xdr:colOff>
      <xdr:row>9</xdr:row>
      <xdr:rowOff>110067</xdr:rowOff>
    </xdr:from>
    <xdr:ext cx="256162" cy="261610"/>
    <xdr:sp macro="" textlink="">
      <xdr:nvSpPr>
        <xdr:cNvPr id="18" name="CuadroTexto 5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8870950" y="171979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15</xdr:col>
      <xdr:colOff>245533</xdr:colOff>
      <xdr:row>0</xdr:row>
      <xdr:rowOff>0</xdr:rowOff>
    </xdr:from>
    <xdr:to>
      <xdr:col>16</xdr:col>
      <xdr:colOff>651933</xdr:colOff>
      <xdr:row>3</xdr:row>
      <xdr:rowOff>23250</xdr:rowOff>
    </xdr:to>
    <xdr:pic>
      <xdr:nvPicPr>
        <xdr:cNvPr id="19" name="Imagen 19" descr="pannel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8633" y="0"/>
          <a:ext cx="1130300" cy="594750"/>
        </a:xfrm>
        <a:prstGeom prst="rect">
          <a:avLst/>
        </a:prstGeom>
      </xdr:spPr>
    </xdr:pic>
    <xdr:clientData/>
  </xdr:twoCellAnchor>
  <xdr:twoCellAnchor>
    <xdr:from>
      <xdr:col>15</xdr:col>
      <xdr:colOff>126351</xdr:colOff>
      <xdr:row>9</xdr:row>
      <xdr:rowOff>117231</xdr:rowOff>
    </xdr:from>
    <xdr:to>
      <xdr:col>16</xdr:col>
      <xdr:colOff>517769</xdr:colOff>
      <xdr:row>9</xdr:row>
      <xdr:rowOff>127653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H="1">
          <a:off x="11048351" y="1628531"/>
          <a:ext cx="1216918" cy="1042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E286-1DBA-4D65-8DF9-E49C7C7812C1}">
  <dimension ref="A1:S29"/>
  <sheetViews>
    <sheetView tabSelected="1" zoomScale="80" zoomScaleNormal="80" zoomScalePageLayoutView="150" workbookViewId="0">
      <selection activeCell="K19" sqref="K19"/>
    </sheetView>
  </sheetViews>
  <sheetFormatPr baseColWidth="10" defaultRowHeight="15" x14ac:dyDescent="0.25"/>
  <cols>
    <col min="1" max="1" width="9.7109375" customWidth="1"/>
    <col min="2" max="2" width="7.7109375" customWidth="1"/>
    <col min="3" max="3" width="13.85546875" customWidth="1"/>
    <col min="4" max="4" width="10.7109375" customWidth="1"/>
    <col min="5" max="5" width="14.42578125" customWidth="1"/>
    <col min="6" max="6" width="11" customWidth="1"/>
    <col min="7" max="7" width="7.85546875" customWidth="1"/>
    <col min="8" max="8" width="13.7109375" customWidth="1"/>
    <col min="9" max="9" width="2.28515625" customWidth="1"/>
    <col min="10" max="10" width="8.5703125" customWidth="1"/>
    <col min="11" max="11" width="10.5703125" customWidth="1"/>
    <col min="12" max="12" width="14.42578125" customWidth="1"/>
    <col min="13" max="13" width="10.42578125" customWidth="1"/>
    <col min="14" max="14" width="11.42578125" customWidth="1"/>
    <col min="15" max="15" width="9.85546875" customWidth="1"/>
    <col min="16" max="17" width="10.85546875" customWidth="1"/>
  </cols>
  <sheetData>
    <row r="1" spans="1:19" x14ac:dyDescent="0.25">
      <c r="A1" s="3" t="s">
        <v>0</v>
      </c>
      <c r="B1" s="3">
        <v>10</v>
      </c>
      <c r="C1" s="3" t="s">
        <v>3</v>
      </c>
      <c r="D1" t="s">
        <v>41</v>
      </c>
      <c r="E1" s="16">
        <v>3</v>
      </c>
      <c r="G1" t="s">
        <v>44</v>
      </c>
      <c r="H1">
        <f>$B$3*E1</f>
        <v>1.4999999999999999E-2</v>
      </c>
      <c r="I1" s="1" t="s">
        <v>4</v>
      </c>
      <c r="J1">
        <f>E1*$C$3</f>
        <v>0.03</v>
      </c>
      <c r="M1" s="2" t="s">
        <v>78</v>
      </c>
      <c r="N1" s="51">
        <f>_PG2</f>
        <v>1</v>
      </c>
      <c r="O1" s="73">
        <f>_QG2</f>
        <v>0.81595988704582756</v>
      </c>
    </row>
    <row r="2" spans="1:19" x14ac:dyDescent="0.25">
      <c r="A2" s="3" t="s">
        <v>1</v>
      </c>
      <c r="B2" s="3">
        <v>69</v>
      </c>
      <c r="C2" s="3" t="s">
        <v>2</v>
      </c>
      <c r="D2" t="s">
        <v>42</v>
      </c>
      <c r="E2" s="16">
        <v>1</v>
      </c>
      <c r="G2" t="s">
        <v>45</v>
      </c>
      <c r="H2" s="61">
        <f>$B$3*E2</f>
        <v>5.0000000000000001E-3</v>
      </c>
      <c r="I2" s="1" t="s">
        <v>4</v>
      </c>
      <c r="J2" s="61">
        <f>E2*$C$3</f>
        <v>0.01</v>
      </c>
    </row>
    <row r="3" spans="1:19" x14ac:dyDescent="0.25">
      <c r="A3" t="s">
        <v>54</v>
      </c>
      <c r="B3">
        <v>5.0000000000000001E-3</v>
      </c>
      <c r="C3" s="23">
        <v>0.01</v>
      </c>
      <c r="D3" t="s">
        <v>43</v>
      </c>
      <c r="E3" s="16">
        <v>1.5</v>
      </c>
      <c r="G3" t="s">
        <v>46</v>
      </c>
      <c r="H3">
        <f>$B$3*E3</f>
        <v>7.4999999999999997E-3</v>
      </c>
      <c r="I3" s="1" t="s">
        <v>4</v>
      </c>
      <c r="J3">
        <f>E3*$C$3</f>
        <v>1.4999999999999999E-2</v>
      </c>
      <c r="K3" s="6"/>
      <c r="L3" s="6"/>
      <c r="M3" s="6" t="s">
        <v>82</v>
      </c>
      <c r="N3" s="6"/>
      <c r="O3" s="6"/>
    </row>
    <row r="4" spans="1:19" x14ac:dyDescent="0.25">
      <c r="A4" s="2" t="s">
        <v>55</v>
      </c>
      <c r="B4" s="14">
        <f>H1/(H1*H1+J1*J1)+H2/(H2*H2+J2*J2)</f>
        <v>53.333333333333336</v>
      </c>
      <c r="C4" s="13">
        <f>-H1/(H1*H1+J1*J1)</f>
        <v>-13.333333333333334</v>
      </c>
      <c r="D4" s="13">
        <f>-H2/(H2*H2+J2*J2)</f>
        <v>-40</v>
      </c>
      <c r="F4" s="15">
        <f>-J1/(H1*H1+J1*J1)-J2/(J2*J2+H2*H2)</f>
        <v>-106.66666666666667</v>
      </c>
      <c r="G4" s="15">
        <f>J1/(J1*J1+H1*H1)</f>
        <v>26.666666666666668</v>
      </c>
      <c r="H4" s="15">
        <f>J2/(J2*J2+H2*H2)</f>
        <v>80</v>
      </c>
      <c r="K4" s="48">
        <f>_PG1</f>
        <v>3.4859148070191921</v>
      </c>
      <c r="L4" s="6"/>
      <c r="M4" s="24">
        <f>H24</f>
        <v>0.49484495590761091</v>
      </c>
      <c r="N4" s="6"/>
      <c r="O4" s="6"/>
      <c r="P4" s="6"/>
    </row>
    <row r="5" spans="1:19" x14ac:dyDescent="0.25">
      <c r="A5" s="2" t="s">
        <v>17</v>
      </c>
      <c r="B5" s="13">
        <f>_G12</f>
        <v>-13.333333333333334</v>
      </c>
      <c r="C5" s="13">
        <f>H1/(H1*H1+J1*J1)+H3/(H3*H3+J3*J3)</f>
        <v>40</v>
      </c>
      <c r="D5" s="13">
        <f>-H3/(H3*H3+J3*J3)</f>
        <v>-26.666666666666668</v>
      </c>
      <c r="E5" s="1" t="s">
        <v>4</v>
      </c>
      <c r="F5" s="15">
        <f>_B12</f>
        <v>26.666666666666668</v>
      </c>
      <c r="G5" s="15">
        <f>-J1/(J1*J1+H1*H1)-J3/(J3*J3+H3*H3)</f>
        <v>-80</v>
      </c>
      <c r="H5" s="15">
        <f>J3/(J3*J3+H3*H3)</f>
        <v>53.333333333333336</v>
      </c>
      <c r="K5" s="52">
        <f>_QG1</f>
        <v>-0.13649291128403718</v>
      </c>
      <c r="L5" s="6"/>
      <c r="M5" s="6"/>
      <c r="N5" s="6"/>
      <c r="O5" s="6"/>
      <c r="P5" s="71">
        <f>_PD2</f>
        <v>0.36591143593393122</v>
      </c>
      <c r="Q5" s="74">
        <f>_QD2</f>
        <v>0.2744335769504484</v>
      </c>
      <c r="R5" t="s">
        <v>77</v>
      </c>
    </row>
    <row r="6" spans="1:19" x14ac:dyDescent="0.25">
      <c r="B6" s="13">
        <f>D4</f>
        <v>-40</v>
      </c>
      <c r="C6" s="13">
        <f>D5</f>
        <v>-26.666666666666668</v>
      </c>
      <c r="D6" s="13">
        <f>H3/(H3*H3+J3*J3)+H2/(H2*H2+J2*J2)</f>
        <v>66.666666666666671</v>
      </c>
      <c r="F6" s="15">
        <f>_B13</f>
        <v>80</v>
      </c>
      <c r="G6" s="15">
        <f>_B23</f>
        <v>53.333333333333336</v>
      </c>
      <c r="H6" s="15">
        <f>-J2/(J2*J2+H2*H2)-J3/(J3*J3+H3*H3)</f>
        <v>-133.33333333333334</v>
      </c>
      <c r="K6" s="6" t="s">
        <v>80</v>
      </c>
      <c r="L6" s="6"/>
      <c r="M6" s="6"/>
      <c r="N6" s="6"/>
      <c r="O6" s="6" t="s">
        <v>83</v>
      </c>
      <c r="P6" s="6"/>
    </row>
    <row r="7" spans="1:19" s="27" customFormat="1" ht="6.95" customHeight="1" x14ac:dyDescent="0.25">
      <c r="B7" s="26"/>
      <c r="C7" s="29"/>
      <c r="D7" s="29"/>
      <c r="F7" s="30"/>
      <c r="G7" s="31"/>
      <c r="H7" s="31"/>
      <c r="K7" s="28"/>
      <c r="L7" s="28"/>
      <c r="M7" s="28"/>
      <c r="N7" s="28"/>
      <c r="O7" s="28"/>
      <c r="P7" s="28"/>
    </row>
    <row r="8" spans="1:19" s="4" customFormat="1" x14ac:dyDescent="0.25">
      <c r="A8" s="78" t="s">
        <v>56</v>
      </c>
      <c r="B8" s="78"/>
      <c r="C8" s="68" t="s">
        <v>50</v>
      </c>
      <c r="D8" s="68"/>
      <c r="E8" s="68" t="s">
        <v>39</v>
      </c>
      <c r="F8" s="68"/>
      <c r="G8" s="68" t="s">
        <v>40</v>
      </c>
      <c r="H8" s="68"/>
      <c r="J8" s="49" t="s">
        <v>65</v>
      </c>
      <c r="K8" s="6"/>
      <c r="L8" s="6"/>
      <c r="M8" s="6"/>
      <c r="N8" s="6"/>
      <c r="O8" s="25">
        <f>H26</f>
        <v>1.1429685193563719</v>
      </c>
      <c r="P8" s="6"/>
    </row>
    <row r="9" spans="1:19" x14ac:dyDescent="0.25">
      <c r="A9" s="32" t="s">
        <v>57</v>
      </c>
      <c r="B9" s="33">
        <v>1</v>
      </c>
      <c r="C9" s="20" t="s">
        <v>33</v>
      </c>
      <c r="D9" s="55">
        <f>_PG1-_PD1</f>
        <v>3.4859148070191921</v>
      </c>
      <c r="E9" s="54" t="s">
        <v>18</v>
      </c>
      <c r="F9" s="33">
        <f>_V1*_V1*_G11+_V1*_V2*(_G12*COS(_T1-_T2)+_B12*SIN(_T1-_T2))+_V1*_V3*(_G13*COS(_T1-_T3)+_B13*SIN(_T1-_T3))</f>
        <v>3.4859148070191921</v>
      </c>
      <c r="G9" s="80" t="s">
        <v>24</v>
      </c>
      <c r="H9" s="81">
        <v>0</v>
      </c>
      <c r="J9" s="17">
        <v>5</v>
      </c>
      <c r="K9" s="6"/>
      <c r="L9" s="6" t="s">
        <v>81</v>
      </c>
      <c r="M9" s="48">
        <f>H25</f>
        <v>3.0000000000989262</v>
      </c>
      <c r="N9" s="6"/>
      <c r="O9" s="6"/>
      <c r="P9" s="6"/>
    </row>
    <row r="10" spans="1:19" x14ac:dyDescent="0.25">
      <c r="A10" s="32" t="s">
        <v>60</v>
      </c>
      <c r="B10" s="77">
        <v>0.99845807082217053</v>
      </c>
      <c r="C10" s="20" t="s">
        <v>34</v>
      </c>
      <c r="D10" s="83">
        <f>_PG2-_PD2-(_V2*_V2*_G22+_V2*_V1*(_G21*COS(_T2-_T1)+_B21*SIN(_T2-_T1))+_V2*_V3*(_G23*COS(_T2-_T3)+_B23*SIN(_T2-_T3)))</f>
        <v>-8.7432283635280328E-12</v>
      </c>
      <c r="E10" s="32" t="s">
        <v>19</v>
      </c>
      <c r="F10" s="33">
        <v>1</v>
      </c>
      <c r="G10" s="32" t="s">
        <v>25</v>
      </c>
      <c r="H10" s="86">
        <v>0.36591143593393122</v>
      </c>
      <c r="J10" s="17">
        <v>5</v>
      </c>
      <c r="K10" s="6"/>
      <c r="L10" s="6"/>
      <c r="M10" s="6"/>
      <c r="N10" s="6"/>
      <c r="O10" s="6"/>
      <c r="P10" s="6"/>
      <c r="Q10" s="65">
        <f>_PG3</f>
        <v>-2</v>
      </c>
      <c r="R10" s="72">
        <f>_QG3</f>
        <v>1.2591408164038282</v>
      </c>
      <c r="S10" t="s">
        <v>76</v>
      </c>
    </row>
    <row r="11" spans="1:19" x14ac:dyDescent="0.25">
      <c r="A11" s="32" t="s">
        <v>58</v>
      </c>
      <c r="B11" s="77">
        <v>0.98495290843429972</v>
      </c>
      <c r="C11" s="20" t="s">
        <v>35</v>
      </c>
      <c r="D11" s="83">
        <f>_PG3-_PD3-(_V3*_V3*_G33+_V3*_V1*(_G31*COS(_T3-_T1)+_B31*SIN(_T3-_T1))+_V3*_V2*(_G32*COS(_T3-_T2)+_B32*SIN(_T3-_T2)))</f>
        <v>-1.5123902130653732E-11</v>
      </c>
      <c r="E11" s="89" t="s">
        <v>20</v>
      </c>
      <c r="F11" s="90">
        <v>-2</v>
      </c>
      <c r="G11" s="32" t="s">
        <v>26</v>
      </c>
      <c r="H11" s="86">
        <v>2.0606660215498249</v>
      </c>
      <c r="J11" s="50" t="s">
        <v>66</v>
      </c>
      <c r="K11" s="6"/>
      <c r="L11" s="6"/>
      <c r="M11" s="6"/>
      <c r="N11" s="6"/>
      <c r="O11" s="6"/>
      <c r="P11" s="6"/>
    </row>
    <row r="12" spans="1:19" x14ac:dyDescent="0.25">
      <c r="A12" s="32" t="s">
        <v>59</v>
      </c>
      <c r="B12" s="33">
        <v>0</v>
      </c>
      <c r="C12" s="20" t="s">
        <v>36</v>
      </c>
      <c r="D12" s="55">
        <f>_QG1-_QD1</f>
        <v>-0.13649291128403718</v>
      </c>
      <c r="E12" s="54" t="s">
        <v>21</v>
      </c>
      <c r="F12" s="33">
        <f>-_V1*_V1*_B11+_V1*_V2*(_G12*SIN(_T1-_T2)-_B12*COS(_T1-_T2))+_V1*_V3*(_G13*SIN(_T1-_T3)-_B13*COS(_T1-_T3))</f>
        <v>-0.13649291128403718</v>
      </c>
      <c r="G12" s="32" t="s">
        <v>27</v>
      </c>
      <c r="H12" s="53">
        <v>0</v>
      </c>
      <c r="J12" s="50">
        <v>2</v>
      </c>
      <c r="K12" s="6"/>
      <c r="L12" s="85" t="s">
        <v>79</v>
      </c>
      <c r="M12" s="85"/>
      <c r="N12" s="71">
        <f>_PD3</f>
        <v>2.0606660215498249</v>
      </c>
      <c r="O12" s="73">
        <f>_QD3</f>
        <v>1.5454995161623688</v>
      </c>
      <c r="P12" s="6"/>
    </row>
    <row r="13" spans="1:19" x14ac:dyDescent="0.25">
      <c r="A13" s="32" t="s">
        <v>61</v>
      </c>
      <c r="B13" s="77">
        <v>-1.6552213891515368E-2</v>
      </c>
      <c r="C13" s="20" t="s">
        <v>37</v>
      </c>
      <c r="D13" s="83">
        <f>_QG2-_QD2-(-_V2*_V2*_B22+_V2*_V1*(_G21*SIN(_T2-_T1)-_B21*COS(_T2-_T1))+_V2*_V3*(_G23*SIN(_T2-_T3)-_B23*COS(_T2-_T3)))</f>
        <v>-4.8258952389801379E-11</v>
      </c>
      <c r="E13" s="32" t="s">
        <v>22</v>
      </c>
      <c r="F13" s="87">
        <v>0.81595988704582756</v>
      </c>
      <c r="G13" s="32" t="s">
        <v>28</v>
      </c>
      <c r="H13" s="76">
        <f>0.75*_PD2</f>
        <v>0.2744335769504484</v>
      </c>
      <c r="J13" s="50">
        <v>2</v>
      </c>
      <c r="K13" t="s">
        <v>70</v>
      </c>
      <c r="L13">
        <v>5</v>
      </c>
      <c r="M13" t="s">
        <v>72</v>
      </c>
    </row>
    <row r="14" spans="1:19" x14ac:dyDescent="0.25">
      <c r="A14" s="34" t="s">
        <v>62</v>
      </c>
      <c r="B14" s="79">
        <v>-3.0496506516374568E-2</v>
      </c>
      <c r="C14" s="21" t="s">
        <v>38</v>
      </c>
      <c r="D14" s="84">
        <f>_QG3-_QD3-(-_V3*_V3*_B33+_V3*_V1*(_G31*SIN(_T3-_T1)-_B31*COS(_T3-_T1))+_V3*_V2*(_G32*SIN(_T3-_T2)-_B32*COS(_T3-_T2)))</f>
        <v>-1.7532419960275547E-11</v>
      </c>
      <c r="E14" s="34" t="s">
        <v>23</v>
      </c>
      <c r="F14" s="88">
        <v>1.2591408164038282</v>
      </c>
      <c r="G14" s="34" t="s">
        <v>29</v>
      </c>
      <c r="H14" s="82">
        <f>0.75*_PD3</f>
        <v>1.5454995161623688</v>
      </c>
      <c r="J14" s="59" t="s">
        <v>67</v>
      </c>
      <c r="K14" t="s">
        <v>12</v>
      </c>
      <c r="L14" s="9">
        <f>($L$13-1)*Q14/0.5</f>
        <v>8122.7712049797847</v>
      </c>
      <c r="M14" t="s">
        <v>53</v>
      </c>
      <c r="N14" s="9">
        <f>$L$13*Q14</f>
        <v>5076.7320031123654</v>
      </c>
      <c r="P14" s="4" t="s">
        <v>84</v>
      </c>
      <c r="Q14" s="9">
        <v>1015.3464006224731</v>
      </c>
    </row>
    <row r="15" spans="1:19" x14ac:dyDescent="0.25">
      <c r="B15" s="10"/>
      <c r="C15" s="69" t="s">
        <v>51</v>
      </c>
      <c r="D15" s="69"/>
      <c r="E15" s="69"/>
      <c r="K15" t="s">
        <v>13</v>
      </c>
      <c r="L15" s="9">
        <f>($L$13-1)*Q15/3.5</f>
        <v>1160.3965479614349</v>
      </c>
      <c r="M15" t="s">
        <v>64</v>
      </c>
      <c r="N15" s="9">
        <f>$L$13*Q15</f>
        <v>5076.7348973312783</v>
      </c>
      <c r="P15" s="4" t="s">
        <v>84</v>
      </c>
      <c r="Q15" s="9">
        <v>1015.3469794662556</v>
      </c>
    </row>
    <row r="16" spans="1:19" x14ac:dyDescent="0.25">
      <c r="B16" s="10"/>
      <c r="C16" s="2" t="s">
        <v>68</v>
      </c>
      <c r="D16">
        <v>1000</v>
      </c>
      <c r="E16">
        <v>0</v>
      </c>
      <c r="G16" s="70" t="s">
        <v>30</v>
      </c>
      <c r="H16" s="70"/>
      <c r="K16" s="66" t="s">
        <v>73</v>
      </c>
      <c r="L16" s="66"/>
      <c r="M16" s="63">
        <f>N14-L14*_PD2</f>
        <v>2104.5171277354239</v>
      </c>
      <c r="N16" t="s">
        <v>63</v>
      </c>
      <c r="O16" t="s">
        <v>14</v>
      </c>
      <c r="P16" s="9">
        <f>N14*_PD2-0.5*L14*_PD2^2</f>
        <v>1313.8505906339051</v>
      </c>
    </row>
    <row r="17" spans="1:16" x14ac:dyDescent="0.25">
      <c r="B17" s="10"/>
      <c r="C17" s="2" t="s">
        <v>69</v>
      </c>
      <c r="D17">
        <v>0</v>
      </c>
      <c r="E17">
        <v>0</v>
      </c>
      <c r="G17" s="58" t="s">
        <v>31</v>
      </c>
      <c r="H17" s="58" t="s">
        <v>32</v>
      </c>
      <c r="K17" s="66" t="s">
        <v>74</v>
      </c>
      <c r="L17" s="66"/>
      <c r="M17" s="63">
        <f>N15-L15*_PD3</f>
        <v>2685.5451594234378</v>
      </c>
      <c r="N17" t="s">
        <v>63</v>
      </c>
      <c r="O17" t="s">
        <v>15</v>
      </c>
      <c r="P17" s="9">
        <f>N15*_PD3-0.5*L15*_PD3^2</f>
        <v>7997.7333813541445</v>
      </c>
    </row>
    <row r="18" spans="1:16" x14ac:dyDescent="0.25">
      <c r="B18" s="10"/>
      <c r="C18" s="4" t="s">
        <v>47</v>
      </c>
      <c r="D18" s="4"/>
      <c r="E18" s="5">
        <f>$D$16*_PG1+$E$16*_PG1^2+$D$17*_PG2+$E$17*_PG2^2</f>
        <v>3485.9148070191923</v>
      </c>
      <c r="G18" s="11">
        <f>_PG1+_PG2+_PG3-_PD1-_PD2-_PD3</f>
        <v>5.9337349535435902E-2</v>
      </c>
      <c r="H18" s="12">
        <f>_QG1+_QG2+_QG3-_QD1-_QD2-_QD3</f>
        <v>0.11867469905280137</v>
      </c>
      <c r="O18" s="18" t="s">
        <v>16</v>
      </c>
      <c r="P18" s="19">
        <f>SUM(P16:P17)</f>
        <v>9311.5839719880496</v>
      </c>
    </row>
    <row r="19" spans="1:16" x14ac:dyDescent="0.25">
      <c r="B19" s="10"/>
      <c r="C19" s="4"/>
      <c r="D19" s="4"/>
      <c r="E19" s="5"/>
      <c r="G19" s="62"/>
      <c r="H19" s="62"/>
      <c r="L19" t="s">
        <v>75</v>
      </c>
      <c r="M19">
        <f>M16/B1</f>
        <v>210.4517127735424</v>
      </c>
      <c r="N19" t="s">
        <v>85</v>
      </c>
    </row>
    <row r="20" spans="1:16" x14ac:dyDescent="0.25">
      <c r="B20" s="10"/>
      <c r="C20" s="4"/>
      <c r="D20" s="4"/>
      <c r="E20" s="5"/>
      <c r="G20" s="62"/>
      <c r="H20" s="62"/>
      <c r="L20" t="s">
        <v>86</v>
      </c>
      <c r="M20">
        <f>M17/B1</f>
        <v>268.55451594234376</v>
      </c>
      <c r="N20" t="s">
        <v>85</v>
      </c>
    </row>
    <row r="21" spans="1:16" x14ac:dyDescent="0.25">
      <c r="B21" s="10"/>
      <c r="C21" s="75" t="s">
        <v>71</v>
      </c>
      <c r="D21" s="56"/>
      <c r="E21" s="57">
        <f>P18-E18</f>
        <v>5825.6691649688573</v>
      </c>
    </row>
    <row r="22" spans="1:16" x14ac:dyDescent="0.25">
      <c r="A22" t="s">
        <v>52</v>
      </c>
      <c r="B22" s="64"/>
      <c r="C22" s="64"/>
      <c r="D22" s="64"/>
      <c r="E22" s="64"/>
      <c r="F22" s="64"/>
      <c r="G22" s="64"/>
      <c r="H22" s="64"/>
      <c r="K22" s="67" t="s">
        <v>30</v>
      </c>
      <c r="L22" s="67"/>
    </row>
    <row r="23" spans="1:16" x14ac:dyDescent="0.25">
      <c r="A23" s="35"/>
      <c r="B23" s="36" t="s">
        <v>5</v>
      </c>
      <c r="C23" s="36" t="s">
        <v>6</v>
      </c>
      <c r="D23" s="36" t="s">
        <v>7</v>
      </c>
      <c r="E23" s="36" t="s">
        <v>8</v>
      </c>
      <c r="F23" s="36" t="s">
        <v>9</v>
      </c>
      <c r="G23" s="36" t="s">
        <v>10</v>
      </c>
      <c r="H23" s="36" t="s">
        <v>11</v>
      </c>
      <c r="I23" s="37"/>
      <c r="J23" s="38" t="s">
        <v>48</v>
      </c>
      <c r="K23" s="39" t="s">
        <v>31</v>
      </c>
      <c r="L23" s="39" t="s">
        <v>32</v>
      </c>
    </row>
    <row r="24" spans="1:16" x14ac:dyDescent="0.25">
      <c r="A24" s="40">
        <v>12</v>
      </c>
      <c r="B24" s="41">
        <f>_V1*_V2*(_G12*COS(_T1-_T2)+_B12*SIN(_T1-_T2))-_G12*_V1*_V1</f>
        <v>0.46307435383942952</v>
      </c>
      <c r="C24" s="41">
        <f>_V1*_V2*(_G12*COS(_T2-_T1)+_B12*SIN(_T2-_T1))-_G12*_V2*_V2</f>
        <v>-0.45939535872585679</v>
      </c>
      <c r="D24" s="41">
        <f>_V1*_V2*(_G12*SIN(_T1-_T2)-_B12*COS(_T1-_T2))+(_B12)*_V1*_V1</f>
        <v>-0.17558041952659309</v>
      </c>
      <c r="E24" s="41">
        <f>_V2*_V1*(_G21*SIN(_T2-_T1)-_B21*COS(_T2-_T1))+(_B21)*_V2*_V2</f>
        <v>0.18293840975373854</v>
      </c>
      <c r="F24" s="41">
        <f>ABS(B24-C24)/2</f>
        <v>0.46123485628264316</v>
      </c>
      <c r="G24" s="41">
        <f>ABS(D24-E24)/2</f>
        <v>0.17925941464016582</v>
      </c>
      <c r="H24" s="41">
        <f>(F24*F24+G24*G24)^0.5</f>
        <v>0.49484495590761091</v>
      </c>
      <c r="I24" s="40" t="s">
        <v>49</v>
      </c>
      <c r="J24" s="42">
        <v>3</v>
      </c>
      <c r="K24" s="7">
        <f>B24+C24</f>
        <v>3.678995113572725E-3</v>
      </c>
      <c r="L24" s="7">
        <f>D24+E24</f>
        <v>7.35799022714545E-3</v>
      </c>
    </row>
    <row r="25" spans="1:16" x14ac:dyDescent="0.25">
      <c r="A25" s="27">
        <v>13</v>
      </c>
      <c r="B25" s="43">
        <f>_V1*_V3*(_G13*COS(_T1-_T3)+_B13*SIN(_T1-_T3))-_G13*_V1*_V1</f>
        <v>3.0228404531797608</v>
      </c>
      <c r="C25" s="43">
        <f>_V3*_V1*(_G13*COS(_T3-_T1)+_B13*SIN(_T3-_T1))-_G13*_V3*_V3</f>
        <v>-2.9771449919863713</v>
      </c>
      <c r="D25" s="43">
        <f>_V1*_V3*(_G13*SIN(_T1-_T3)-_B13*COS(_T1-_T3))+(_B13)*_V1*_V1</f>
        <v>3.9087508242559466E-2</v>
      </c>
      <c r="E25" s="43">
        <f>_V3*_V1*(_G31*SIN(_T3-_T1)-_B31*COS(_T3-_T1))+(_B31)*_V3*_V3</f>
        <v>5.2303414144219573E-2</v>
      </c>
      <c r="F25" s="43">
        <f t="shared" ref="F25:F26" si="0">ABS(B25-C25)/2</f>
        <v>2.999992722583066</v>
      </c>
      <c r="G25" s="43">
        <f t="shared" ref="G25:G26" si="1">ABS(D25-E25)/2</f>
        <v>6.6079529508300539E-3</v>
      </c>
      <c r="H25" s="43">
        <f t="shared" ref="H25:H26" si="2">(F25*F25+G25*G25)^0.5</f>
        <v>3.0000000000989262</v>
      </c>
      <c r="I25" s="27" t="s">
        <v>49</v>
      </c>
      <c r="J25" s="44">
        <v>3</v>
      </c>
      <c r="K25" s="7">
        <f>B25+C25</f>
        <v>4.5695461193389519E-2</v>
      </c>
      <c r="L25" s="7">
        <f>D25+E25</f>
        <v>9.1390922386779039E-2</v>
      </c>
    </row>
    <row r="26" spans="1:16" x14ac:dyDescent="0.25">
      <c r="A26" s="45">
        <v>23</v>
      </c>
      <c r="B26" s="46">
        <f>_V2*_V3*(_G23*COS(_T2-_T3)+_B23*SIN(_T2-_T3))-_G23*_V2*_V2</f>
        <v>1.0934839228006723</v>
      </c>
      <c r="C26" s="46">
        <f>_V3*_V2*(_G23*COS(_T3-_T2)+_B23*SIN(_T3-_T2))-_G23*_V3*_V3</f>
        <v>-1.0835210295483328</v>
      </c>
      <c r="D26" s="46">
        <f>_V2*_V3*(_G23*SIN(_T2-_T3)-_B23*COS(_T2-_T3))+(_B23)*_V2*_V2</f>
        <v>0.35858790038991373</v>
      </c>
      <c r="E26" s="46">
        <f>_V3*_V2*(_G32*SIN(_T3-_T2)-_B32*COS(_T3-_T2))+(_B32)*_V3*_V3</f>
        <v>-0.33866211388523482</v>
      </c>
      <c r="F26" s="46">
        <f t="shared" si="0"/>
        <v>1.0885024761745026</v>
      </c>
      <c r="G26" s="46">
        <f t="shared" si="1"/>
        <v>0.34862500713757427</v>
      </c>
      <c r="H26" s="46">
        <f t="shared" si="2"/>
        <v>1.1429685193563719</v>
      </c>
      <c r="I26" s="45" t="s">
        <v>49</v>
      </c>
      <c r="J26" s="47">
        <v>3</v>
      </c>
      <c r="K26" s="22">
        <f>B26+C26</f>
        <v>9.9628932523394553E-3</v>
      </c>
      <c r="L26" s="22">
        <f>D26+E26</f>
        <v>1.9925786504678911E-2</v>
      </c>
    </row>
    <row r="27" spans="1:16" x14ac:dyDescent="0.25">
      <c r="B27" s="8"/>
      <c r="C27" s="8"/>
      <c r="D27" s="8"/>
      <c r="E27" s="8"/>
      <c r="K27" s="7">
        <f>SUM(K24:K26)</f>
        <v>5.93373495593017E-2</v>
      </c>
      <c r="L27" s="7">
        <f>SUM(L24:L26)</f>
        <v>0.1186746991186034</v>
      </c>
    </row>
    <row r="28" spans="1:16" x14ac:dyDescent="0.25">
      <c r="B28" s="8"/>
      <c r="D28" s="8"/>
    </row>
    <row r="29" spans="1:16" x14ac:dyDescent="0.25">
      <c r="B29" s="8"/>
      <c r="D29" s="8"/>
    </row>
  </sheetData>
  <mergeCells count="10">
    <mergeCell ref="G16:H16"/>
    <mergeCell ref="K16:L16"/>
    <mergeCell ref="K17:L17"/>
    <mergeCell ref="K22:L22"/>
    <mergeCell ref="A8:B8"/>
    <mergeCell ref="C8:D8"/>
    <mergeCell ref="E8:F8"/>
    <mergeCell ref="G8:H8"/>
    <mergeCell ref="L12:M12"/>
    <mergeCell ref="C15:E15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zoomScale="80" zoomScaleNormal="80" zoomScalePageLayoutView="150" workbookViewId="0">
      <selection activeCell="L19" sqref="L19:N20"/>
    </sheetView>
  </sheetViews>
  <sheetFormatPr baseColWidth="10" defaultRowHeight="15" x14ac:dyDescent="0.25"/>
  <cols>
    <col min="1" max="1" width="9.7109375" customWidth="1"/>
    <col min="2" max="2" width="7.7109375" customWidth="1"/>
    <col min="3" max="3" width="13.85546875" customWidth="1"/>
    <col min="4" max="4" width="10.7109375" customWidth="1"/>
    <col min="5" max="5" width="14.42578125" customWidth="1"/>
    <col min="6" max="6" width="11" customWidth="1"/>
    <col min="7" max="7" width="7.85546875" customWidth="1"/>
    <col min="8" max="8" width="13.7109375" customWidth="1"/>
    <col min="9" max="9" width="2.28515625" customWidth="1"/>
    <col min="10" max="10" width="8.5703125" customWidth="1"/>
    <col min="11" max="11" width="10.5703125" customWidth="1"/>
    <col min="12" max="12" width="14.42578125" customWidth="1"/>
    <col min="13" max="13" width="10.42578125" customWidth="1"/>
    <col min="14" max="14" width="11.42578125" customWidth="1"/>
    <col min="15" max="15" width="9.85546875" customWidth="1"/>
    <col min="16" max="17" width="10.85546875" customWidth="1"/>
  </cols>
  <sheetData>
    <row r="1" spans="1:19" x14ac:dyDescent="0.25">
      <c r="A1" s="3" t="s">
        <v>0</v>
      </c>
      <c r="B1" s="3">
        <v>10</v>
      </c>
      <c r="C1" s="3" t="s">
        <v>3</v>
      </c>
      <c r="D1" t="s">
        <v>41</v>
      </c>
      <c r="E1" s="16">
        <v>3</v>
      </c>
      <c r="G1" t="s">
        <v>44</v>
      </c>
      <c r="H1">
        <f>$B$3*E1</f>
        <v>1.4999999999999999E-2</v>
      </c>
      <c r="I1" s="1" t="s">
        <v>4</v>
      </c>
      <c r="J1">
        <f>E1*$C$3</f>
        <v>0.03</v>
      </c>
      <c r="M1" s="2" t="s">
        <v>78</v>
      </c>
      <c r="N1" s="51">
        <f>_PG2</f>
        <v>1</v>
      </c>
      <c r="O1" s="73">
        <f>_QG2</f>
        <v>0.4187083079350914</v>
      </c>
    </row>
    <row r="2" spans="1:19" x14ac:dyDescent="0.25">
      <c r="A2" s="3" t="s">
        <v>1</v>
      </c>
      <c r="B2" s="3">
        <v>69</v>
      </c>
      <c r="C2" s="3" t="s">
        <v>2</v>
      </c>
      <c r="D2" t="s">
        <v>42</v>
      </c>
      <c r="E2" s="16">
        <v>1</v>
      </c>
      <c r="G2" t="s">
        <v>45</v>
      </c>
      <c r="H2" s="61">
        <f>$B$3*E2</f>
        <v>5.0000000000000001E-3</v>
      </c>
      <c r="I2" s="1" t="s">
        <v>4</v>
      </c>
      <c r="J2" s="61">
        <f>E2*$C$3</f>
        <v>0.01</v>
      </c>
    </row>
    <row r="3" spans="1:19" x14ac:dyDescent="0.25">
      <c r="A3" t="s">
        <v>54</v>
      </c>
      <c r="B3">
        <v>5.0000000000000001E-3</v>
      </c>
      <c r="C3" s="23">
        <v>0.01</v>
      </c>
      <c r="D3" t="s">
        <v>43</v>
      </c>
      <c r="E3" s="16">
        <v>1.5</v>
      </c>
      <c r="G3" t="s">
        <v>46</v>
      </c>
      <c r="H3">
        <f>$B$3*E3</f>
        <v>7.4999999999999997E-3</v>
      </c>
      <c r="I3" s="1" t="s">
        <v>4</v>
      </c>
      <c r="J3">
        <f>E3*$C$3</f>
        <v>1.4999999999999999E-2</v>
      </c>
      <c r="K3" s="6"/>
      <c r="L3" s="6"/>
      <c r="M3" s="6" t="s">
        <v>82</v>
      </c>
      <c r="N3" s="6"/>
      <c r="O3" s="6"/>
    </row>
    <row r="4" spans="1:19" x14ac:dyDescent="0.25">
      <c r="A4" s="2" t="s">
        <v>55</v>
      </c>
      <c r="B4" s="14">
        <f>H1/(H1*H1+J1*J1)+H2/(H2*H2+J2*J2)</f>
        <v>53.333333333333336</v>
      </c>
      <c r="C4" s="13">
        <f>-H1/(H1*H1+J1*J1)</f>
        <v>-13.333333333333334</v>
      </c>
      <c r="D4" s="13">
        <f>-H2/(H2*H2+J2*J2)</f>
        <v>-40</v>
      </c>
      <c r="F4" s="15">
        <f>-J1/(H1*H1+J1*J1)-J2/(J2*J2+H2*H2)</f>
        <v>-106.66666666666667</v>
      </c>
      <c r="G4" s="15">
        <f>J1/(J1*J1+H1*H1)</f>
        <v>26.666666666666668</v>
      </c>
      <c r="H4" s="15">
        <f>J2/(J2*J2+H2*H2)</f>
        <v>80</v>
      </c>
      <c r="K4" s="48">
        <f>_PG1</f>
        <v>5.0876661405423391</v>
      </c>
      <c r="L4" s="6"/>
      <c r="M4" s="24">
        <f>H24</f>
        <v>0.78310089669110883</v>
      </c>
      <c r="N4" s="6"/>
      <c r="O4" s="6"/>
      <c r="P4" s="6"/>
    </row>
    <row r="5" spans="1:19" x14ac:dyDescent="0.25">
      <c r="A5" s="2" t="s">
        <v>17</v>
      </c>
      <c r="B5" s="13">
        <f>_G12</f>
        <v>-13.333333333333334</v>
      </c>
      <c r="C5" s="13">
        <f>H1/(H1*H1+J1*J1)+H3/(H3*H3+J3*J3)</f>
        <v>40</v>
      </c>
      <c r="D5" s="13">
        <f>-H3/(H3*H3+J3*J3)</f>
        <v>-26.666666666666668</v>
      </c>
      <c r="E5" s="1" t="s">
        <v>4</v>
      </c>
      <c r="F5" s="15">
        <f>_B12</f>
        <v>26.666666666666668</v>
      </c>
      <c r="G5" s="15">
        <f>-J1/(J1*J1+H1*H1)-J3/(J3*J3+H3*H3)</f>
        <v>-80</v>
      </c>
      <c r="H5" s="15">
        <f>J3/(J3*J3+H3*H3)</f>
        <v>53.333333333333336</v>
      </c>
      <c r="K5" s="52">
        <f>_QG1</f>
        <v>-2.6068432397380548E-2</v>
      </c>
      <c r="L5" s="6"/>
      <c r="M5" s="6"/>
      <c r="N5" s="6"/>
      <c r="O5" s="6"/>
      <c r="P5" s="71">
        <f>_PD2</f>
        <v>0.49887272617457812</v>
      </c>
      <c r="Q5" s="74">
        <f>_QD2</f>
        <v>0.37415454463093356</v>
      </c>
      <c r="R5" t="s">
        <v>77</v>
      </c>
    </row>
    <row r="6" spans="1:19" x14ac:dyDescent="0.25">
      <c r="B6" s="13">
        <f>D4</f>
        <v>-40</v>
      </c>
      <c r="C6" s="13">
        <f>D5</f>
        <v>-26.666666666666668</v>
      </c>
      <c r="D6" s="13">
        <f>H3/(H3*H3+J3*J3)+H2/(H2*H2+J2*J2)</f>
        <v>66.666666666666671</v>
      </c>
      <c r="F6" s="15">
        <f>_B13</f>
        <v>80</v>
      </c>
      <c r="G6" s="15">
        <f>_B23</f>
        <v>53.333333333333336</v>
      </c>
      <c r="H6" s="15">
        <f>-J2/(J2*J2+H2*H2)-J3/(J3*J3+H3*H3)</f>
        <v>-133.33333333333334</v>
      </c>
      <c r="K6" s="6" t="s">
        <v>80</v>
      </c>
      <c r="L6" s="6"/>
      <c r="M6" s="6"/>
      <c r="N6" s="6"/>
      <c r="O6" s="6" t="s">
        <v>83</v>
      </c>
      <c r="P6" s="6"/>
    </row>
    <row r="7" spans="1:19" s="27" customFormat="1" ht="6.95" customHeight="1" x14ac:dyDescent="0.25">
      <c r="B7" s="26"/>
      <c r="C7" s="29"/>
      <c r="D7" s="29"/>
      <c r="F7" s="30"/>
      <c r="G7" s="31"/>
      <c r="H7" s="31"/>
      <c r="K7" s="28"/>
      <c r="L7" s="28"/>
      <c r="M7" s="28"/>
      <c r="N7" s="28"/>
      <c r="O7" s="28"/>
      <c r="P7" s="28"/>
    </row>
    <row r="8" spans="1:19" s="4" customFormat="1" x14ac:dyDescent="0.25">
      <c r="A8" s="78" t="s">
        <v>56</v>
      </c>
      <c r="B8" s="78"/>
      <c r="C8" s="68" t="s">
        <v>50</v>
      </c>
      <c r="D8" s="68"/>
      <c r="E8" s="68" t="s">
        <v>39</v>
      </c>
      <c r="F8" s="68"/>
      <c r="G8" s="68" t="s">
        <v>40</v>
      </c>
      <c r="H8" s="68"/>
      <c r="J8" s="49" t="s">
        <v>65</v>
      </c>
      <c r="K8" s="6"/>
      <c r="L8" s="6"/>
      <c r="M8" s="6"/>
      <c r="N8" s="6"/>
      <c r="O8" s="25">
        <f>H26</f>
        <v>1.2727637793197655</v>
      </c>
      <c r="P8" s="6"/>
    </row>
    <row r="9" spans="1:19" x14ac:dyDescent="0.25">
      <c r="A9" s="32" t="s">
        <v>57</v>
      </c>
      <c r="B9" s="91">
        <v>1</v>
      </c>
      <c r="C9" s="20" t="s">
        <v>33</v>
      </c>
      <c r="D9" s="55">
        <f>_PG1-_PD1</f>
        <v>5.0876661405423391</v>
      </c>
      <c r="E9" s="54" t="s">
        <v>18</v>
      </c>
      <c r="F9" s="33">
        <f>_V1*_V1*_G11+_V1*_V2*(_G12*COS(_T1-_T2)+_B12*SIN(_T1-_T2))+_V1*_V3*(_G13*COS(_T1-_T3)+_B13*SIN(_T1-_T3))</f>
        <v>5.0876661405423391</v>
      </c>
      <c r="G9" s="80" t="s">
        <v>24</v>
      </c>
      <c r="H9" s="81">
        <v>0</v>
      </c>
      <c r="J9" s="17">
        <v>5</v>
      </c>
      <c r="K9" s="6"/>
      <c r="L9" s="6" t="s">
        <v>81</v>
      </c>
      <c r="M9" s="48">
        <f>H25</f>
        <v>4.2553740131241256</v>
      </c>
      <c r="N9" s="6"/>
      <c r="O9" s="6"/>
      <c r="P9" s="6"/>
    </row>
    <row r="10" spans="1:19" x14ac:dyDescent="0.25">
      <c r="A10" s="32" t="s">
        <v>60</v>
      </c>
      <c r="B10" s="92">
        <v>0.98909235518744121</v>
      </c>
      <c r="C10" s="20" t="s">
        <v>34</v>
      </c>
      <c r="D10" s="83">
        <f>_PG2-_PD2-(_V2*_V2*_G22+_V2*_V1*(_G21*COS(_T2-_T1)+_B21*SIN(_T2-_T1))+_V2*_V3*(_G23*COS(_T2-_T3)+_B23*SIN(_T2-_T3)))</f>
        <v>4.4343417826553377E-12</v>
      </c>
      <c r="E10" s="32" t="s">
        <v>19</v>
      </c>
      <c r="F10" s="33">
        <v>1</v>
      </c>
      <c r="G10" s="32" t="s">
        <v>25</v>
      </c>
      <c r="H10" s="86">
        <v>0.49887272617457812</v>
      </c>
      <c r="J10" s="17">
        <v>5</v>
      </c>
      <c r="K10" s="6"/>
      <c r="L10" s="6"/>
      <c r="M10" s="6"/>
      <c r="N10" s="6"/>
      <c r="O10" s="6"/>
      <c r="P10" s="6"/>
      <c r="Q10" s="65">
        <f>_PG3</f>
        <v>-2</v>
      </c>
      <c r="R10" s="72">
        <f>_QG3</f>
        <v>2.8160013947177802</v>
      </c>
      <c r="S10" t="s">
        <v>76</v>
      </c>
    </row>
    <row r="11" spans="1:19" x14ac:dyDescent="0.25">
      <c r="A11" s="32" t="s">
        <v>58</v>
      </c>
      <c r="B11" s="92">
        <v>0.97950043837911915</v>
      </c>
      <c r="C11" s="20" t="s">
        <v>35</v>
      </c>
      <c r="D11" s="83">
        <f>_PG3-_PD3-(_V3*_V3*_G33+_V3*_V1*(_G31*COS(_T3-_T1)+_B31*SIN(_T3-_T1))+_V3*_V2*(_G32*COS(_T3-_T2)+_B32*SIN(_T3-_T2)))</f>
        <v>5.8539839642435254E-12</v>
      </c>
      <c r="E11" s="89" t="s">
        <v>20</v>
      </c>
      <c r="F11" s="90">
        <v>-2</v>
      </c>
      <c r="G11" s="32" t="s">
        <v>26</v>
      </c>
      <c r="H11" s="86">
        <v>3.4744800824960871</v>
      </c>
      <c r="J11" s="50" t="s">
        <v>66</v>
      </c>
      <c r="K11" s="6"/>
      <c r="L11" s="6"/>
      <c r="M11" s="6"/>
      <c r="N11" s="6"/>
      <c r="O11" s="6"/>
      <c r="P11" s="6"/>
    </row>
    <row r="12" spans="1:19" x14ac:dyDescent="0.25">
      <c r="A12" s="32" t="s">
        <v>59</v>
      </c>
      <c r="B12" s="91">
        <v>0</v>
      </c>
      <c r="C12" s="20" t="s">
        <v>36</v>
      </c>
      <c r="D12" s="55">
        <f>_QG1-_QD1</f>
        <v>-2.6068432397380548E-2</v>
      </c>
      <c r="E12" s="54" t="s">
        <v>21</v>
      </c>
      <c r="F12" s="33">
        <f>-_V1*_V1*_B11+_V1*_V2*(_G12*SIN(_T1-_T2)-_B12*COS(_T1-_T2))+_V1*_V3*(_G13*SIN(_T1-_T3)-_B13*COS(_T1-_T3))</f>
        <v>-2.6068432397380548E-2</v>
      </c>
      <c r="G12" s="32" t="s">
        <v>27</v>
      </c>
      <c r="H12" s="53">
        <v>0</v>
      </c>
      <c r="J12" s="50">
        <v>2</v>
      </c>
      <c r="K12" s="6"/>
      <c r="L12" s="85" t="s">
        <v>79</v>
      </c>
      <c r="M12" s="85"/>
      <c r="N12" s="71">
        <f>_PD3</f>
        <v>3.4744800824960871</v>
      </c>
      <c r="O12" s="73">
        <f>_QD3</f>
        <v>2.6058600618720655</v>
      </c>
      <c r="P12" s="6"/>
    </row>
    <row r="13" spans="1:19" x14ac:dyDescent="0.25">
      <c r="A13" s="32" t="s">
        <v>61</v>
      </c>
      <c r="B13" s="92">
        <v>-2.4187287493299368E-2</v>
      </c>
      <c r="C13" s="20" t="s">
        <v>37</v>
      </c>
      <c r="D13" s="83">
        <f>_QG2-_QD2-(-_V2*_V2*_B22+_V2*_V1*(_G21*SIN(_T2-_T1)-_B21*COS(_T2-_T1))+_V2*_V3*(_G23*SIN(_T2-_T3)-_B23*COS(_T2-_T3)))</f>
        <v>1.8324564088345596E-11</v>
      </c>
      <c r="E13" s="32" t="s">
        <v>22</v>
      </c>
      <c r="F13" s="87">
        <v>0.4187083079350914</v>
      </c>
      <c r="G13" s="32" t="s">
        <v>28</v>
      </c>
      <c r="H13" s="76">
        <f>0.75*_PD2</f>
        <v>0.37415454463093356</v>
      </c>
      <c r="J13" s="50">
        <v>2</v>
      </c>
      <c r="K13" t="s">
        <v>70</v>
      </c>
      <c r="L13">
        <v>5</v>
      </c>
      <c r="M13" t="s">
        <v>72</v>
      </c>
    </row>
    <row r="14" spans="1:19" x14ac:dyDescent="0.25">
      <c r="A14" s="34" t="s">
        <v>62</v>
      </c>
      <c r="B14" s="93">
        <v>-4.3948065896934473E-2</v>
      </c>
      <c r="C14" s="21" t="s">
        <v>38</v>
      </c>
      <c r="D14" s="84">
        <f>_QG3-_QD3-(-_V3*_V3*_B33+_V3*_V1*(_G31*SIN(_T3-_T1)-_B31*COS(_T3-_T1))+_V3*_V2*(_G32*SIN(_T3-_T2)-_B32*COS(_T3-_T2)))</f>
        <v>1.1396217303172307E-11</v>
      </c>
      <c r="E14" s="34" t="s">
        <v>23</v>
      </c>
      <c r="F14" s="88">
        <v>2.8160013947177802</v>
      </c>
      <c r="G14" s="34" t="s">
        <v>29</v>
      </c>
      <c r="H14" s="82">
        <f>0.75*_PD3</f>
        <v>2.6058600618720655</v>
      </c>
      <c r="J14" s="59" t="s">
        <v>67</v>
      </c>
      <c r="K14" t="s">
        <v>12</v>
      </c>
      <c r="L14" s="9">
        <f>($L$13-1)*Q14/0.5</f>
        <v>8122.7712049797847</v>
      </c>
      <c r="M14" t="s">
        <v>53</v>
      </c>
      <c r="N14" s="9">
        <f>$L$13*Q14</f>
        <v>5076.7320031123654</v>
      </c>
      <c r="P14" s="4" t="s">
        <v>84</v>
      </c>
      <c r="Q14" s="9">
        <v>1015.3464006224731</v>
      </c>
    </row>
    <row r="15" spans="1:19" x14ac:dyDescent="0.25">
      <c r="B15" s="10"/>
      <c r="C15" s="69" t="s">
        <v>51</v>
      </c>
      <c r="D15" s="69"/>
      <c r="E15" s="69"/>
      <c r="K15" t="s">
        <v>13</v>
      </c>
      <c r="L15" s="9">
        <f>($L$13-1)*Q15/3.5</f>
        <v>1160.3965479614349</v>
      </c>
      <c r="M15" t="s">
        <v>64</v>
      </c>
      <c r="N15" s="9">
        <f>$L$13*Q15</f>
        <v>5076.7348973312783</v>
      </c>
      <c r="P15" s="4" t="s">
        <v>84</v>
      </c>
      <c r="Q15" s="9">
        <v>1015.3469794662556</v>
      </c>
    </row>
    <row r="16" spans="1:19" x14ac:dyDescent="0.25">
      <c r="B16" s="10"/>
      <c r="C16" s="2" t="s">
        <v>68</v>
      </c>
      <c r="D16">
        <v>1000</v>
      </c>
      <c r="E16">
        <v>0</v>
      </c>
      <c r="G16" s="70" t="s">
        <v>30</v>
      </c>
      <c r="H16" s="70"/>
      <c r="K16" s="66" t="s">
        <v>73</v>
      </c>
      <c r="L16" s="66"/>
      <c r="M16" s="63">
        <f>N14-L14*_PD2</f>
        <v>1024.5029879917374</v>
      </c>
      <c r="N16" t="s">
        <v>63</v>
      </c>
      <c r="O16" t="s">
        <v>14</v>
      </c>
      <c r="P16" s="9">
        <f>N14*_PD2-0.5*L14*_PD2^2</f>
        <v>1521.8698665219158</v>
      </c>
    </row>
    <row r="17" spans="1:16" x14ac:dyDescent="0.25">
      <c r="B17" s="10"/>
      <c r="C17" s="2" t="s">
        <v>69</v>
      </c>
      <c r="D17">
        <v>0</v>
      </c>
      <c r="E17">
        <v>0</v>
      </c>
      <c r="G17" s="58" t="s">
        <v>31</v>
      </c>
      <c r="H17" s="58" t="s">
        <v>32</v>
      </c>
      <c r="K17" s="66" t="s">
        <v>74</v>
      </c>
      <c r="L17" s="66"/>
      <c r="M17" s="63">
        <f>N15-L15*_PD3</f>
        <v>1044.9602036420574</v>
      </c>
      <c r="N17" t="s">
        <v>63</v>
      </c>
      <c r="O17" t="s">
        <v>15</v>
      </c>
      <c r="P17" s="9">
        <f>N15*_PD3-0.5*L15*_PD3^2</f>
        <v>10634.853849722866</v>
      </c>
    </row>
    <row r="18" spans="1:16" x14ac:dyDescent="0.25">
      <c r="B18" s="10"/>
      <c r="C18" s="4" t="s">
        <v>47</v>
      </c>
      <c r="D18" s="4"/>
      <c r="E18" s="5">
        <f>$D$16*_PG1+$E$16*_PG1^2+$D$17*_PG2+$E$17*_PG2^2</f>
        <v>5087.6661405423392</v>
      </c>
      <c r="G18" s="11">
        <f>_PG1+_PG2+_PG3-_PD1-_PD2-_PD3</f>
        <v>0.11431333187167381</v>
      </c>
      <c r="H18" s="12">
        <f>_QG1+_QG2+_QG3-_QD1-_QD2-_QD3</f>
        <v>0.22862666375249185</v>
      </c>
      <c r="O18" s="18" t="s">
        <v>16</v>
      </c>
      <c r="P18" s="19">
        <f>SUM(P16:P17)</f>
        <v>12156.723716244782</v>
      </c>
    </row>
    <row r="19" spans="1:16" x14ac:dyDescent="0.25">
      <c r="B19" s="10"/>
      <c r="C19" s="4"/>
      <c r="D19" s="4"/>
      <c r="E19" s="5"/>
      <c r="G19" s="62"/>
      <c r="H19" s="62"/>
      <c r="L19" t="s">
        <v>75</v>
      </c>
      <c r="M19">
        <f>M16/B1</f>
        <v>102.45029879917374</v>
      </c>
      <c r="N19" t="s">
        <v>85</v>
      </c>
    </row>
    <row r="20" spans="1:16" x14ac:dyDescent="0.25">
      <c r="B20" s="10"/>
      <c r="C20" s="4"/>
      <c r="D20" s="4"/>
      <c r="E20" s="5"/>
      <c r="G20" s="62"/>
      <c r="H20" s="62"/>
      <c r="L20" t="s">
        <v>86</v>
      </c>
      <c r="M20">
        <f>M17/B1</f>
        <v>104.49602036420575</v>
      </c>
      <c r="N20" t="s">
        <v>85</v>
      </c>
    </row>
    <row r="21" spans="1:16" x14ac:dyDescent="0.25">
      <c r="B21" s="10"/>
      <c r="C21" s="75" t="s">
        <v>71</v>
      </c>
      <c r="D21" s="56"/>
      <c r="E21" s="57">
        <f>P18-E18</f>
        <v>7069.0575757024426</v>
      </c>
    </row>
    <row r="22" spans="1:16" x14ac:dyDescent="0.25">
      <c r="A22" t="s">
        <v>52</v>
      </c>
      <c r="B22" s="60"/>
      <c r="C22" s="60"/>
      <c r="D22" s="60"/>
      <c r="E22" s="60"/>
      <c r="F22" s="60"/>
      <c r="G22" s="60"/>
      <c r="H22" s="60"/>
      <c r="K22" s="67" t="s">
        <v>30</v>
      </c>
      <c r="L22" s="67"/>
    </row>
    <row r="23" spans="1:16" x14ac:dyDescent="0.25">
      <c r="A23" s="35"/>
      <c r="B23" s="36" t="s">
        <v>5</v>
      </c>
      <c r="C23" s="36" t="s">
        <v>6</v>
      </c>
      <c r="D23" s="36" t="s">
        <v>7</v>
      </c>
      <c r="E23" s="36" t="s">
        <v>8</v>
      </c>
      <c r="F23" s="36" t="s">
        <v>9</v>
      </c>
      <c r="G23" s="36" t="s">
        <v>10</v>
      </c>
      <c r="H23" s="36" t="s">
        <v>11</v>
      </c>
      <c r="I23" s="37"/>
      <c r="J23" s="38" t="s">
        <v>48</v>
      </c>
      <c r="K23" s="39" t="s">
        <v>31</v>
      </c>
      <c r="L23" s="39" t="s">
        <v>32</v>
      </c>
    </row>
    <row r="24" spans="1:16" x14ac:dyDescent="0.25">
      <c r="A24" s="40">
        <v>12</v>
      </c>
      <c r="B24" s="41">
        <f>_V1*_V2*(_G12*COS(_T1-_T2)+_B12*SIN(_T1-_T2))-_G12*_V1*_V1</f>
        <v>0.78718946256010902</v>
      </c>
      <c r="C24" s="41">
        <f>_V1*_V2*(_G12*COS(_T2-_T1)+_B12*SIN(_T2-_T1))-_G12*_V2*_V2</f>
        <v>-0.77788823404601715</v>
      </c>
      <c r="D24" s="41">
        <f>_V1*_V2*(_G12*SIN(_T1-_T2)-_B12*COS(_T1-_T2))+(_B12)*_V1*_V1</f>
        <v>-2.0362980474761372E-2</v>
      </c>
      <c r="E24" s="41">
        <f>_V2*_V1*(_G21*SIN(_T2-_T1)-_B21*COS(_T2-_T1))+(_B21)*_V2*_V2</f>
        <v>3.8965437502941569E-2</v>
      </c>
      <c r="F24" s="41">
        <f>ABS(B24-C24)/2</f>
        <v>0.78253884830306308</v>
      </c>
      <c r="G24" s="41">
        <f>ABS(D24-E24)/2</f>
        <v>2.966420898885147E-2</v>
      </c>
      <c r="H24" s="41">
        <f>(F24*F24+G24*G24)^0.5</f>
        <v>0.78310089669110883</v>
      </c>
      <c r="I24" s="40" t="s">
        <v>49</v>
      </c>
      <c r="J24" s="42">
        <v>3</v>
      </c>
      <c r="K24" s="7">
        <f>B24+C24</f>
        <v>9.3012285140918749E-3</v>
      </c>
      <c r="L24" s="7">
        <f>D24+E24</f>
        <v>1.8602457028180197E-2</v>
      </c>
    </row>
    <row r="25" spans="1:16" x14ac:dyDescent="0.25">
      <c r="A25" s="27">
        <v>13</v>
      </c>
      <c r="B25" s="43">
        <f>_V1*_V3*(_G13*COS(_T1-_T3)+_B13*SIN(_T1-_T3))-_G13*_V1*_V1</f>
        <v>4.3004766779822319</v>
      </c>
      <c r="C25" s="43">
        <f>_V3*_V1*(_G13*COS(_T3-_T1)+_B13*SIN(_T3-_T1))-_G13*_V3*_V3</f>
        <v>-4.2080060169319822</v>
      </c>
      <c r="D25" s="43">
        <f>_V1*_V3*(_G13*SIN(_T1-_T3)-_B13*COS(_T1-_T3))+(_B13)*_V1*_V1</f>
        <v>-5.7054519226227285E-3</v>
      </c>
      <c r="E25" s="43">
        <f>_V3*_V1*(_G31*SIN(_T3-_T1)-_B31*COS(_T3-_T1))+(_B31)*_V3*_V3</f>
        <v>0.19064677402312213</v>
      </c>
      <c r="F25" s="43">
        <f t="shared" ref="F25:F26" si="0">ABS(B25-C25)/2</f>
        <v>4.254241347457107</v>
      </c>
      <c r="G25" s="43">
        <f t="shared" ref="G25:G26" si="1">ABS(D25-E25)/2</f>
        <v>9.8176112972872431E-2</v>
      </c>
      <c r="H25" s="43">
        <f t="shared" ref="H25:H26" si="2">(F25*F25+G25*G25)^0.5</f>
        <v>4.2553740131241256</v>
      </c>
      <c r="I25" s="27" t="s">
        <v>49</v>
      </c>
      <c r="J25" s="44">
        <v>3</v>
      </c>
      <c r="K25" s="7">
        <f>B25+C25</f>
        <v>9.2470661050249703E-2</v>
      </c>
      <c r="L25" s="7">
        <f>D25+E25</f>
        <v>0.18494132210049941</v>
      </c>
    </row>
    <row r="26" spans="1:16" x14ac:dyDescent="0.25">
      <c r="A26" s="45">
        <v>23</v>
      </c>
      <c r="B26" s="46">
        <f>_V2*_V3*(_G23*COS(_T2-_T3)+_B23*SIN(_T2-_T3))-_G23*_V2*_V2</f>
        <v>1.2790155078669976</v>
      </c>
      <c r="C26" s="46">
        <f>_V3*_V2*(_G23*COS(_T3-_T2)+_B23*SIN(_T3-_T2))-_G23*_V3*_V3</f>
        <v>-1.266474065569966</v>
      </c>
      <c r="D26" s="46">
        <f>_V2*_V3*(_G23*SIN(_T2-_T3)-_B23*COS(_T2-_T3))+(_B23)*_V2*_V2</f>
        <v>5.5883257828810429E-3</v>
      </c>
      <c r="E26" s="46">
        <f>_V3*_V2*(_G32*SIN(_T3-_T2)-_B32*COS(_T3-_T2))+(_B32)*_V3*_V3</f>
        <v>1.9494558811182117E-2</v>
      </c>
      <c r="F26" s="46">
        <f t="shared" si="0"/>
        <v>1.2727447867184818</v>
      </c>
      <c r="G26" s="46">
        <f t="shared" si="1"/>
        <v>6.9531165141505369E-3</v>
      </c>
      <c r="H26" s="46">
        <f t="shared" si="2"/>
        <v>1.2727637793197655</v>
      </c>
      <c r="I26" s="45" t="s">
        <v>49</v>
      </c>
      <c r="J26" s="47">
        <v>3</v>
      </c>
      <c r="K26" s="22">
        <f>B26+C26</f>
        <v>1.254144229703158E-2</v>
      </c>
      <c r="L26" s="22">
        <f>D26+E26</f>
        <v>2.508288459406316E-2</v>
      </c>
    </row>
    <row r="27" spans="1:16" x14ac:dyDescent="0.25">
      <c r="B27" s="8"/>
      <c r="C27" s="8"/>
      <c r="D27" s="8"/>
      <c r="E27" s="8"/>
      <c r="K27" s="7">
        <f>SUM(K24:K26)</f>
        <v>0.11431333186137316</v>
      </c>
      <c r="L27" s="7">
        <f>SUM(L24:L26)</f>
        <v>0.22862666372274276</v>
      </c>
    </row>
    <row r="28" spans="1:16" x14ac:dyDescent="0.25">
      <c r="B28" s="8"/>
      <c r="D28" s="8"/>
    </row>
    <row r="29" spans="1:16" x14ac:dyDescent="0.25">
      <c r="B29" s="8"/>
      <c r="D29" s="8"/>
    </row>
  </sheetData>
  <mergeCells count="10">
    <mergeCell ref="K16:L16"/>
    <mergeCell ref="K17:L17"/>
    <mergeCell ref="K22:L22"/>
    <mergeCell ref="A8:B8"/>
    <mergeCell ref="C8:D8"/>
    <mergeCell ref="E8:F8"/>
    <mergeCell ref="G8:H8"/>
    <mergeCell ref="C15:E15"/>
    <mergeCell ref="G16:H16"/>
    <mergeCell ref="L12:M1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1F3C348D783E41B50C3FE538E08429" ma:contentTypeVersion="10" ma:contentTypeDescription="Crear nuevo documento." ma:contentTypeScope="" ma:versionID="f304509d66909042bf67931068244683">
  <xsd:schema xmlns:xsd="http://www.w3.org/2001/XMLSchema" xmlns:xs="http://www.w3.org/2001/XMLSchema" xmlns:p="http://schemas.microsoft.com/office/2006/metadata/properties" xmlns:ns2="08a428ba-54e0-4a87-8abc-efd4c9075b52" xmlns:ns3="4bc9d0d0-6869-4661-9041-78f7e0908074" targetNamespace="http://schemas.microsoft.com/office/2006/metadata/properties" ma:root="true" ma:fieldsID="47d0557fbe4d0a96ac3526332bd234e2" ns2:_="" ns3:_="">
    <xsd:import namespace="08a428ba-54e0-4a87-8abc-efd4c9075b52"/>
    <xsd:import namespace="4bc9d0d0-6869-4661-9041-78f7e09080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428ba-54e0-4a87-8abc-efd4c9075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9d0d0-6869-4661-9041-78f7e090807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54b6ac-1488-4c01-8827-7299f566fc14}" ma:internalName="TaxCatchAll" ma:showField="CatchAllData" ma:web="4bc9d0d0-6869-4661-9041-78f7e09080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a428ba-54e0-4a87-8abc-efd4c9075b52">
      <Terms xmlns="http://schemas.microsoft.com/office/infopath/2007/PartnerControls"/>
    </lcf76f155ced4ddcb4097134ff3c332f>
    <TaxCatchAll xmlns="4bc9d0d0-6869-4661-9041-78f7e0908074" xsi:nil="true"/>
  </documentManagement>
</p:properties>
</file>

<file path=customXml/itemProps1.xml><?xml version="1.0" encoding="utf-8"?>
<ds:datastoreItem xmlns:ds="http://schemas.openxmlformats.org/officeDocument/2006/customXml" ds:itemID="{875E5376-D38C-4E6B-9C7F-0B83D5D8D629}"/>
</file>

<file path=customXml/itemProps2.xml><?xml version="1.0" encoding="utf-8"?>
<ds:datastoreItem xmlns:ds="http://schemas.openxmlformats.org/officeDocument/2006/customXml" ds:itemID="{A3839894-FDA5-4744-8BB4-9C1F89210DAA}"/>
</file>

<file path=customXml/itemProps3.xml><?xml version="1.0" encoding="utf-8"?>
<ds:datastoreItem xmlns:ds="http://schemas.openxmlformats.org/officeDocument/2006/customXml" ds:itemID="{91FD623F-E00E-4C3E-B7DA-D74BBEBF4C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72</vt:i4>
      </vt:variant>
    </vt:vector>
  </HeadingPairs>
  <TitlesOfParts>
    <vt:vector size="74" baseType="lpstr">
      <vt:lpstr>Con Límites de Transporte</vt:lpstr>
      <vt:lpstr>Sin Límites de Transporte</vt:lpstr>
      <vt:lpstr>'Con Límites de Transporte'!_B11</vt:lpstr>
      <vt:lpstr>'Sin Límites de Transporte'!_B11</vt:lpstr>
      <vt:lpstr>'Con Límites de Transporte'!_B12</vt:lpstr>
      <vt:lpstr>'Sin Límites de Transporte'!_B12</vt:lpstr>
      <vt:lpstr>'Con Límites de Transporte'!_B13</vt:lpstr>
      <vt:lpstr>'Sin Límites de Transporte'!_B13</vt:lpstr>
      <vt:lpstr>'Con Límites de Transporte'!_B21</vt:lpstr>
      <vt:lpstr>'Sin Límites de Transporte'!_B21</vt:lpstr>
      <vt:lpstr>'Con Límites de Transporte'!_B22</vt:lpstr>
      <vt:lpstr>'Sin Límites de Transporte'!_B22</vt:lpstr>
      <vt:lpstr>'Con Límites de Transporte'!_B23</vt:lpstr>
      <vt:lpstr>'Sin Límites de Transporte'!_B23</vt:lpstr>
      <vt:lpstr>'Con Límites de Transporte'!_B31</vt:lpstr>
      <vt:lpstr>'Sin Límites de Transporte'!_B31</vt:lpstr>
      <vt:lpstr>'Con Límites de Transporte'!_B32</vt:lpstr>
      <vt:lpstr>'Sin Límites de Transporte'!_B32</vt:lpstr>
      <vt:lpstr>'Con Límites de Transporte'!_B33</vt:lpstr>
      <vt:lpstr>'Sin Límites de Transporte'!_B33</vt:lpstr>
      <vt:lpstr>'Con Límites de Transporte'!_G11</vt:lpstr>
      <vt:lpstr>'Sin Límites de Transporte'!_G11</vt:lpstr>
      <vt:lpstr>'Con Límites de Transporte'!_G12</vt:lpstr>
      <vt:lpstr>'Sin Límites de Transporte'!_G12</vt:lpstr>
      <vt:lpstr>'Con Límites de Transporte'!_G13</vt:lpstr>
      <vt:lpstr>'Sin Límites de Transporte'!_G13</vt:lpstr>
      <vt:lpstr>'Con Límites de Transporte'!_G21</vt:lpstr>
      <vt:lpstr>'Sin Límites de Transporte'!_G21</vt:lpstr>
      <vt:lpstr>'Con Límites de Transporte'!_G22</vt:lpstr>
      <vt:lpstr>'Sin Límites de Transporte'!_G22</vt:lpstr>
      <vt:lpstr>'Con Límites de Transporte'!_G23</vt:lpstr>
      <vt:lpstr>'Sin Límites de Transporte'!_G23</vt:lpstr>
      <vt:lpstr>'Con Límites de Transporte'!_G31</vt:lpstr>
      <vt:lpstr>'Sin Límites de Transporte'!_G31</vt:lpstr>
      <vt:lpstr>'Con Límites de Transporte'!_G32</vt:lpstr>
      <vt:lpstr>'Sin Límites de Transporte'!_G32</vt:lpstr>
      <vt:lpstr>'Con Límites de Transporte'!_G33</vt:lpstr>
      <vt:lpstr>'Sin Límites de Transporte'!_G33</vt:lpstr>
      <vt:lpstr>'Con Límites de Transporte'!_PD1</vt:lpstr>
      <vt:lpstr>'Sin Límites de Transporte'!_PD1</vt:lpstr>
      <vt:lpstr>'Con Límites de Transporte'!_PD2</vt:lpstr>
      <vt:lpstr>'Sin Límites de Transporte'!_PD2</vt:lpstr>
      <vt:lpstr>'Con Límites de Transporte'!_PD3</vt:lpstr>
      <vt:lpstr>'Sin Límites de Transporte'!_PD3</vt:lpstr>
      <vt:lpstr>'Con Límites de Transporte'!_PG1</vt:lpstr>
      <vt:lpstr>'Sin Límites de Transporte'!_PG1</vt:lpstr>
      <vt:lpstr>'Con Límites de Transporte'!_PG2</vt:lpstr>
      <vt:lpstr>'Sin Límites de Transporte'!_PG2</vt:lpstr>
      <vt:lpstr>'Con Límites de Transporte'!_PG3</vt:lpstr>
      <vt:lpstr>'Sin Límites de Transporte'!_PG3</vt:lpstr>
      <vt:lpstr>'Con Límites de Transporte'!_QD1</vt:lpstr>
      <vt:lpstr>'Sin Límites de Transporte'!_QD1</vt:lpstr>
      <vt:lpstr>'Con Límites de Transporte'!_QD2</vt:lpstr>
      <vt:lpstr>'Sin Límites de Transporte'!_QD2</vt:lpstr>
      <vt:lpstr>'Con Límites de Transporte'!_QD3</vt:lpstr>
      <vt:lpstr>'Sin Límites de Transporte'!_QD3</vt:lpstr>
      <vt:lpstr>'Con Límites de Transporte'!_QG1</vt:lpstr>
      <vt:lpstr>'Sin Límites de Transporte'!_QG1</vt:lpstr>
      <vt:lpstr>'Con Límites de Transporte'!_QG2</vt:lpstr>
      <vt:lpstr>'Sin Límites de Transporte'!_QG2</vt:lpstr>
      <vt:lpstr>'Con Límites de Transporte'!_QG3</vt:lpstr>
      <vt:lpstr>'Sin Límites de Transporte'!_QG3</vt:lpstr>
      <vt:lpstr>'Con Límites de Transporte'!_T1</vt:lpstr>
      <vt:lpstr>'Sin Límites de Transporte'!_T1</vt:lpstr>
      <vt:lpstr>'Con Límites de Transporte'!_T2</vt:lpstr>
      <vt:lpstr>'Sin Límites de Transporte'!_T2</vt:lpstr>
      <vt:lpstr>'Con Límites de Transporte'!_T3</vt:lpstr>
      <vt:lpstr>'Sin Límites de Transporte'!_T3</vt:lpstr>
      <vt:lpstr>'Con Límites de Transporte'!_V1</vt:lpstr>
      <vt:lpstr>'Sin Límites de Transporte'!_V1</vt:lpstr>
      <vt:lpstr>'Con Límites de Transporte'!_V2</vt:lpstr>
      <vt:lpstr>'Sin Límites de Transporte'!_V2</vt:lpstr>
      <vt:lpstr>'Con Límites de Transporte'!_V3</vt:lpstr>
      <vt:lpstr>'Sin Límites de Transporte'!_V3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2022-05-08T19:31:57Z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0x010100151F3C348D783E41B50C3FE538E08429</vt:lpwstr>
  </property>
</Properties>
</file>