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m.deoliveiradejes\Dropbox\2024_20\IELE4100_2024_20 - Planificación de Sistemas de Potencia\C10 - Sistemas de Transmisión\Villasana 1985\1985 Villasana Solution Estimation LP MILP MINLP\C10_TEP\"/>
    </mc:Choice>
  </mc:AlternateContent>
  <xr:revisionPtr revIDLastSave="0" documentId="13_ncr:1_{ECEC71DB-D19E-4A93-95EC-E471C3434777}" xr6:coauthVersionLast="47" xr6:coauthVersionMax="47" xr10:uidLastSave="{00000000-0000-0000-0000-000000000000}"/>
  <bookViews>
    <workbookView xWindow="26925" yWindow="2445" windowWidth="23175" windowHeight="10710" xr2:uid="{00000000-000D-0000-FFFF-FFFF00000000}"/>
  </bookViews>
  <sheets>
    <sheet name="garver 6 Mixed-Integer NLP" sheetId="1" r:id="rId1"/>
  </sheets>
  <definedNames>
    <definedName name="_B12">'garver 6 Mixed-Integer NLP'!$H$4</definedName>
    <definedName name="_B14">'garver 6 Mixed-Integer NLP'!$H$5</definedName>
    <definedName name="_B15">'garver 6 Mixed-Integer NLP'!$H$6</definedName>
    <definedName name="_B23">'garver 6 Mixed-Integer NLP'!$H$7</definedName>
    <definedName name="_B24">'garver 6 Mixed-Integer NLP'!$H$8</definedName>
    <definedName name="_B35">'garver 6 Mixed-Integer NLP'!$H$9</definedName>
    <definedName name="solver_adj" localSheetId="0" hidden="1">'garver 6 Mixed-Integer NLP'!$L$10:$L$13,'garver 6 Mixed-Integer NLP'!$I$25:$I$30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'garver 6 Mixed-Integer NLP'!$O$16:$O$25</definedName>
    <definedName name="solver_lhs2" localSheetId="0" hidden="1">'garver 6 Mixed-Integer NLP'!$N$16:$N$25</definedName>
    <definedName name="solver_lhs3" localSheetId="0" hidden="1">'garver 6 Mixed-Integer NLP'!$I$17:$I$22</definedName>
    <definedName name="solver_lhs4" localSheetId="0" hidden="1">'garver 6 Mixed-Integer NLP'!$I$25</definedName>
    <definedName name="solver_lhs5" localSheetId="0" hidden="1">'garver 6 Mixed-Integer NLP'!$L$10:$L$13</definedName>
    <definedName name="solver_lhs6" localSheetId="0" hidden="1">'garver 6 Mixed-Integer NLP'!$O$14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'garver 6 Mixed-Integer NLP'!$O$14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2</definedName>
    <definedName name="solver_rel4" localSheetId="0" hidden="1">2</definedName>
    <definedName name="solver_rel5" localSheetId="0" hidden="1">4</definedName>
    <definedName name="solver_rel6" localSheetId="0" hidden="1">3</definedName>
    <definedName name="solver_rhs1" localSheetId="0" hidden="1">'garver 6 Mixed-Integer NLP'!$P$16:$P$25</definedName>
    <definedName name="solver_rhs2" localSheetId="0" hidden="1">'garver 6 Mixed-Integer NLP'!$O$16:$O$25</definedName>
    <definedName name="solver_rhs3" localSheetId="0" hidden="1">0</definedName>
    <definedName name="solver_rhs4" localSheetId="0" hidden="1">0</definedName>
    <definedName name="solver_rhs5" localSheetId="0" hidden="1">"entero"</definedName>
    <definedName name="solver_rhs6" localSheetId="0" hidden="1">1301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F5" i="1"/>
  <c r="I5" i="1"/>
  <c r="J5" i="1"/>
  <c r="E11" i="1"/>
  <c r="F11" i="1"/>
  <c r="I11" i="1"/>
  <c r="J11" i="1"/>
  <c r="E4" i="1"/>
  <c r="F4" i="1"/>
  <c r="I4" i="1"/>
  <c r="J4" i="1"/>
  <c r="E12" i="1"/>
  <c r="F12" i="1"/>
  <c r="I12" i="1"/>
  <c r="J12" i="1"/>
  <c r="E6" i="1"/>
  <c r="F6" i="1"/>
  <c r="I6" i="1"/>
  <c r="J6" i="1"/>
  <c r="E7" i="1"/>
  <c r="F7" i="1"/>
  <c r="I7" i="1"/>
  <c r="J7" i="1"/>
  <c r="E8" i="1"/>
  <c r="F8" i="1"/>
  <c r="I8" i="1"/>
  <c r="J8" i="1"/>
  <c r="E9" i="1"/>
  <c r="F9" i="1"/>
  <c r="I9" i="1"/>
  <c r="J9" i="1"/>
  <c r="E10" i="1"/>
  <c r="F10" i="1"/>
  <c r="I10" i="1"/>
  <c r="J10" i="1"/>
  <c r="E13" i="1"/>
  <c r="F13" i="1"/>
  <c r="I13" i="1"/>
  <c r="J13" i="1"/>
  <c r="J14" i="1"/>
  <c r="O10" i="1"/>
  <c r="O11" i="1"/>
  <c r="O12" i="1"/>
  <c r="O13" i="1"/>
  <c r="O14" i="1"/>
  <c r="P17" i="1"/>
  <c r="P18" i="1"/>
  <c r="P19" i="1"/>
  <c r="P20" i="1"/>
  <c r="P21" i="1"/>
  <c r="P16" i="1"/>
  <c r="M74" i="1"/>
  <c r="O74" i="1"/>
  <c r="M76" i="1"/>
  <c r="F76" i="1"/>
  <c r="H74" i="1"/>
  <c r="H9" i="1"/>
  <c r="H47" i="1"/>
  <c r="G27" i="1"/>
  <c r="F49" i="1"/>
  <c r="E29" i="1"/>
  <c r="H4" i="1"/>
  <c r="E45" i="1"/>
  <c r="D25" i="1"/>
  <c r="E25" i="1"/>
  <c r="H5" i="1"/>
  <c r="G45" i="1"/>
  <c r="F25" i="1"/>
  <c r="H6" i="1"/>
  <c r="H45" i="1"/>
  <c r="G25" i="1"/>
  <c r="H25" i="1"/>
  <c r="H7" i="1"/>
  <c r="H8" i="1"/>
  <c r="E46" i="1"/>
  <c r="L59" i="1"/>
  <c r="E59" i="1"/>
  <c r="D26" i="1"/>
  <c r="F46" i="1"/>
  <c r="E26" i="1"/>
  <c r="G46" i="1"/>
  <c r="F26" i="1"/>
  <c r="G26" i="1"/>
  <c r="P59" i="1"/>
  <c r="I59" i="1"/>
  <c r="H26" i="1"/>
  <c r="E47" i="1"/>
  <c r="D27" i="1"/>
  <c r="F47" i="1"/>
  <c r="F74" i="1"/>
  <c r="E27" i="1"/>
  <c r="F27" i="1"/>
  <c r="H27" i="1"/>
  <c r="E48" i="1"/>
  <c r="D28" i="1"/>
  <c r="F48" i="1"/>
  <c r="E28" i="1"/>
  <c r="G48" i="1"/>
  <c r="N54" i="1"/>
  <c r="G54" i="1"/>
  <c r="F28" i="1"/>
  <c r="G28" i="1"/>
  <c r="P54" i="1"/>
  <c r="I54" i="1"/>
  <c r="H28" i="1"/>
  <c r="D29" i="1"/>
  <c r="G49" i="1"/>
  <c r="F29" i="1"/>
  <c r="H49" i="1"/>
  <c r="H76" i="1"/>
  <c r="P70" i="1"/>
  <c r="O69" i="1"/>
  <c r="H69" i="1"/>
  <c r="G29" i="1"/>
  <c r="P69" i="1"/>
  <c r="I69" i="1"/>
  <c r="H29" i="1"/>
  <c r="L63" i="1"/>
  <c r="E63" i="1"/>
  <c r="D30" i="1"/>
  <c r="E30" i="1"/>
  <c r="N56" i="1"/>
  <c r="G56" i="1"/>
  <c r="F30" i="1"/>
  <c r="O70" i="1"/>
  <c r="H70" i="1"/>
  <c r="G30" i="1"/>
  <c r="P56" i="1"/>
  <c r="I56" i="1"/>
  <c r="P63" i="1"/>
  <c r="I63" i="1"/>
  <c r="I70" i="1"/>
  <c r="H30" i="1"/>
  <c r="D46" i="1"/>
  <c r="D59" i="1"/>
  <c r="C26" i="1"/>
  <c r="D47" i="1"/>
  <c r="D60" i="1"/>
  <c r="C27" i="1"/>
  <c r="D48" i="1"/>
  <c r="D61" i="1"/>
  <c r="C28" i="1"/>
  <c r="D49" i="1"/>
  <c r="D62" i="1"/>
  <c r="C29" i="1"/>
  <c r="D63" i="1"/>
  <c r="C30" i="1"/>
  <c r="D45" i="1"/>
  <c r="C25" i="1"/>
  <c r="G19" i="1"/>
  <c r="L90" i="1"/>
  <c r="H86" i="1"/>
  <c r="G85" i="1"/>
  <c r="F84" i="1"/>
  <c r="E83" i="1"/>
  <c r="D82" i="1"/>
  <c r="C81" i="1"/>
  <c r="O76" i="1"/>
  <c r="J88" i="1"/>
  <c r="D92" i="1"/>
  <c r="E92" i="1"/>
  <c r="F92" i="1"/>
  <c r="G92" i="1"/>
  <c r="H92" i="1"/>
  <c r="D93" i="1"/>
  <c r="E93" i="1"/>
  <c r="F93" i="1"/>
  <c r="G93" i="1"/>
  <c r="H93" i="1"/>
  <c r="D94" i="1"/>
  <c r="E94" i="1"/>
  <c r="F94" i="1"/>
  <c r="G94" i="1"/>
  <c r="H94" i="1"/>
  <c r="D95" i="1"/>
  <c r="E95" i="1"/>
  <c r="F95" i="1"/>
  <c r="G95" i="1"/>
  <c r="H95" i="1"/>
  <c r="D96" i="1"/>
  <c r="E96" i="1"/>
  <c r="F96" i="1"/>
  <c r="G96" i="1"/>
  <c r="H96" i="1"/>
  <c r="D97" i="1"/>
  <c r="E97" i="1"/>
  <c r="F97" i="1"/>
  <c r="G97" i="1"/>
  <c r="H97" i="1"/>
  <c r="I87" i="1"/>
  <c r="D98" i="1"/>
  <c r="E98" i="1"/>
  <c r="F98" i="1"/>
  <c r="G98" i="1"/>
  <c r="H98" i="1"/>
  <c r="D99" i="1"/>
  <c r="E99" i="1"/>
  <c r="F99" i="1"/>
  <c r="G99" i="1"/>
  <c r="H99" i="1"/>
  <c r="K89" i="1"/>
  <c r="D100" i="1"/>
  <c r="E100" i="1"/>
  <c r="F100" i="1"/>
  <c r="G100" i="1"/>
  <c r="H100" i="1"/>
  <c r="D101" i="1"/>
  <c r="E101" i="1"/>
  <c r="F101" i="1"/>
  <c r="G101" i="1"/>
  <c r="H101" i="1"/>
  <c r="C93" i="1"/>
  <c r="C94" i="1"/>
  <c r="C95" i="1"/>
  <c r="C96" i="1"/>
  <c r="C97" i="1"/>
  <c r="C98" i="1"/>
  <c r="C99" i="1"/>
  <c r="C100" i="1"/>
  <c r="C101" i="1"/>
  <c r="Q9" i="1"/>
  <c r="R3" i="1"/>
  <c r="R4" i="1"/>
  <c r="R5" i="1"/>
  <c r="R6" i="1"/>
  <c r="R7" i="1"/>
  <c r="R8" i="1"/>
  <c r="R9" i="1"/>
  <c r="P9" i="1"/>
  <c r="G18" i="1"/>
  <c r="E18" i="1"/>
  <c r="I18" i="1"/>
  <c r="E19" i="1"/>
  <c r="I19" i="1"/>
  <c r="G20" i="1"/>
  <c r="E20" i="1"/>
  <c r="I20" i="1"/>
  <c r="G21" i="1"/>
  <c r="E21" i="1"/>
  <c r="I21" i="1"/>
  <c r="G22" i="1"/>
  <c r="E22" i="1"/>
  <c r="I22" i="1"/>
  <c r="G17" i="1"/>
  <c r="E17" i="1"/>
  <c r="I17" i="1"/>
  <c r="P25" i="1"/>
  <c r="P24" i="1"/>
  <c r="P23" i="1"/>
  <c r="P22" i="1"/>
  <c r="N17" i="1"/>
  <c r="N18" i="1"/>
  <c r="N19" i="1"/>
  <c r="N20" i="1"/>
  <c r="N21" i="1"/>
  <c r="N22" i="1"/>
  <c r="N23" i="1"/>
  <c r="N24" i="1"/>
  <c r="N25" i="1"/>
  <c r="N16" i="1"/>
  <c r="O17" i="1"/>
  <c r="O18" i="1"/>
  <c r="O19" i="1"/>
  <c r="O20" i="1"/>
  <c r="O21" i="1"/>
  <c r="O22" i="1"/>
  <c r="O23" i="1"/>
  <c r="O24" i="1"/>
  <c r="O25" i="1"/>
  <c r="C92" i="1"/>
  <c r="O16" i="1"/>
</calcChain>
</file>

<file path=xl/sharedStrings.xml><?xml version="1.0" encoding="utf-8"?>
<sst xmlns="http://schemas.openxmlformats.org/spreadsheetml/2006/main" count="143" uniqueCount="62">
  <si>
    <t>X1</t>
  </si>
  <si>
    <t>X2</t>
  </si>
  <si>
    <t>X3</t>
  </si>
  <si>
    <t>=</t>
  </si>
  <si>
    <t>T=QH</t>
  </si>
  <si>
    <t>Q=</t>
  </si>
  <si>
    <t>1-2</t>
  </si>
  <si>
    <t>1-4</t>
  </si>
  <si>
    <t>1-5</t>
  </si>
  <si>
    <t>2-3</t>
  </si>
  <si>
    <t>2-4</t>
  </si>
  <si>
    <t>3-5</t>
  </si>
  <si>
    <t>X4</t>
  </si>
  <si>
    <t>-</t>
  </si>
  <si>
    <t>Pg</t>
  </si>
  <si>
    <t>Pd</t>
  </si>
  <si>
    <t>P</t>
  </si>
  <si>
    <t>Pg-Pd (pu)</t>
  </si>
  <si>
    <t>P (pu)</t>
  </si>
  <si>
    <t>Mismatch</t>
  </si>
  <si>
    <t>Line</t>
  </si>
  <si>
    <t># of 100MW lines</t>
  </si>
  <si>
    <t>Cost</t>
  </si>
  <si>
    <t>OverallCost</t>
  </si>
  <si>
    <t>6-4</t>
  </si>
  <si>
    <t>6-2</t>
  </si>
  <si>
    <t>6-5</t>
  </si>
  <si>
    <t>subject to: 1) balance</t>
  </si>
  <si>
    <t>2) line capacity</t>
  </si>
  <si>
    <t>&lt;Pfmax</t>
  </si>
  <si>
    <t>pf</t>
  </si>
  <si>
    <t>-Pfmax&lt;</t>
  </si>
  <si>
    <t>B*Theta=</t>
  </si>
  <si>
    <t>theta</t>
  </si>
  <si>
    <t>B susceptance matrix</t>
  </si>
  <si>
    <t>Bbase</t>
  </si>
  <si>
    <t>Incidence Matrix</t>
  </si>
  <si>
    <t>Corridor</t>
  </si>
  <si>
    <t>H                    1</t>
  </si>
  <si>
    <t>node 1</t>
  </si>
  <si>
    <t>r</t>
  </si>
  <si>
    <t>x</t>
  </si>
  <si>
    <t>cap mw</t>
  </si>
  <si>
    <t>R+JX</t>
  </si>
  <si>
    <t>Line structure</t>
  </si>
  <si>
    <t>Existing Line</t>
  </si>
  <si>
    <t>length km</t>
  </si>
  <si>
    <t>pu/km</t>
  </si>
  <si>
    <t>+j</t>
  </si>
  <si>
    <t>Gij (pu)</t>
  </si>
  <si>
    <t>Sbase=</t>
  </si>
  <si>
    <t>Losses</t>
  </si>
  <si>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1</t>
    </r>
  </si>
  <si>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</si>
  <si>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</si>
  <si>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</si>
  <si>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</si>
  <si>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</si>
  <si>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t>Total Losses</t>
  </si>
  <si>
    <t>Bij=1/Xij</t>
  </si>
  <si>
    <t>Garver 6 bus</t>
  </si>
  <si>
    <t>Porgoramado por Paulo De Oliveira pm.deoliveiradejes@uniandes.edu.co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</si>
</sst>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16" fontId="2" fillId="0" borderId="0" xfId="0" quotePrefix="1" applyNumberFormat="1" applyFont="1"/>
    <xf numFmtId="1" fontId="0" fillId="0" borderId="0" xfId="0" applyNumberFormat="1"/>
    <xf numFmtId="0" fontId="2" fillId="0" borderId="0" xfId="0" quotePrefix="1" applyFont="1"/>
    <xf numFmtId="0" fontId="0" fillId="5" borderId="0" xfId="0" applyFill="1"/>
    <xf numFmtId="0" fontId="0" fillId="6" borderId="0" xfId="0" applyFill="1"/>
    <xf numFmtId="0" fontId="3" fillId="3" borderId="0" xfId="0" applyFont="1" applyFill="1"/>
    <xf numFmtId="0" fontId="0" fillId="0" borderId="0" xfId="0" applyAlignment="1">
      <alignment horizontal="center"/>
    </xf>
    <xf numFmtId="0" fontId="0" fillId="8" borderId="0" xfId="0" applyFill="1"/>
    <xf numFmtId="0" fontId="0" fillId="0" borderId="1" xfId="0" applyBorder="1"/>
    <xf numFmtId="0" fontId="1" fillId="0" borderId="0" xfId="0" applyFont="1"/>
    <xf numFmtId="0" fontId="0" fillId="0" borderId="0" xfId="0" quotePrefix="1" applyAlignment="1">
      <alignment horizontal="center"/>
    </xf>
    <xf numFmtId="2" fontId="3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164" fontId="0" fillId="7" borderId="0" xfId="0" applyNumberFormat="1" applyFill="1" applyAlignment="1">
      <alignment horizontal="center"/>
    </xf>
    <xf numFmtId="2" fontId="0" fillId="3" borderId="0" xfId="0" applyNumberFormat="1" applyFill="1"/>
    <xf numFmtId="2" fontId="0" fillId="4" borderId="0" xfId="0" applyNumberFormat="1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0" fillId="0" borderId="0" xfId="0" applyNumberFormat="1"/>
    <xf numFmtId="0" fontId="1" fillId="0" borderId="0" xfId="0" applyFont="1" applyAlignment="1">
      <alignment horizontal="left"/>
    </xf>
    <xf numFmtId="16" fontId="1" fillId="0" borderId="0" xfId="0" quotePrefix="1" applyNumberFormat="1" applyFont="1"/>
    <xf numFmtId="0" fontId="1" fillId="0" borderId="0" xfId="0" quotePrefix="1" applyFont="1"/>
    <xf numFmtId="0" fontId="0" fillId="0" borderId="1" xfId="0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381000</xdr:colOff>
      <xdr:row>31</xdr:row>
      <xdr:rowOff>0</xdr:rowOff>
    </xdr:from>
    <xdr:ext cx="9994211" cy="655885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81000" y="6000750"/>
          <a:ext cx="9994211" cy="65588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none" rtlCol="0" anchor="t">
          <a:spAutoFit/>
        </a:bodyPr>
        <a:lstStyle/>
        <a:p>
          <a:r>
            <a:rPr lang="pt-PT" sz="3600" b="1"/>
            <a:t>Garver 6node system - Mixed-Integer</a:t>
          </a:r>
          <a:r>
            <a:rPr lang="pt-PT" sz="3600" b="1" baseline="0"/>
            <a:t>  NLP Solution</a:t>
          </a:r>
          <a:endParaRPr lang="pt-PT" sz="3600" b="1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1"/>
  <sheetViews>
    <sheetView tabSelected="1" zoomScale="80" zoomScaleNormal="80" workbookViewId="0">
      <selection activeCell="H9" sqref="H9"/>
    </sheetView>
  </sheetViews>
  <sheetFormatPr baseColWidth="10" defaultRowHeight="15" x14ac:dyDescent="0.25"/>
  <cols>
    <col min="1" max="1" width="10.140625" customWidth="1"/>
    <col min="2" max="2" width="5.42578125" customWidth="1"/>
    <col min="3" max="3" width="6.42578125" customWidth="1"/>
    <col min="4" max="4" width="9.28515625" customWidth="1"/>
    <col min="9" max="9" width="11.42578125" bestFit="1" customWidth="1"/>
    <col min="10" max="10" width="10.28515625" customWidth="1"/>
    <col min="12" max="12" width="13.28515625" customWidth="1"/>
    <col min="16" max="16" width="11.85546875" bestFit="1" customWidth="1"/>
  </cols>
  <sheetData>
    <row r="1" spans="1:18" x14ac:dyDescent="0.25">
      <c r="A1" t="s">
        <v>60</v>
      </c>
      <c r="E1" t="s">
        <v>61</v>
      </c>
    </row>
    <row r="2" spans="1:18" x14ac:dyDescent="0.25">
      <c r="A2" t="s">
        <v>44</v>
      </c>
      <c r="D2" t="s">
        <v>43</v>
      </c>
      <c r="E2">
        <v>2.5000000000000001E-3</v>
      </c>
      <c r="F2" s="12" t="s">
        <v>48</v>
      </c>
      <c r="G2">
        <v>0.01</v>
      </c>
      <c r="H2" t="s">
        <v>47</v>
      </c>
      <c r="N2" t="s">
        <v>50</v>
      </c>
      <c r="O2">
        <v>100</v>
      </c>
      <c r="P2" s="8" t="s">
        <v>14</v>
      </c>
      <c r="Q2" s="8" t="s">
        <v>15</v>
      </c>
      <c r="R2" s="8" t="s">
        <v>16</v>
      </c>
    </row>
    <row r="3" spans="1:18" x14ac:dyDescent="0.25">
      <c r="D3" t="s">
        <v>46</v>
      </c>
      <c r="E3" t="s">
        <v>40</v>
      </c>
      <c r="F3" t="s">
        <v>41</v>
      </c>
      <c r="G3" t="s">
        <v>42</v>
      </c>
      <c r="H3" t="s">
        <v>59</v>
      </c>
      <c r="I3" s="8" t="s">
        <v>49</v>
      </c>
      <c r="J3" t="s">
        <v>51</v>
      </c>
      <c r="P3" s="8">
        <v>50</v>
      </c>
      <c r="Q3" s="8">
        <v>80</v>
      </c>
      <c r="R3" s="8">
        <f>P3-Q3</f>
        <v>-30</v>
      </c>
    </row>
    <row r="4" spans="1:18" x14ac:dyDescent="0.25">
      <c r="A4" s="21" t="s">
        <v>45</v>
      </c>
      <c r="B4" s="11"/>
      <c r="C4" s="22" t="s">
        <v>6</v>
      </c>
      <c r="D4">
        <v>40</v>
      </c>
      <c r="E4">
        <f t="shared" ref="E4:E9" si="0">$E$2*$D4</f>
        <v>0.1</v>
      </c>
      <c r="F4">
        <f t="shared" ref="F4:F9" si="1">$G$2*$D4</f>
        <v>0.4</v>
      </c>
      <c r="G4">
        <v>100</v>
      </c>
      <c r="H4" s="20">
        <f>1/F4</f>
        <v>2.5</v>
      </c>
      <c r="I4" s="20">
        <f>E4/(E4^2+F4^2)</f>
        <v>0.58823529411764697</v>
      </c>
      <c r="J4">
        <f>I4*(1-COS(I25-I26))</f>
        <v>1.231761732251708E-2</v>
      </c>
      <c r="K4" s="20"/>
      <c r="P4" s="8">
        <v>0</v>
      </c>
      <c r="Q4" s="8">
        <v>240</v>
      </c>
      <c r="R4" s="8">
        <f t="shared" ref="R4:R8" si="2">P4-Q4</f>
        <v>-240</v>
      </c>
    </row>
    <row r="5" spans="1:18" x14ac:dyDescent="0.25">
      <c r="A5" s="21" t="s">
        <v>45</v>
      </c>
      <c r="B5" s="11"/>
      <c r="C5" s="23" t="s">
        <v>7</v>
      </c>
      <c r="D5">
        <v>60</v>
      </c>
      <c r="E5">
        <f>$E$2*$D5</f>
        <v>0.15</v>
      </c>
      <c r="F5">
        <f t="shared" si="1"/>
        <v>0.6</v>
      </c>
      <c r="G5">
        <v>80</v>
      </c>
      <c r="H5" s="20">
        <f t="shared" ref="H5:H9" si="3">1/F5</f>
        <v>1.6666666666666667</v>
      </c>
      <c r="I5" s="20">
        <f t="shared" ref="I5:I9" si="4">E5/(E5^2+F5^2)</f>
        <v>0.39215686274509803</v>
      </c>
      <c r="J5">
        <f>I5*(1-COS(I25-I28))</f>
        <v>7.0933191038403216E-3</v>
      </c>
      <c r="K5" s="20"/>
      <c r="L5" s="20"/>
      <c r="M5" s="20"/>
      <c r="N5" s="20"/>
      <c r="O5" s="20"/>
      <c r="P5" s="8">
        <v>165</v>
      </c>
      <c r="Q5" s="8">
        <v>40</v>
      </c>
      <c r="R5" s="8">
        <f t="shared" si="2"/>
        <v>125</v>
      </c>
    </row>
    <row r="6" spans="1:18" x14ac:dyDescent="0.25">
      <c r="A6" s="21" t="s">
        <v>45</v>
      </c>
      <c r="B6" s="11"/>
      <c r="C6" s="23" t="s">
        <v>8</v>
      </c>
      <c r="D6">
        <v>20</v>
      </c>
      <c r="E6">
        <f t="shared" si="0"/>
        <v>0.05</v>
      </c>
      <c r="F6">
        <f t="shared" si="1"/>
        <v>0.2</v>
      </c>
      <c r="G6">
        <v>100</v>
      </c>
      <c r="H6" s="20">
        <f t="shared" si="3"/>
        <v>5</v>
      </c>
      <c r="I6" s="20">
        <f>E6/(E6^2+F6^2)</f>
        <v>1.1764705882352939</v>
      </c>
      <c r="J6">
        <f>I6*(1-COS(I25-I29))</f>
        <v>6.602995318409125E-3</v>
      </c>
      <c r="K6" s="20"/>
      <c r="L6" s="20"/>
      <c r="M6" s="20"/>
      <c r="N6" s="20"/>
      <c r="O6" s="20"/>
      <c r="P6" s="8">
        <v>0</v>
      </c>
      <c r="Q6" s="8">
        <v>160</v>
      </c>
      <c r="R6" s="8">
        <f t="shared" si="2"/>
        <v>-160</v>
      </c>
    </row>
    <row r="7" spans="1:18" x14ac:dyDescent="0.25">
      <c r="A7" s="21" t="s">
        <v>45</v>
      </c>
      <c r="B7" s="11"/>
      <c r="C7" s="23" t="s">
        <v>9</v>
      </c>
      <c r="D7">
        <v>20</v>
      </c>
      <c r="E7">
        <f t="shared" si="0"/>
        <v>0.05</v>
      </c>
      <c r="F7">
        <f t="shared" si="1"/>
        <v>0.2</v>
      </c>
      <c r="G7">
        <v>100</v>
      </c>
      <c r="H7" s="20">
        <f t="shared" si="3"/>
        <v>5</v>
      </c>
      <c r="I7" s="20">
        <f t="shared" si="4"/>
        <v>1.1764705882352939</v>
      </c>
      <c r="J7">
        <f>I7*(1-COS(I26-I27))</f>
        <v>9.0333915893314083E-3</v>
      </c>
      <c r="K7" s="20"/>
      <c r="L7" s="20"/>
      <c r="M7" s="20"/>
      <c r="N7" s="20"/>
      <c r="O7" s="20"/>
      <c r="P7" s="8">
        <v>0</v>
      </c>
      <c r="Q7" s="8">
        <v>240</v>
      </c>
      <c r="R7" s="8">
        <f t="shared" si="2"/>
        <v>-240</v>
      </c>
    </row>
    <row r="8" spans="1:18" x14ac:dyDescent="0.25">
      <c r="A8" s="21" t="s">
        <v>45</v>
      </c>
      <c r="B8" s="11"/>
      <c r="C8" s="23" t="s">
        <v>10</v>
      </c>
      <c r="D8">
        <v>40</v>
      </c>
      <c r="E8">
        <f t="shared" si="0"/>
        <v>0.1</v>
      </c>
      <c r="F8">
        <f t="shared" si="1"/>
        <v>0.4</v>
      </c>
      <c r="G8">
        <v>100</v>
      </c>
      <c r="H8" s="20">
        <f t="shared" si="3"/>
        <v>2.5</v>
      </c>
      <c r="I8" s="20">
        <f t="shared" si="4"/>
        <v>0.58823529411764697</v>
      </c>
      <c r="J8">
        <f>I8*(1-COS(I26-I28))</f>
        <v>6.1982376930088084E-5</v>
      </c>
      <c r="L8" s="20"/>
      <c r="M8" s="20"/>
      <c r="N8" s="20"/>
      <c r="O8" s="20"/>
      <c r="P8" s="24">
        <v>545</v>
      </c>
      <c r="Q8" s="24">
        <v>0</v>
      </c>
      <c r="R8" s="24">
        <f t="shared" si="2"/>
        <v>545</v>
      </c>
    </row>
    <row r="9" spans="1:18" x14ac:dyDescent="0.25">
      <c r="A9" s="21" t="s">
        <v>45</v>
      </c>
      <c r="B9" s="11"/>
      <c r="C9" s="23" t="s">
        <v>11</v>
      </c>
      <c r="D9">
        <v>20</v>
      </c>
      <c r="E9">
        <f t="shared" si="0"/>
        <v>0.05</v>
      </c>
      <c r="F9">
        <f t="shared" si="1"/>
        <v>0.2</v>
      </c>
      <c r="G9">
        <v>100</v>
      </c>
      <c r="H9" s="20">
        <f t="shared" si="3"/>
        <v>5</v>
      </c>
      <c r="I9" s="20">
        <f t="shared" si="4"/>
        <v>1.1764705882352939</v>
      </c>
      <c r="J9">
        <f>I9*(1-COS(I27-I29))</f>
        <v>2.0510321773099784E-2</v>
      </c>
      <c r="L9" t="s">
        <v>21</v>
      </c>
      <c r="N9" t="s">
        <v>22</v>
      </c>
      <c r="O9" t="s">
        <v>23</v>
      </c>
      <c r="P9" s="8">
        <f>SUM(P3:P8)</f>
        <v>760</v>
      </c>
      <c r="Q9" s="8">
        <f t="shared" ref="Q9:R9" si="5">SUM(Q3:Q8)</f>
        <v>760</v>
      </c>
      <c r="R9" s="8">
        <f t="shared" si="5"/>
        <v>0</v>
      </c>
    </row>
    <row r="10" spans="1:18" x14ac:dyDescent="0.25">
      <c r="A10" s="11" t="s">
        <v>37</v>
      </c>
      <c r="B10" s="11"/>
      <c r="C10" s="23" t="s">
        <v>24</v>
      </c>
      <c r="D10">
        <v>30</v>
      </c>
      <c r="E10">
        <f t="shared" ref="E10:E13" si="6">$E$2*$D10</f>
        <v>7.4999999999999997E-2</v>
      </c>
      <c r="F10">
        <f t="shared" ref="F10:F13" si="7">$G$2*$D10</f>
        <v>0.3</v>
      </c>
      <c r="H10" s="20"/>
      <c r="I10" s="20">
        <f>L10*E10/(E10^2+F10^2)</f>
        <v>1.5686274509803921</v>
      </c>
      <c r="J10">
        <f>I10*(1-COS(I30-I28))</f>
        <v>6.2037249334456014E-2</v>
      </c>
      <c r="K10" t="s">
        <v>0</v>
      </c>
      <c r="L10" s="15">
        <v>2</v>
      </c>
      <c r="N10">
        <v>150</v>
      </c>
      <c r="O10">
        <f>N10*L10</f>
        <v>300</v>
      </c>
      <c r="P10" s="20"/>
      <c r="Q10" s="20"/>
    </row>
    <row r="11" spans="1:18" x14ac:dyDescent="0.25">
      <c r="A11" s="11" t="s">
        <v>37</v>
      </c>
      <c r="B11" s="11"/>
      <c r="C11" s="23" t="s">
        <v>25</v>
      </c>
      <c r="D11">
        <v>30</v>
      </c>
      <c r="E11">
        <f t="shared" si="6"/>
        <v>7.4999999999999997E-2</v>
      </c>
      <c r="F11">
        <f t="shared" si="7"/>
        <v>0.3</v>
      </c>
      <c r="H11" s="20"/>
      <c r="I11" s="20">
        <f t="shared" ref="I11:I13" si="8">L11*E11/(E11^2+F11^2)</f>
        <v>3.1372549019607843</v>
      </c>
      <c r="J11">
        <f>I11*(1-COS(I30-I26))</f>
        <v>0.1117109152546575</v>
      </c>
      <c r="K11" t="s">
        <v>1</v>
      </c>
      <c r="L11" s="15">
        <v>4</v>
      </c>
      <c r="N11">
        <v>150</v>
      </c>
      <c r="O11">
        <f t="shared" ref="O11:O13" si="9">N11*L11</f>
        <v>600</v>
      </c>
    </row>
    <row r="12" spans="1:18" x14ac:dyDescent="0.25">
      <c r="A12" s="11" t="s">
        <v>37</v>
      </c>
      <c r="B12" s="11"/>
      <c r="C12" s="23" t="s">
        <v>26</v>
      </c>
      <c r="D12">
        <v>61</v>
      </c>
      <c r="E12">
        <f t="shared" si="6"/>
        <v>0.1525</v>
      </c>
      <c r="F12">
        <f t="shared" si="7"/>
        <v>0.61</v>
      </c>
      <c r="H12" s="20"/>
      <c r="I12" s="20">
        <f t="shared" si="8"/>
        <v>0</v>
      </c>
      <c r="J12">
        <f>I12*(1-COS(I30-I29))</f>
        <v>0</v>
      </c>
      <c r="K12" t="s">
        <v>2</v>
      </c>
      <c r="L12" s="15">
        <v>0</v>
      </c>
      <c r="N12">
        <v>305</v>
      </c>
      <c r="O12">
        <f t="shared" si="9"/>
        <v>0</v>
      </c>
    </row>
    <row r="13" spans="1:18" x14ac:dyDescent="0.25">
      <c r="A13" s="11" t="s">
        <v>37</v>
      </c>
      <c r="B13" s="11"/>
      <c r="C13" s="23" t="s">
        <v>11</v>
      </c>
      <c r="D13">
        <v>20</v>
      </c>
      <c r="E13">
        <f t="shared" si="6"/>
        <v>0.05</v>
      </c>
      <c r="F13">
        <f t="shared" si="7"/>
        <v>0.2</v>
      </c>
      <c r="H13" s="20"/>
      <c r="I13" s="20">
        <f t="shared" si="8"/>
        <v>1.1764705882352939</v>
      </c>
      <c r="J13">
        <f>I13*(1-COS(I27-I29))</f>
        <v>2.0510321773099784E-2</v>
      </c>
      <c r="K13" t="s">
        <v>12</v>
      </c>
      <c r="L13" s="15">
        <v>1</v>
      </c>
      <c r="N13">
        <v>100</v>
      </c>
      <c r="O13" s="10">
        <f t="shared" si="9"/>
        <v>100</v>
      </c>
    </row>
    <row r="14" spans="1:18" x14ac:dyDescent="0.25">
      <c r="I14" t="s">
        <v>58</v>
      </c>
      <c r="J14">
        <f>SUM(J4:J13)*2</f>
        <v>0.49975622769268219</v>
      </c>
      <c r="O14" s="25">
        <f>SUM(O10:O13)</f>
        <v>1000</v>
      </c>
    </row>
    <row r="15" spans="1:18" x14ac:dyDescent="0.25">
      <c r="A15" t="s">
        <v>27</v>
      </c>
      <c r="K15" t="s">
        <v>28</v>
      </c>
      <c r="N15" s="12" t="s">
        <v>31</v>
      </c>
      <c r="O15" s="8" t="s">
        <v>30</v>
      </c>
      <c r="P15" s="8" t="s">
        <v>29</v>
      </c>
    </row>
    <row r="16" spans="1:18" ht="15.75" x14ac:dyDescent="0.25">
      <c r="E16" s="8" t="s">
        <v>17</v>
      </c>
      <c r="F16" s="8"/>
      <c r="G16" s="8" t="s">
        <v>18</v>
      </c>
      <c r="H16" s="8"/>
      <c r="I16" s="8" t="s">
        <v>19</v>
      </c>
      <c r="L16" s="11" t="s">
        <v>20</v>
      </c>
      <c r="M16" s="2" t="s">
        <v>6</v>
      </c>
      <c r="N16" s="8">
        <f t="shared" ref="N16:N25" si="10">-P16</f>
        <v>-1</v>
      </c>
      <c r="O16" s="13">
        <f t="shared" ref="O16:O25" si="11">$C92*I$25+$D92*I$26+$E92*I$27+$F92*I$28+$G92*I$29+$H92*I$30</f>
        <v>-0.51251146989377128</v>
      </c>
      <c r="P16" s="8">
        <f>G4/$O$2</f>
        <v>1</v>
      </c>
    </row>
    <row r="17" spans="1:16" ht="15.75" x14ac:dyDescent="0.25">
      <c r="E17" s="8">
        <f t="shared" ref="E17:E22" si="12">R3/100</f>
        <v>-0.3</v>
      </c>
      <c r="F17" s="8"/>
      <c r="G17" s="14">
        <f t="shared" ref="G17:G22" si="13">$C25*I$25+$D25*I$26+$E25*I$27+$F25*I$28+$G25*I$29+$H25*I$30</f>
        <v>-0.29999999996173254</v>
      </c>
      <c r="H17" s="8"/>
      <c r="I17" s="8">
        <f>E17-G17</f>
        <v>-3.8267444768536052E-11</v>
      </c>
      <c r="L17" s="11" t="s">
        <v>20</v>
      </c>
      <c r="M17" s="4" t="s">
        <v>7</v>
      </c>
      <c r="N17" s="8">
        <f t="shared" si="10"/>
        <v>-0.8</v>
      </c>
      <c r="O17" s="13">
        <f t="shared" si="11"/>
        <v>-0.31747928492708877</v>
      </c>
      <c r="P17" s="8">
        <f t="shared" ref="P17:P21" si="14">G5/$O$2</f>
        <v>0.8</v>
      </c>
    </row>
    <row r="18" spans="1:16" ht="15.75" x14ac:dyDescent="0.25">
      <c r="E18" s="8">
        <f t="shared" si="12"/>
        <v>-2.4</v>
      </c>
      <c r="F18" s="8" t="s">
        <v>13</v>
      </c>
      <c r="G18" s="14">
        <f t="shared" si="13"/>
        <v>-2.4000000006201621</v>
      </c>
      <c r="H18" s="8" t="s">
        <v>3</v>
      </c>
      <c r="I18" s="8">
        <f t="shared" ref="I18:I22" si="15">E18-G18</f>
        <v>6.2016214386062529E-10</v>
      </c>
      <c r="L18" s="11" t="s">
        <v>20</v>
      </c>
      <c r="M18" s="4" t="s">
        <v>8</v>
      </c>
      <c r="N18" s="8">
        <f t="shared" si="10"/>
        <v>-1</v>
      </c>
      <c r="O18" s="13">
        <f t="shared" si="11"/>
        <v>0.5299907548591275</v>
      </c>
      <c r="P18" s="8">
        <f t="shared" si="14"/>
        <v>1</v>
      </c>
    </row>
    <row r="19" spans="1:16" ht="15.75" x14ac:dyDescent="0.25">
      <c r="E19" s="8">
        <f t="shared" si="12"/>
        <v>1.25</v>
      </c>
      <c r="F19" s="8"/>
      <c r="G19" s="14">
        <f>$C27*I$25+$D27*I$26+$E27*I$27+$F27*I$28+$G27*I$29+$H27*I$30</f>
        <v>1.2499996538707254</v>
      </c>
      <c r="H19" s="8"/>
      <c r="I19" s="8">
        <f t="shared" si="15"/>
        <v>3.4612927457544629E-7</v>
      </c>
      <c r="L19" s="11" t="s">
        <v>20</v>
      </c>
      <c r="M19" s="4" t="s">
        <v>9</v>
      </c>
      <c r="N19" s="8">
        <f t="shared" si="10"/>
        <v>-1</v>
      </c>
      <c r="O19" s="13">
        <f t="shared" si="11"/>
        <v>0.62000924514087163</v>
      </c>
      <c r="P19" s="8">
        <f t="shared" si="14"/>
        <v>1</v>
      </c>
    </row>
    <row r="20" spans="1:16" ht="15.75" x14ac:dyDescent="0.25">
      <c r="E20" s="8">
        <f t="shared" si="12"/>
        <v>-1.6</v>
      </c>
      <c r="F20" s="8"/>
      <c r="G20" s="14">
        <f t="shared" si="13"/>
        <v>-1.5999999999967227</v>
      </c>
      <c r="H20" s="8"/>
      <c r="I20" s="8">
        <f t="shared" si="15"/>
        <v>-3.2773783686934621E-12</v>
      </c>
      <c r="L20" s="11" t="s">
        <v>20</v>
      </c>
      <c r="M20" s="4" t="s">
        <v>10</v>
      </c>
      <c r="N20" s="8">
        <f t="shared" si="10"/>
        <v>-1</v>
      </c>
      <c r="O20" s="13">
        <f t="shared" si="11"/>
        <v>3.6292542503138125E-2</v>
      </c>
      <c r="P20" s="8">
        <f t="shared" si="14"/>
        <v>1</v>
      </c>
    </row>
    <row r="21" spans="1:16" ht="15.75" x14ac:dyDescent="0.25">
      <c r="E21" s="8">
        <f t="shared" si="12"/>
        <v>-2.4</v>
      </c>
      <c r="F21" s="8"/>
      <c r="G21" s="14">
        <f t="shared" si="13"/>
        <v>-2.3999996538707244</v>
      </c>
      <c r="H21" s="8"/>
      <c r="I21" s="8">
        <f t="shared" si="15"/>
        <v>-3.4612927546362471E-7</v>
      </c>
      <c r="L21" s="11" t="s">
        <v>20</v>
      </c>
      <c r="M21" s="4" t="s">
        <v>11</v>
      </c>
      <c r="N21" s="8">
        <f t="shared" si="10"/>
        <v>-1</v>
      </c>
      <c r="O21" s="13">
        <f t="shared" si="11"/>
        <v>0.93500444950579853</v>
      </c>
      <c r="P21" s="8">
        <f t="shared" si="14"/>
        <v>1</v>
      </c>
    </row>
    <row r="22" spans="1:16" ht="15.75" x14ac:dyDescent="0.25">
      <c r="E22" s="8">
        <f t="shared" si="12"/>
        <v>5.45</v>
      </c>
      <c r="F22" s="8"/>
      <c r="G22" s="14">
        <f t="shared" si="13"/>
        <v>5.4500000005786173</v>
      </c>
      <c r="H22" s="8"/>
      <c r="I22" s="8">
        <f t="shared" si="15"/>
        <v>-5.7861715418994208E-10</v>
      </c>
      <c r="L22" s="11" t="s">
        <v>20</v>
      </c>
      <c r="M22" s="4" t="s">
        <v>24</v>
      </c>
      <c r="N22" s="8">
        <f t="shared" si="10"/>
        <v>-2</v>
      </c>
      <c r="O22" s="13">
        <f t="shared" si="11"/>
        <v>1.8811867424206734</v>
      </c>
      <c r="P22" s="8">
        <f>1*$L$10</f>
        <v>2</v>
      </c>
    </row>
    <row r="23" spans="1:16" ht="15.75" x14ac:dyDescent="0.25">
      <c r="L23" s="11" t="s">
        <v>20</v>
      </c>
      <c r="M23" s="4" t="s">
        <v>25</v>
      </c>
      <c r="N23" s="8">
        <f t="shared" si="10"/>
        <v>-4</v>
      </c>
      <c r="O23" s="13">
        <f t="shared" si="11"/>
        <v>3.5688132581579435</v>
      </c>
      <c r="P23" s="8">
        <f>1*$L$11</f>
        <v>4</v>
      </c>
    </row>
    <row r="24" spans="1:16" ht="15.75" x14ac:dyDescent="0.25">
      <c r="C24" t="s">
        <v>34</v>
      </c>
      <c r="I24" t="s">
        <v>33</v>
      </c>
      <c r="L24" s="11" t="s">
        <v>20</v>
      </c>
      <c r="M24" s="4" t="s">
        <v>26</v>
      </c>
      <c r="N24" s="8">
        <f t="shared" si="10"/>
        <v>0</v>
      </c>
      <c r="O24" s="13">
        <f t="shared" si="11"/>
        <v>0</v>
      </c>
      <c r="P24" s="8">
        <f>1*$L$12</f>
        <v>0</v>
      </c>
    </row>
    <row r="25" spans="1:16" ht="15.75" x14ac:dyDescent="0.25">
      <c r="C25" s="16">
        <f t="shared" ref="C25:H30" si="16">D45+D51+D58+D72+D65</f>
        <v>9.1666666666666679</v>
      </c>
      <c r="D25" s="16">
        <f t="shared" si="16"/>
        <v>-2.5</v>
      </c>
      <c r="E25" s="16">
        <f t="shared" si="16"/>
        <v>0</v>
      </c>
      <c r="F25" s="16">
        <f t="shared" si="16"/>
        <v>-1.6666666666666667</v>
      </c>
      <c r="G25" s="16">
        <f t="shared" si="16"/>
        <v>-5</v>
      </c>
      <c r="H25" s="16">
        <f t="shared" si="16"/>
        <v>0</v>
      </c>
      <c r="I25" s="17">
        <v>0</v>
      </c>
      <c r="J25" t="s">
        <v>52</v>
      </c>
      <c r="L25" s="11" t="s">
        <v>20</v>
      </c>
      <c r="M25" s="4" t="s">
        <v>11</v>
      </c>
      <c r="N25" s="8">
        <f t="shared" si="10"/>
        <v>-1</v>
      </c>
      <c r="O25" s="13">
        <f t="shared" si="11"/>
        <v>0.93500444950579853</v>
      </c>
      <c r="P25" s="8">
        <f>1*$L$13</f>
        <v>1</v>
      </c>
    </row>
    <row r="26" spans="1:16" x14ac:dyDescent="0.25">
      <c r="C26" s="16">
        <f t="shared" si="16"/>
        <v>-2.5</v>
      </c>
      <c r="D26" s="16">
        <f t="shared" si="16"/>
        <v>23.333333333333336</v>
      </c>
      <c r="E26" s="16">
        <f t="shared" si="16"/>
        <v>-5</v>
      </c>
      <c r="F26" s="16">
        <f t="shared" si="16"/>
        <v>-2.5</v>
      </c>
      <c r="G26" s="16">
        <f t="shared" si="16"/>
        <v>0</v>
      </c>
      <c r="H26" s="16">
        <f t="shared" si="16"/>
        <v>-13.333333333333334</v>
      </c>
      <c r="I26" s="17">
        <v>0.20500458795750851</v>
      </c>
      <c r="J26" t="s">
        <v>53</v>
      </c>
      <c r="L26" s="11"/>
    </row>
    <row r="27" spans="1:16" x14ac:dyDescent="0.25">
      <c r="A27" t="s">
        <v>32</v>
      </c>
      <c r="C27" s="16">
        <f t="shared" si="16"/>
        <v>0</v>
      </c>
      <c r="D27" s="16">
        <f t="shared" si="16"/>
        <v>-5</v>
      </c>
      <c r="E27" s="16">
        <f t="shared" si="16"/>
        <v>15</v>
      </c>
      <c r="F27" s="16">
        <f t="shared" si="16"/>
        <v>0</v>
      </c>
      <c r="G27" s="16">
        <f t="shared" si="16"/>
        <v>-10</v>
      </c>
      <c r="H27" s="16">
        <f t="shared" si="16"/>
        <v>0</v>
      </c>
      <c r="I27" s="17">
        <v>8.1002738929334198E-2</v>
      </c>
      <c r="J27" t="s">
        <v>54</v>
      </c>
    </row>
    <row r="28" spans="1:16" x14ac:dyDescent="0.25">
      <c r="C28" s="16">
        <f t="shared" si="16"/>
        <v>-1.6666666666666667</v>
      </c>
      <c r="D28" s="16">
        <f t="shared" si="16"/>
        <v>-2.5</v>
      </c>
      <c r="E28" s="16">
        <f t="shared" si="16"/>
        <v>0</v>
      </c>
      <c r="F28" s="16">
        <f t="shared" si="16"/>
        <v>10.833333333333334</v>
      </c>
      <c r="G28" s="16">
        <f t="shared" si="16"/>
        <v>0</v>
      </c>
      <c r="H28" s="16">
        <f t="shared" si="16"/>
        <v>-6.666666666666667</v>
      </c>
      <c r="I28" s="17">
        <v>0.19048757095625327</v>
      </c>
      <c r="J28" t="s">
        <v>55</v>
      </c>
    </row>
    <row r="29" spans="1:16" x14ac:dyDescent="0.25">
      <c r="C29" s="16">
        <f t="shared" si="16"/>
        <v>-5</v>
      </c>
      <c r="D29" s="16">
        <f t="shared" si="16"/>
        <v>0</v>
      </c>
      <c r="E29" s="16">
        <f t="shared" si="16"/>
        <v>-10</v>
      </c>
      <c r="F29" s="16">
        <f t="shared" si="16"/>
        <v>0</v>
      </c>
      <c r="G29" s="16">
        <f t="shared" si="16"/>
        <v>15</v>
      </c>
      <c r="H29" s="16">
        <f t="shared" si="16"/>
        <v>0</v>
      </c>
      <c r="I29" s="17">
        <v>-0.10599815097182549</v>
      </c>
      <c r="J29" t="s">
        <v>56</v>
      </c>
    </row>
    <row r="30" spans="1:16" x14ac:dyDescent="0.25">
      <c r="C30" s="16">
        <f t="shared" si="16"/>
        <v>0</v>
      </c>
      <c r="D30" s="16">
        <f t="shared" si="16"/>
        <v>-13.333333333333334</v>
      </c>
      <c r="E30" s="16">
        <f t="shared" si="16"/>
        <v>0</v>
      </c>
      <c r="F30" s="16">
        <f t="shared" si="16"/>
        <v>-6.666666666666667</v>
      </c>
      <c r="G30" s="16">
        <f t="shared" si="16"/>
        <v>0</v>
      </c>
      <c r="H30" s="16">
        <f t="shared" si="16"/>
        <v>20</v>
      </c>
      <c r="I30" s="17">
        <v>0.47266558231935424</v>
      </c>
      <c r="J30" t="s">
        <v>57</v>
      </c>
    </row>
    <row r="37" spans="2:8" hidden="1" x14ac:dyDescent="0.25"/>
    <row r="38" spans="2:8" hidden="1" x14ac:dyDescent="0.25"/>
    <row r="39" spans="2:8" hidden="1" x14ac:dyDescent="0.25"/>
    <row r="40" spans="2:8" hidden="1" x14ac:dyDescent="0.25"/>
    <row r="41" spans="2:8" hidden="1" x14ac:dyDescent="0.25"/>
    <row r="42" spans="2:8" hidden="1" x14ac:dyDescent="0.25"/>
    <row r="43" spans="2:8" hidden="1" x14ac:dyDescent="0.25"/>
    <row r="44" spans="2:8" hidden="1" x14ac:dyDescent="0.25"/>
    <row r="45" spans="2:8" hidden="1" x14ac:dyDescent="0.25">
      <c r="B45" t="s">
        <v>35</v>
      </c>
      <c r="D45" s="1">
        <f>_B12+_B14+_B15</f>
        <v>9.1666666666666679</v>
      </c>
      <c r="E45" s="1">
        <f>-_B12</f>
        <v>-2.5</v>
      </c>
      <c r="F45" s="1">
        <v>0</v>
      </c>
      <c r="G45" s="1">
        <f>-_B14</f>
        <v>-1.6666666666666667</v>
      </c>
      <c r="H45" s="1">
        <f>-_B15</f>
        <v>-5</v>
      </c>
    </row>
    <row r="46" spans="2:8" hidden="1" x14ac:dyDescent="0.25">
      <c r="D46" s="1">
        <f>E45</f>
        <v>-2.5</v>
      </c>
      <c r="E46" s="1">
        <f>_B12+_B23+_B24</f>
        <v>10</v>
      </c>
      <c r="F46" s="1">
        <f>-_B23</f>
        <v>-5</v>
      </c>
      <c r="G46" s="1">
        <f>-_B24</f>
        <v>-2.5</v>
      </c>
      <c r="H46" s="1">
        <v>0</v>
      </c>
    </row>
    <row r="47" spans="2:8" hidden="1" x14ac:dyDescent="0.25">
      <c r="D47" s="1">
        <f>F45</f>
        <v>0</v>
      </c>
      <c r="E47" s="1">
        <f>F46</f>
        <v>-5</v>
      </c>
      <c r="F47" s="1">
        <f>_B23+_B35</f>
        <v>10</v>
      </c>
      <c r="G47" s="1">
        <v>0</v>
      </c>
      <c r="H47" s="1">
        <f>-_B35</f>
        <v>-5</v>
      </c>
    </row>
    <row r="48" spans="2:8" hidden="1" x14ac:dyDescent="0.25">
      <c r="D48" s="1">
        <f>G45</f>
        <v>-1.6666666666666667</v>
      </c>
      <c r="E48" s="1">
        <f>G46</f>
        <v>-2.5</v>
      </c>
      <c r="F48" s="1">
        <f>G47</f>
        <v>0</v>
      </c>
      <c r="G48" s="1">
        <f>_B14+_B24</f>
        <v>4.166666666666667</v>
      </c>
      <c r="H48" s="1">
        <v>0</v>
      </c>
    </row>
    <row r="49" spans="1:16" hidden="1" x14ac:dyDescent="0.25">
      <c r="D49" s="1">
        <f>H45</f>
        <v>-5</v>
      </c>
      <c r="E49" s="1">
        <v>0</v>
      </c>
      <c r="F49" s="1">
        <f>H47</f>
        <v>-5</v>
      </c>
      <c r="G49" s="1">
        <f>H48</f>
        <v>0</v>
      </c>
      <c r="H49" s="1">
        <f>_B15+_B35</f>
        <v>10</v>
      </c>
    </row>
    <row r="50" spans="1:16" hidden="1" x14ac:dyDescent="0.25"/>
    <row r="51" spans="1:16" hidden="1" x14ac:dyDescent="0.25"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hidden="1" x14ac:dyDescent="0.25"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hidden="1" x14ac:dyDescent="0.25">
      <c r="A53" t="s">
        <v>37</v>
      </c>
      <c r="B53">
        <v>64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hidden="1" x14ac:dyDescent="0.25">
      <c r="D54">
        <v>0</v>
      </c>
      <c r="E54">
        <v>0</v>
      </c>
      <c r="F54">
        <v>0</v>
      </c>
      <c r="G54" s="9">
        <f>$L$10*N54</f>
        <v>6.666666666666667</v>
      </c>
      <c r="H54">
        <v>0</v>
      </c>
      <c r="I54" s="9">
        <f>$L$10*P54</f>
        <v>-6.666666666666667</v>
      </c>
      <c r="K54">
        <v>0</v>
      </c>
      <c r="L54">
        <v>0</v>
      </c>
      <c r="M54">
        <v>0</v>
      </c>
      <c r="N54" s="1">
        <f>1/(D10*G2)</f>
        <v>3.3333333333333335</v>
      </c>
      <c r="O54">
        <v>0</v>
      </c>
      <c r="P54" s="1">
        <f>-N54</f>
        <v>-3.3333333333333335</v>
      </c>
    </row>
    <row r="55" spans="1:16" hidden="1" x14ac:dyDescent="0.25"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hidden="1" x14ac:dyDescent="0.25">
      <c r="D56">
        <v>0</v>
      </c>
      <c r="E56">
        <v>0</v>
      </c>
      <c r="F56">
        <v>0</v>
      </c>
      <c r="G56" s="9">
        <f>$L$10*N56</f>
        <v>-6.666666666666667</v>
      </c>
      <c r="H56">
        <v>0</v>
      </c>
      <c r="I56" s="9">
        <f>$L$10*P56</f>
        <v>6.666666666666667</v>
      </c>
      <c r="K56">
        <v>0</v>
      </c>
      <c r="L56">
        <v>0</v>
      </c>
      <c r="M56">
        <v>0</v>
      </c>
      <c r="N56" s="1">
        <f>P54</f>
        <v>-3.3333333333333335</v>
      </c>
      <c r="O56">
        <v>0</v>
      </c>
      <c r="P56" s="1">
        <f>N54</f>
        <v>3.3333333333333335</v>
      </c>
    </row>
    <row r="57" spans="1:16" hidden="1" x14ac:dyDescent="0.25"/>
    <row r="58" spans="1:16" hidden="1" x14ac:dyDescent="0.25"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hidden="1" x14ac:dyDescent="0.25">
      <c r="A59" t="s">
        <v>37</v>
      </c>
      <c r="B59">
        <v>62</v>
      </c>
      <c r="D59">
        <f>$L$11*K59</f>
        <v>0</v>
      </c>
      <c r="E59" s="9">
        <f>$L$11*L59</f>
        <v>13.333333333333334</v>
      </c>
      <c r="F59">
        <v>0</v>
      </c>
      <c r="G59">
        <v>0</v>
      </c>
      <c r="H59">
        <v>0</v>
      </c>
      <c r="I59" s="9">
        <f>$L$11*P59</f>
        <v>-13.333333333333334</v>
      </c>
      <c r="K59">
        <v>0</v>
      </c>
      <c r="L59" s="1">
        <f>1/(D11*G2)</f>
        <v>3.3333333333333335</v>
      </c>
      <c r="M59">
        <v>0</v>
      </c>
      <c r="N59">
        <v>0</v>
      </c>
      <c r="O59">
        <v>0</v>
      </c>
      <c r="P59" s="1">
        <f>-L59</f>
        <v>-3.3333333333333335</v>
      </c>
    </row>
    <row r="60" spans="1:16" hidden="1" x14ac:dyDescent="0.25">
      <c r="D60">
        <f>$L$11*K60</f>
        <v>0</v>
      </c>
      <c r="E60">
        <v>0</v>
      </c>
      <c r="F60">
        <v>0</v>
      </c>
      <c r="G60">
        <v>0</v>
      </c>
      <c r="H60">
        <v>0</v>
      </c>
      <c r="I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hidden="1" x14ac:dyDescent="0.25">
      <c r="D61">
        <f>$L$11*K61</f>
        <v>0</v>
      </c>
      <c r="E61">
        <v>0</v>
      </c>
      <c r="F61">
        <v>0</v>
      </c>
      <c r="G61">
        <v>0</v>
      </c>
      <c r="H61">
        <v>0</v>
      </c>
      <c r="I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hidden="1" x14ac:dyDescent="0.25">
      <c r="D62">
        <f>$L$11*K62</f>
        <v>0</v>
      </c>
      <c r="E62">
        <v>0</v>
      </c>
      <c r="F62">
        <v>0</v>
      </c>
      <c r="G62">
        <v>0</v>
      </c>
      <c r="H62">
        <v>0</v>
      </c>
      <c r="I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hidden="1" x14ac:dyDescent="0.25">
      <c r="D63">
        <f>$L$11*K63</f>
        <v>0</v>
      </c>
      <c r="E63" s="9">
        <f>$L$11*L63</f>
        <v>-13.333333333333334</v>
      </c>
      <c r="F63">
        <v>0</v>
      </c>
      <c r="G63">
        <v>0</v>
      </c>
      <c r="H63">
        <v>0</v>
      </c>
      <c r="I63" s="9">
        <f>$L$11*P63</f>
        <v>13.333333333333334</v>
      </c>
      <c r="K63">
        <v>0</v>
      </c>
      <c r="L63" s="1">
        <f>P59</f>
        <v>-3.3333333333333335</v>
      </c>
      <c r="M63">
        <v>0</v>
      </c>
      <c r="N63">
        <v>0</v>
      </c>
      <c r="O63">
        <v>0</v>
      </c>
      <c r="P63" s="1">
        <f>L59</f>
        <v>3.3333333333333335</v>
      </c>
    </row>
    <row r="64" spans="1:16" hidden="1" x14ac:dyDescent="0.25"/>
    <row r="65" spans="1:18" hidden="1" x14ac:dyDescent="0.25"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8" hidden="1" x14ac:dyDescent="0.25">
      <c r="A66" t="s">
        <v>37</v>
      </c>
      <c r="B66">
        <v>65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8" hidden="1" x14ac:dyDescent="0.25"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8" hidden="1" x14ac:dyDescent="0.25"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8" hidden="1" x14ac:dyDescent="0.25">
      <c r="D69">
        <v>0</v>
      </c>
      <c r="E69">
        <v>0</v>
      </c>
      <c r="F69">
        <v>0</v>
      </c>
      <c r="G69">
        <v>0</v>
      </c>
      <c r="H69" s="9">
        <f>$L$12*O69</f>
        <v>0</v>
      </c>
      <c r="I69" s="9">
        <f>$L$12*P69</f>
        <v>0</v>
      </c>
      <c r="K69">
        <v>0</v>
      </c>
      <c r="L69">
        <v>0</v>
      </c>
      <c r="M69">
        <v>0</v>
      </c>
      <c r="N69">
        <v>0</v>
      </c>
      <c r="O69">
        <f>P70</f>
        <v>1.639344262295082</v>
      </c>
      <c r="P69">
        <f>-P70</f>
        <v>-1.639344262295082</v>
      </c>
    </row>
    <row r="70" spans="1:18" hidden="1" x14ac:dyDescent="0.25">
      <c r="D70">
        <v>0</v>
      </c>
      <c r="E70">
        <v>0</v>
      </c>
      <c r="F70">
        <v>0</v>
      </c>
      <c r="G70">
        <v>0</v>
      </c>
      <c r="H70" s="9">
        <f>$L$12*O70</f>
        <v>0</v>
      </c>
      <c r="I70" s="9">
        <f>$L$12*P70</f>
        <v>0</v>
      </c>
      <c r="K70">
        <v>0</v>
      </c>
      <c r="L70">
        <v>0</v>
      </c>
      <c r="M70">
        <v>0</v>
      </c>
      <c r="N70">
        <v>0</v>
      </c>
      <c r="O70">
        <f>P69</f>
        <v>-1.639344262295082</v>
      </c>
      <c r="P70" s="1">
        <f>1/(D12*G2)</f>
        <v>1.639344262295082</v>
      </c>
    </row>
    <row r="71" spans="1:18" hidden="1" x14ac:dyDescent="0.25"/>
    <row r="72" spans="1:18" hidden="1" x14ac:dyDescent="0.25"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8" hidden="1" x14ac:dyDescent="0.25">
      <c r="A73" t="s">
        <v>37</v>
      </c>
      <c r="B73">
        <v>35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8" hidden="1" x14ac:dyDescent="0.25">
      <c r="D74">
        <v>0</v>
      </c>
      <c r="E74">
        <v>0</v>
      </c>
      <c r="F74" s="9">
        <f>$L$13*M74</f>
        <v>5</v>
      </c>
      <c r="G74">
        <v>0</v>
      </c>
      <c r="H74" s="9">
        <f>$L$13*O74</f>
        <v>-5</v>
      </c>
      <c r="I74">
        <v>0</v>
      </c>
      <c r="K74">
        <v>0</v>
      </c>
      <c r="L74">
        <v>0</v>
      </c>
      <c r="M74" s="1">
        <f>1/(D13*G2)</f>
        <v>5</v>
      </c>
      <c r="N74">
        <v>0</v>
      </c>
      <c r="O74" s="1">
        <f>-M74</f>
        <v>-5</v>
      </c>
      <c r="P74">
        <v>0</v>
      </c>
    </row>
    <row r="75" spans="1:18" hidden="1" x14ac:dyDescent="0.25"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8" hidden="1" x14ac:dyDescent="0.25">
      <c r="D76">
        <v>0</v>
      </c>
      <c r="E76">
        <v>0</v>
      </c>
      <c r="F76" s="9">
        <f>$L$13*M76</f>
        <v>-5</v>
      </c>
      <c r="G76">
        <v>0</v>
      </c>
      <c r="H76" s="9">
        <f>F74</f>
        <v>5</v>
      </c>
      <c r="I76">
        <v>0</v>
      </c>
      <c r="K76">
        <v>0</v>
      </c>
      <c r="L76">
        <v>0</v>
      </c>
      <c r="M76" s="1">
        <f>O74</f>
        <v>-5</v>
      </c>
      <c r="N76">
        <v>0</v>
      </c>
      <c r="O76" s="1">
        <f>M74</f>
        <v>5</v>
      </c>
      <c r="P76">
        <v>0</v>
      </c>
    </row>
    <row r="77" spans="1:18" hidden="1" x14ac:dyDescent="0.25"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8" hidden="1" x14ac:dyDescent="0.25"/>
    <row r="79" spans="1:18" hidden="1" x14ac:dyDescent="0.25">
      <c r="A79" t="s">
        <v>36</v>
      </c>
    </row>
    <row r="80" spans="1:18" hidden="1" x14ac:dyDescent="0.25">
      <c r="B80" t="s">
        <v>5</v>
      </c>
      <c r="C80" s="18" t="s">
        <v>6</v>
      </c>
      <c r="D80" s="18" t="s">
        <v>7</v>
      </c>
      <c r="E80" s="18" t="s">
        <v>8</v>
      </c>
      <c r="F80" s="18" t="s">
        <v>9</v>
      </c>
      <c r="G80" s="18" t="s">
        <v>10</v>
      </c>
      <c r="H80" s="18" t="s">
        <v>11</v>
      </c>
      <c r="I80" s="18" t="s">
        <v>24</v>
      </c>
      <c r="J80" s="18" t="s">
        <v>25</v>
      </c>
      <c r="K80" s="18" t="s">
        <v>26</v>
      </c>
      <c r="L80" s="18" t="s">
        <v>11</v>
      </c>
      <c r="M80" t="s">
        <v>38</v>
      </c>
      <c r="N80">
        <v>2</v>
      </c>
      <c r="O80">
        <v>3</v>
      </c>
      <c r="P80">
        <v>4</v>
      </c>
      <c r="Q80">
        <v>5</v>
      </c>
      <c r="R80">
        <v>6</v>
      </c>
    </row>
    <row r="81" spans="1:18" ht="15.75" hidden="1" x14ac:dyDescent="0.25">
      <c r="B81" s="2" t="s">
        <v>6</v>
      </c>
      <c r="C81" s="6">
        <f>_B12</f>
        <v>2.5</v>
      </c>
      <c r="D81" s="6"/>
      <c r="E81" s="6"/>
      <c r="F81" s="6"/>
      <c r="G81" s="6"/>
      <c r="H81" s="6"/>
      <c r="I81" s="6"/>
      <c r="J81" s="6"/>
      <c r="K81" s="6"/>
      <c r="L81" s="6"/>
      <c r="M81" s="5">
        <v>1</v>
      </c>
      <c r="N81" s="5">
        <v>-1</v>
      </c>
      <c r="O81" s="5">
        <v>0</v>
      </c>
      <c r="P81" s="5">
        <v>0</v>
      </c>
      <c r="Q81" s="5">
        <v>0</v>
      </c>
      <c r="R81" s="5">
        <v>0</v>
      </c>
    </row>
    <row r="82" spans="1:18" ht="15.75" hidden="1" x14ac:dyDescent="0.25">
      <c r="A82" s="19" t="s">
        <v>20</v>
      </c>
      <c r="B82" s="4" t="s">
        <v>7</v>
      </c>
      <c r="C82" s="6"/>
      <c r="D82" s="6">
        <f>_B14</f>
        <v>1.6666666666666667</v>
      </c>
      <c r="E82" s="6"/>
      <c r="F82" s="6"/>
      <c r="G82" s="6"/>
      <c r="H82" s="6"/>
      <c r="I82" s="6"/>
      <c r="J82" s="6"/>
      <c r="K82" s="6"/>
      <c r="L82" s="6"/>
      <c r="M82" s="5">
        <v>1</v>
      </c>
      <c r="N82" s="5">
        <v>0</v>
      </c>
      <c r="O82" s="5">
        <v>0</v>
      </c>
      <c r="P82" s="5">
        <v>-1</v>
      </c>
      <c r="Q82" s="5">
        <v>0</v>
      </c>
      <c r="R82" s="5">
        <v>0</v>
      </c>
    </row>
    <row r="83" spans="1:18" ht="15.75" hidden="1" x14ac:dyDescent="0.25">
      <c r="A83" s="19" t="s">
        <v>20</v>
      </c>
      <c r="B83" s="4" t="s">
        <v>8</v>
      </c>
      <c r="C83" s="6"/>
      <c r="D83" s="6"/>
      <c r="E83" s="6">
        <f>_B15</f>
        <v>5</v>
      </c>
      <c r="F83" s="6"/>
      <c r="G83" s="6"/>
      <c r="H83" s="6"/>
      <c r="I83" s="6"/>
      <c r="J83" s="6"/>
      <c r="K83" s="6"/>
      <c r="L83" s="6"/>
      <c r="M83" s="5">
        <v>1</v>
      </c>
      <c r="N83" s="5">
        <v>0</v>
      </c>
      <c r="O83" s="5">
        <v>0</v>
      </c>
      <c r="P83" s="5">
        <v>0</v>
      </c>
      <c r="Q83" s="5">
        <v>-1</v>
      </c>
      <c r="R83" s="5">
        <v>0</v>
      </c>
    </row>
    <row r="84" spans="1:18" ht="15.75" hidden="1" x14ac:dyDescent="0.25">
      <c r="A84" s="19" t="s">
        <v>20</v>
      </c>
      <c r="B84" s="4" t="s">
        <v>9</v>
      </c>
      <c r="C84" s="6"/>
      <c r="D84" s="6"/>
      <c r="E84" s="6"/>
      <c r="F84" s="6">
        <f>_B23</f>
        <v>5</v>
      </c>
      <c r="G84" s="6"/>
      <c r="H84" s="6"/>
      <c r="I84" s="6"/>
      <c r="J84" s="6"/>
      <c r="K84" s="6"/>
      <c r="L84" s="6"/>
      <c r="M84" s="5">
        <v>0</v>
      </c>
      <c r="N84" s="5">
        <v>1</v>
      </c>
      <c r="O84" s="5">
        <v>-1</v>
      </c>
      <c r="P84" s="5">
        <v>0</v>
      </c>
      <c r="Q84" s="5">
        <v>0</v>
      </c>
      <c r="R84" s="5">
        <v>0</v>
      </c>
    </row>
    <row r="85" spans="1:18" ht="15.75" hidden="1" x14ac:dyDescent="0.25">
      <c r="A85" s="19" t="s">
        <v>20</v>
      </c>
      <c r="B85" s="4" t="s">
        <v>10</v>
      </c>
      <c r="C85" s="6"/>
      <c r="D85" s="6"/>
      <c r="E85" s="6"/>
      <c r="F85" s="6"/>
      <c r="G85" s="6">
        <f>_B24</f>
        <v>2.5</v>
      </c>
      <c r="H85" s="6"/>
      <c r="I85" s="6"/>
      <c r="J85" s="6"/>
      <c r="K85" s="6"/>
      <c r="L85" s="6"/>
      <c r="M85" s="5">
        <v>0</v>
      </c>
      <c r="N85" s="5">
        <v>1</v>
      </c>
      <c r="O85" s="5">
        <v>0</v>
      </c>
      <c r="P85" s="5">
        <v>-1</v>
      </c>
      <c r="Q85" s="5">
        <v>0</v>
      </c>
      <c r="R85" s="5">
        <v>0</v>
      </c>
    </row>
    <row r="86" spans="1:18" ht="15.75" hidden="1" x14ac:dyDescent="0.25">
      <c r="A86" s="19" t="s">
        <v>20</v>
      </c>
      <c r="B86" s="4" t="s">
        <v>11</v>
      </c>
      <c r="C86" s="6"/>
      <c r="D86" s="6"/>
      <c r="E86" s="6"/>
      <c r="F86" s="6"/>
      <c r="G86" s="6"/>
      <c r="H86" s="6">
        <f>_B35</f>
        <v>5</v>
      </c>
      <c r="I86" s="6"/>
      <c r="J86" s="6"/>
      <c r="K86" s="6"/>
      <c r="L86" s="6"/>
      <c r="M86" s="5">
        <v>0</v>
      </c>
      <c r="N86" s="5">
        <v>0</v>
      </c>
      <c r="O86" s="5">
        <v>1</v>
      </c>
      <c r="P86" s="5">
        <v>0</v>
      </c>
      <c r="Q86" s="5">
        <v>-1</v>
      </c>
      <c r="R86" s="5">
        <v>0</v>
      </c>
    </row>
    <row r="87" spans="1:18" ht="15.75" hidden="1" x14ac:dyDescent="0.25">
      <c r="A87" s="19" t="s">
        <v>20</v>
      </c>
      <c r="B87" s="4" t="s">
        <v>24</v>
      </c>
      <c r="C87" s="6"/>
      <c r="D87" s="6"/>
      <c r="E87" s="6"/>
      <c r="F87" s="6"/>
      <c r="G87" s="6"/>
      <c r="H87" s="6"/>
      <c r="I87" s="6">
        <f>I56</f>
        <v>6.666666666666667</v>
      </c>
      <c r="J87" s="6"/>
      <c r="K87" s="6"/>
      <c r="L87" s="6"/>
      <c r="M87" s="5">
        <v>0</v>
      </c>
      <c r="N87" s="5">
        <v>0</v>
      </c>
      <c r="O87" s="5">
        <v>0</v>
      </c>
      <c r="P87" s="5">
        <v>-1</v>
      </c>
      <c r="Q87" s="5">
        <v>0</v>
      </c>
      <c r="R87" s="5">
        <v>1</v>
      </c>
    </row>
    <row r="88" spans="1:18" ht="15.75" hidden="1" x14ac:dyDescent="0.25">
      <c r="A88" s="19" t="s">
        <v>20</v>
      </c>
      <c r="B88" s="4" t="s">
        <v>25</v>
      </c>
      <c r="C88" s="6"/>
      <c r="D88" s="6"/>
      <c r="E88" s="6"/>
      <c r="F88" s="6"/>
      <c r="G88" s="6"/>
      <c r="H88" s="6"/>
      <c r="I88" s="6"/>
      <c r="J88" s="6">
        <f>I63</f>
        <v>13.333333333333334</v>
      </c>
      <c r="K88" s="6"/>
      <c r="L88" s="6"/>
      <c r="M88" s="5">
        <v>0</v>
      </c>
      <c r="N88" s="5">
        <v>-1</v>
      </c>
      <c r="O88" s="5">
        <v>0</v>
      </c>
      <c r="P88" s="5">
        <v>0</v>
      </c>
      <c r="Q88" s="5">
        <v>0</v>
      </c>
      <c r="R88" s="5">
        <v>1</v>
      </c>
    </row>
    <row r="89" spans="1:18" ht="15.75" hidden="1" x14ac:dyDescent="0.25">
      <c r="A89" s="19" t="s">
        <v>20</v>
      </c>
      <c r="B89" s="4" t="s">
        <v>26</v>
      </c>
      <c r="C89" s="6"/>
      <c r="D89" s="6"/>
      <c r="E89" s="6"/>
      <c r="F89" s="6"/>
      <c r="G89" s="6"/>
      <c r="H89" s="6"/>
      <c r="I89" s="6"/>
      <c r="J89" s="6"/>
      <c r="K89" s="6">
        <f>I70</f>
        <v>0</v>
      </c>
      <c r="L89" s="6"/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</row>
    <row r="90" spans="1:18" ht="15.75" hidden="1" x14ac:dyDescent="0.25">
      <c r="A90" s="19" t="s">
        <v>20</v>
      </c>
      <c r="B90" s="4" t="s">
        <v>11</v>
      </c>
      <c r="C90" s="6"/>
      <c r="D90" s="6"/>
      <c r="E90" s="6"/>
      <c r="F90" s="6"/>
      <c r="G90" s="6"/>
      <c r="H90" s="6"/>
      <c r="I90" s="6"/>
      <c r="J90" s="6"/>
      <c r="K90" s="6"/>
      <c r="L90" s="6">
        <f>H76</f>
        <v>5</v>
      </c>
      <c r="M90" s="5">
        <v>0</v>
      </c>
      <c r="N90" s="5">
        <v>0</v>
      </c>
      <c r="O90" s="5">
        <v>1</v>
      </c>
      <c r="P90" s="5">
        <v>0</v>
      </c>
      <c r="Q90" s="5">
        <v>-1</v>
      </c>
      <c r="R90" s="5">
        <v>0</v>
      </c>
    </row>
    <row r="91" spans="1:18" hidden="1" x14ac:dyDescent="0.25">
      <c r="A91" t="s">
        <v>4</v>
      </c>
      <c r="C91" t="s">
        <v>39</v>
      </c>
      <c r="D91">
        <v>2</v>
      </c>
      <c r="E91">
        <v>3</v>
      </c>
      <c r="F91">
        <v>4</v>
      </c>
      <c r="G91">
        <v>5</v>
      </c>
      <c r="H91">
        <v>6</v>
      </c>
      <c r="O91" s="3"/>
    </row>
    <row r="92" spans="1:18" ht="15.75" hidden="1" x14ac:dyDescent="0.25">
      <c r="A92" s="19" t="s">
        <v>20</v>
      </c>
      <c r="B92" s="2" t="s">
        <v>6</v>
      </c>
      <c r="C92" s="7">
        <f t="shared" ref="C92:C101" si="17">$C81*M$81+$D81*M$82+$E81*M$83+$F81*M$84+$G81*M$85+$H81*M$86+$I81*M$87+$J81*M$88+$K81*M$89+$L81*M$90</f>
        <v>2.5</v>
      </c>
      <c r="D92" s="7">
        <f t="shared" ref="D92:D101" si="18">$C81*N$81+$D81*N$82+$E81*N$83+$F81*N$84+$G81*N$85+$H81*N$86+$I81*N$87+$J81*N$88+$K81*N$89+$L81*N$90</f>
        <v>-2.5</v>
      </c>
      <c r="E92" s="7">
        <f t="shared" ref="E92:E101" si="19">$C81*O$81+$D81*O$82+$E81*O$83+$F81*O$84+$G81*O$85+$H81*O$86+$I81*O$87+$J81*O$88+$K81*O$89+$L81*O$90</f>
        <v>0</v>
      </c>
      <c r="F92" s="7">
        <f t="shared" ref="F92:F101" si="20">$C81*P$81+$D81*P$82+$E81*P$83+$F81*P$84+$G81*P$85+$H81*P$86+$I81*P$87+$J81*P$88+$K81*P$89+$L81*P$90</f>
        <v>0</v>
      </c>
      <c r="G92" s="7">
        <f t="shared" ref="G92:G101" si="21">$C81*Q$81+$D81*Q$82+$E81*Q$83+$F81*Q$84+$G81*Q$85+$H81*Q$86+$I81*Q$87+$J81*Q$88+$K81*Q$89+$L81*Q$90</f>
        <v>0</v>
      </c>
      <c r="H92" s="7">
        <f t="shared" ref="H92:H101" si="22">$C81*R$81+$D81*R$82+$E81*R$83+$F81*R$84+$G81*R$85+$H81*R$86+$I81*R$87+$J81*R$88+$K81*R$89+$L81*R$90</f>
        <v>0</v>
      </c>
      <c r="O92" s="3"/>
    </row>
    <row r="93" spans="1:18" ht="15.75" hidden="1" x14ac:dyDescent="0.25">
      <c r="A93" s="19" t="s">
        <v>20</v>
      </c>
      <c r="B93" s="4" t="s">
        <v>7</v>
      </c>
      <c r="C93" s="7">
        <f t="shared" si="17"/>
        <v>1.6666666666666667</v>
      </c>
      <c r="D93" s="7">
        <f t="shared" si="18"/>
        <v>0</v>
      </c>
      <c r="E93" s="7">
        <f t="shared" si="19"/>
        <v>0</v>
      </c>
      <c r="F93" s="7">
        <f t="shared" si="20"/>
        <v>-1.6666666666666667</v>
      </c>
      <c r="G93" s="7">
        <f t="shared" si="21"/>
        <v>0</v>
      </c>
      <c r="H93" s="7">
        <f t="shared" si="22"/>
        <v>0</v>
      </c>
      <c r="O93" s="3"/>
    </row>
    <row r="94" spans="1:18" ht="15.75" hidden="1" x14ac:dyDescent="0.25">
      <c r="A94" s="19" t="s">
        <v>20</v>
      </c>
      <c r="B94" s="4" t="s">
        <v>8</v>
      </c>
      <c r="C94" s="7">
        <f t="shared" si="17"/>
        <v>5</v>
      </c>
      <c r="D94" s="7">
        <f t="shared" si="18"/>
        <v>0</v>
      </c>
      <c r="E94" s="7">
        <f t="shared" si="19"/>
        <v>0</v>
      </c>
      <c r="F94" s="7">
        <f t="shared" si="20"/>
        <v>0</v>
      </c>
      <c r="G94" s="7">
        <f t="shared" si="21"/>
        <v>-5</v>
      </c>
      <c r="H94" s="7">
        <f t="shared" si="22"/>
        <v>0</v>
      </c>
      <c r="O94" s="3"/>
    </row>
    <row r="95" spans="1:18" ht="15.75" hidden="1" x14ac:dyDescent="0.25">
      <c r="A95" s="19" t="s">
        <v>20</v>
      </c>
      <c r="B95" s="4" t="s">
        <v>9</v>
      </c>
      <c r="C95" s="7">
        <f t="shared" si="17"/>
        <v>0</v>
      </c>
      <c r="D95" s="7">
        <f t="shared" si="18"/>
        <v>5</v>
      </c>
      <c r="E95" s="7">
        <f t="shared" si="19"/>
        <v>-5</v>
      </c>
      <c r="F95" s="7">
        <f t="shared" si="20"/>
        <v>0</v>
      </c>
      <c r="G95" s="7">
        <f t="shared" si="21"/>
        <v>0</v>
      </c>
      <c r="H95" s="7">
        <f t="shared" si="22"/>
        <v>0</v>
      </c>
      <c r="O95" s="3"/>
    </row>
    <row r="96" spans="1:18" ht="15.75" hidden="1" x14ac:dyDescent="0.25">
      <c r="A96" s="19" t="s">
        <v>20</v>
      </c>
      <c r="B96" s="4" t="s">
        <v>10</v>
      </c>
      <c r="C96" s="7">
        <f t="shared" si="17"/>
        <v>0</v>
      </c>
      <c r="D96" s="7">
        <f t="shared" si="18"/>
        <v>2.5</v>
      </c>
      <c r="E96" s="7">
        <f t="shared" si="19"/>
        <v>0</v>
      </c>
      <c r="F96" s="7">
        <f t="shared" si="20"/>
        <v>-2.5</v>
      </c>
      <c r="G96" s="7">
        <f t="shared" si="21"/>
        <v>0</v>
      </c>
      <c r="H96" s="7">
        <f t="shared" si="22"/>
        <v>0</v>
      </c>
    </row>
    <row r="97" spans="1:8" ht="15.75" hidden="1" x14ac:dyDescent="0.25">
      <c r="A97" s="19" t="s">
        <v>20</v>
      </c>
      <c r="B97" s="4" t="s">
        <v>11</v>
      </c>
      <c r="C97" s="7">
        <f t="shared" si="17"/>
        <v>0</v>
      </c>
      <c r="D97" s="7">
        <f t="shared" si="18"/>
        <v>0</v>
      </c>
      <c r="E97" s="7">
        <f t="shared" si="19"/>
        <v>5</v>
      </c>
      <c r="F97" s="7">
        <f t="shared" si="20"/>
        <v>0</v>
      </c>
      <c r="G97" s="7">
        <f t="shared" si="21"/>
        <v>-5</v>
      </c>
      <c r="H97" s="7">
        <f t="shared" si="22"/>
        <v>0</v>
      </c>
    </row>
    <row r="98" spans="1:8" ht="15.75" hidden="1" x14ac:dyDescent="0.25">
      <c r="A98" s="19" t="s">
        <v>20</v>
      </c>
      <c r="B98" s="4" t="s">
        <v>24</v>
      </c>
      <c r="C98" s="7">
        <f t="shared" si="17"/>
        <v>0</v>
      </c>
      <c r="D98" s="7">
        <f t="shared" si="18"/>
        <v>0</v>
      </c>
      <c r="E98" s="7">
        <f t="shared" si="19"/>
        <v>0</v>
      </c>
      <c r="F98" s="7">
        <f t="shared" si="20"/>
        <v>-6.666666666666667</v>
      </c>
      <c r="G98" s="7">
        <f t="shared" si="21"/>
        <v>0</v>
      </c>
      <c r="H98" s="7">
        <f t="shared" si="22"/>
        <v>6.666666666666667</v>
      </c>
    </row>
    <row r="99" spans="1:8" ht="15.75" hidden="1" x14ac:dyDescent="0.25">
      <c r="A99" s="19" t="s">
        <v>20</v>
      </c>
      <c r="B99" s="4" t="s">
        <v>25</v>
      </c>
      <c r="C99" s="7">
        <f t="shared" si="17"/>
        <v>0</v>
      </c>
      <c r="D99" s="7">
        <f t="shared" si="18"/>
        <v>-13.333333333333334</v>
      </c>
      <c r="E99" s="7">
        <f t="shared" si="19"/>
        <v>0</v>
      </c>
      <c r="F99" s="7">
        <f t="shared" si="20"/>
        <v>0</v>
      </c>
      <c r="G99" s="7">
        <f t="shared" si="21"/>
        <v>0</v>
      </c>
      <c r="H99" s="7">
        <f t="shared" si="22"/>
        <v>13.333333333333334</v>
      </c>
    </row>
    <row r="100" spans="1:8" ht="15.75" hidden="1" x14ac:dyDescent="0.25">
      <c r="A100" s="19" t="s">
        <v>20</v>
      </c>
      <c r="B100" s="4" t="s">
        <v>26</v>
      </c>
      <c r="C100" s="7">
        <f t="shared" si="17"/>
        <v>0</v>
      </c>
      <c r="D100" s="7">
        <f t="shared" si="18"/>
        <v>0</v>
      </c>
      <c r="E100" s="7">
        <f t="shared" si="19"/>
        <v>0</v>
      </c>
      <c r="F100" s="7">
        <f t="shared" si="20"/>
        <v>0</v>
      </c>
      <c r="G100" s="7">
        <f t="shared" si="21"/>
        <v>0</v>
      </c>
      <c r="H100" s="7">
        <f t="shared" si="22"/>
        <v>0</v>
      </c>
    </row>
    <row r="101" spans="1:8" ht="15.75" hidden="1" x14ac:dyDescent="0.25">
      <c r="A101" s="19" t="s">
        <v>20</v>
      </c>
      <c r="B101" s="4" t="s">
        <v>11</v>
      </c>
      <c r="C101" s="7">
        <f t="shared" si="17"/>
        <v>0</v>
      </c>
      <c r="D101" s="7">
        <f t="shared" si="18"/>
        <v>0</v>
      </c>
      <c r="E101" s="7">
        <f t="shared" si="19"/>
        <v>5</v>
      </c>
      <c r="F101" s="7">
        <f t="shared" si="20"/>
        <v>0</v>
      </c>
      <c r="G101" s="7">
        <f t="shared" si="21"/>
        <v>-5</v>
      </c>
      <c r="H101" s="7">
        <f t="shared" si="22"/>
        <v>0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garver 6 Mixed-Integer NLP</vt:lpstr>
      <vt:lpstr>_B12</vt:lpstr>
      <vt:lpstr>_B14</vt:lpstr>
      <vt:lpstr>_B15</vt:lpstr>
      <vt:lpstr>_B23</vt:lpstr>
      <vt:lpstr>_B24</vt:lpstr>
      <vt:lpstr>_B35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VaioPC</dc:creator>
  <cp:lastModifiedBy>Paulo Manuel De oliveira de jesus</cp:lastModifiedBy>
  <dcterms:created xsi:type="dcterms:W3CDTF">2018-04-11T16:32:22Z</dcterms:created>
  <dcterms:modified xsi:type="dcterms:W3CDTF">2024-10-16T23:03:44Z</dcterms:modified>
</cp:coreProperties>
</file>