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msca0\projects\InvestmentResearch\src\main\resources\"/>
    </mc:Choice>
  </mc:AlternateContent>
  <xr:revisionPtr revIDLastSave="0" documentId="13_ncr:1_{8C83EB2E-683E-4BCA-94A7-541DFBD0607A}" xr6:coauthVersionLast="47" xr6:coauthVersionMax="47" xr10:uidLastSave="{00000000-0000-0000-0000-000000000000}"/>
  <bookViews>
    <workbookView xWindow="-108" yWindow="-108" windowWidth="23256" windowHeight="12456" tabRatio="704" activeTab="1" xr2:uid="{00000000-000D-0000-FFFF-FFFF00000000}"/>
  </bookViews>
  <sheets>
    <sheet name="Summary" sheetId="6" r:id="rId1"/>
    <sheet name="Data" sheetId="11" r:id="rId2"/>
    <sheet name="IncomeStatement" sheetId="4" r:id="rId3"/>
    <sheet name="BalanceSheet" sheetId="3" r:id="rId4"/>
    <sheet name="CashFlow" sheetId="5" r:id="rId5"/>
    <sheet name="Historical Prices" sheetId="7" r:id="rId6"/>
    <sheet name="Key Ratios" sheetId="8" r:id="rId7"/>
    <sheet name="ANALYST REPORT" sheetId="10" r:id="rId8"/>
    <sheet name="Screenshots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6" l="1"/>
  <c r="L29" i="6" l="1"/>
  <c r="J29" i="6"/>
  <c r="I29" i="6"/>
  <c r="B28" i="6"/>
  <c r="Y223" i="4" l="1"/>
  <c r="X223" i="4"/>
  <c r="W223" i="4"/>
  <c r="V223" i="4"/>
  <c r="U223" i="4"/>
  <c r="T223" i="4"/>
  <c r="S223" i="4"/>
  <c r="R223" i="4"/>
  <c r="Q223" i="4"/>
  <c r="P223" i="4"/>
  <c r="O223" i="4"/>
  <c r="Y222" i="4"/>
  <c r="X222" i="4"/>
  <c r="W222" i="4"/>
  <c r="V222" i="4"/>
  <c r="U222" i="4"/>
  <c r="T222" i="4"/>
  <c r="S222" i="4"/>
  <c r="R222" i="4"/>
  <c r="Q222" i="4"/>
  <c r="P222" i="4"/>
  <c r="O222" i="4"/>
  <c r="Y221" i="4"/>
  <c r="X221" i="4"/>
  <c r="W221" i="4"/>
  <c r="V221" i="4"/>
  <c r="U221" i="4"/>
  <c r="T221" i="4"/>
  <c r="S221" i="4"/>
  <c r="R221" i="4"/>
  <c r="Q221" i="4"/>
  <c r="P221" i="4"/>
  <c r="O221" i="4"/>
  <c r="Y220" i="4"/>
  <c r="X220" i="4"/>
  <c r="W220" i="4"/>
  <c r="V220" i="4"/>
  <c r="U220" i="4"/>
  <c r="T220" i="4"/>
  <c r="S220" i="4"/>
  <c r="R220" i="4"/>
  <c r="Q220" i="4"/>
  <c r="P220" i="4"/>
  <c r="O220" i="4"/>
  <c r="Y219" i="4"/>
  <c r="X219" i="4"/>
  <c r="W219" i="4"/>
  <c r="V219" i="4"/>
  <c r="U219" i="4"/>
  <c r="T219" i="4"/>
  <c r="S219" i="4"/>
  <c r="R219" i="4"/>
  <c r="Q219" i="4"/>
  <c r="P219" i="4"/>
  <c r="O219" i="4"/>
  <c r="Y218" i="4"/>
  <c r="X218" i="4"/>
  <c r="W218" i="4"/>
  <c r="V218" i="4"/>
  <c r="U218" i="4"/>
  <c r="T218" i="4"/>
  <c r="S218" i="4"/>
  <c r="R218" i="4"/>
  <c r="Q218" i="4"/>
  <c r="P218" i="4"/>
  <c r="O218" i="4"/>
  <c r="Y217" i="4"/>
  <c r="X217" i="4"/>
  <c r="W217" i="4"/>
  <c r="V217" i="4"/>
  <c r="U217" i="4"/>
  <c r="T217" i="4"/>
  <c r="S217" i="4"/>
  <c r="R217" i="4"/>
  <c r="Q217" i="4"/>
  <c r="P217" i="4"/>
  <c r="O217" i="4"/>
  <c r="Y216" i="4"/>
  <c r="X216" i="4"/>
  <c r="W216" i="4"/>
  <c r="V216" i="4"/>
  <c r="U216" i="4"/>
  <c r="T216" i="4"/>
  <c r="S216" i="4"/>
  <c r="R216" i="4"/>
  <c r="Q216" i="4"/>
  <c r="P216" i="4"/>
  <c r="O216" i="4"/>
  <c r="Y215" i="4"/>
  <c r="X215" i="4"/>
  <c r="W215" i="4"/>
  <c r="V215" i="4"/>
  <c r="U215" i="4"/>
  <c r="T215" i="4"/>
  <c r="S215" i="4"/>
  <c r="R215" i="4"/>
  <c r="Q215" i="4"/>
  <c r="P215" i="4"/>
  <c r="O215" i="4"/>
  <c r="Y214" i="4"/>
  <c r="X214" i="4"/>
  <c r="W214" i="4"/>
  <c r="V214" i="4"/>
  <c r="U214" i="4"/>
  <c r="T214" i="4"/>
  <c r="S214" i="4"/>
  <c r="R214" i="4"/>
  <c r="Q214" i="4"/>
  <c r="P214" i="4"/>
  <c r="O214" i="4"/>
  <c r="Y213" i="4"/>
  <c r="X213" i="4"/>
  <c r="W213" i="4"/>
  <c r="V213" i="4"/>
  <c r="U213" i="4"/>
  <c r="T213" i="4"/>
  <c r="S213" i="4"/>
  <c r="R213" i="4"/>
  <c r="Q213" i="4"/>
  <c r="P213" i="4"/>
  <c r="O213" i="4"/>
  <c r="Y212" i="4"/>
  <c r="X212" i="4"/>
  <c r="W212" i="4"/>
  <c r="V212" i="4"/>
  <c r="U212" i="4"/>
  <c r="T212" i="4"/>
  <c r="S212" i="4"/>
  <c r="R212" i="4"/>
  <c r="Q212" i="4"/>
  <c r="P212" i="4"/>
  <c r="O212" i="4"/>
  <c r="Y211" i="4"/>
  <c r="X211" i="4"/>
  <c r="W211" i="4"/>
  <c r="V211" i="4"/>
  <c r="U211" i="4"/>
  <c r="T211" i="4"/>
  <c r="S211" i="4"/>
  <c r="R211" i="4"/>
  <c r="Q211" i="4"/>
  <c r="P211" i="4"/>
  <c r="O211" i="4"/>
  <c r="Y210" i="4"/>
  <c r="X210" i="4"/>
  <c r="W210" i="4"/>
  <c r="V210" i="4"/>
  <c r="U210" i="4"/>
  <c r="T210" i="4"/>
  <c r="S210" i="4"/>
  <c r="R210" i="4"/>
  <c r="Q210" i="4"/>
  <c r="P210" i="4"/>
  <c r="O210" i="4"/>
  <c r="Y209" i="4"/>
  <c r="X209" i="4"/>
  <c r="W209" i="4"/>
  <c r="V209" i="4"/>
  <c r="U209" i="4"/>
  <c r="T209" i="4"/>
  <c r="S209" i="4"/>
  <c r="R209" i="4"/>
  <c r="Q209" i="4"/>
  <c r="P209" i="4"/>
  <c r="O209" i="4"/>
  <c r="Y208" i="4"/>
  <c r="X208" i="4"/>
  <c r="W208" i="4"/>
  <c r="V208" i="4"/>
  <c r="U208" i="4"/>
  <c r="T208" i="4"/>
  <c r="S208" i="4"/>
  <c r="R208" i="4"/>
  <c r="Q208" i="4"/>
  <c r="P208" i="4"/>
  <c r="O208" i="4"/>
  <c r="Y207" i="4"/>
  <c r="X207" i="4"/>
  <c r="W207" i="4"/>
  <c r="V207" i="4"/>
  <c r="U207" i="4"/>
  <c r="T207" i="4"/>
  <c r="S207" i="4"/>
  <c r="R207" i="4"/>
  <c r="Q207" i="4"/>
  <c r="P207" i="4"/>
  <c r="O207" i="4"/>
  <c r="Y206" i="4"/>
  <c r="X206" i="4"/>
  <c r="W206" i="4"/>
  <c r="V206" i="4"/>
  <c r="U206" i="4"/>
  <c r="T206" i="4"/>
  <c r="S206" i="4"/>
  <c r="R206" i="4"/>
  <c r="Q206" i="4"/>
  <c r="P206" i="4"/>
  <c r="O206" i="4"/>
  <c r="Y205" i="4"/>
  <c r="X205" i="4"/>
  <c r="W205" i="4"/>
  <c r="V205" i="4"/>
  <c r="U205" i="4"/>
  <c r="T205" i="4"/>
  <c r="S205" i="4"/>
  <c r="R205" i="4"/>
  <c r="Q205" i="4"/>
  <c r="P205" i="4"/>
  <c r="O205" i="4"/>
  <c r="Y204" i="4"/>
  <c r="X204" i="4"/>
  <c r="W204" i="4"/>
  <c r="V204" i="4"/>
  <c r="U204" i="4"/>
  <c r="T204" i="4"/>
  <c r="S204" i="4"/>
  <c r="R204" i="4"/>
  <c r="Q204" i="4"/>
  <c r="P204" i="4"/>
  <c r="O204" i="4"/>
  <c r="Y203" i="4"/>
  <c r="X203" i="4"/>
  <c r="W203" i="4"/>
  <c r="V203" i="4"/>
  <c r="U203" i="4"/>
  <c r="T203" i="4"/>
  <c r="S203" i="4"/>
  <c r="R203" i="4"/>
  <c r="Q203" i="4"/>
  <c r="P203" i="4"/>
  <c r="O203" i="4"/>
  <c r="Y202" i="4"/>
  <c r="X202" i="4"/>
  <c r="W202" i="4"/>
  <c r="V202" i="4"/>
  <c r="U202" i="4"/>
  <c r="T202" i="4"/>
  <c r="S202" i="4"/>
  <c r="R202" i="4"/>
  <c r="Q202" i="4"/>
  <c r="P202" i="4"/>
  <c r="O202" i="4"/>
  <c r="Y201" i="4"/>
  <c r="X201" i="4"/>
  <c r="W201" i="4"/>
  <c r="V201" i="4"/>
  <c r="U201" i="4"/>
  <c r="T201" i="4"/>
  <c r="S201" i="4"/>
  <c r="R201" i="4"/>
  <c r="Q201" i="4"/>
  <c r="P201" i="4"/>
  <c r="O201" i="4"/>
  <c r="Y200" i="4"/>
  <c r="X200" i="4"/>
  <c r="W200" i="4"/>
  <c r="V200" i="4"/>
  <c r="U200" i="4"/>
  <c r="T200" i="4"/>
  <c r="S200" i="4"/>
  <c r="R200" i="4"/>
  <c r="Q200" i="4"/>
  <c r="P200" i="4"/>
  <c r="O200" i="4"/>
  <c r="Y199" i="4"/>
  <c r="X199" i="4"/>
  <c r="W199" i="4"/>
  <c r="V199" i="4"/>
  <c r="U199" i="4"/>
  <c r="T199" i="4"/>
  <c r="S199" i="4"/>
  <c r="R199" i="4"/>
  <c r="Q199" i="4"/>
  <c r="P199" i="4"/>
  <c r="O199" i="4"/>
  <c r="Y198" i="4"/>
  <c r="X198" i="4"/>
  <c r="W198" i="4"/>
  <c r="V198" i="4"/>
  <c r="U198" i="4"/>
  <c r="T198" i="4"/>
  <c r="S198" i="4"/>
  <c r="R198" i="4"/>
  <c r="Q198" i="4"/>
  <c r="P198" i="4"/>
  <c r="O198" i="4"/>
  <c r="Y197" i="4"/>
  <c r="X197" i="4"/>
  <c r="W197" i="4"/>
  <c r="V197" i="4"/>
  <c r="U197" i="4"/>
  <c r="T197" i="4"/>
  <c r="S197" i="4"/>
  <c r="R197" i="4"/>
  <c r="Q197" i="4"/>
  <c r="P197" i="4"/>
  <c r="O197" i="4"/>
  <c r="Y196" i="4"/>
  <c r="X196" i="4"/>
  <c r="W196" i="4"/>
  <c r="V196" i="4"/>
  <c r="U196" i="4"/>
  <c r="T196" i="4"/>
  <c r="S196" i="4"/>
  <c r="R196" i="4"/>
  <c r="Q196" i="4"/>
  <c r="P196" i="4"/>
  <c r="O196" i="4"/>
  <c r="Y195" i="4"/>
  <c r="X195" i="4"/>
  <c r="W195" i="4"/>
  <c r="V195" i="4"/>
  <c r="U195" i="4"/>
  <c r="T195" i="4"/>
  <c r="S195" i="4"/>
  <c r="R195" i="4"/>
  <c r="Q195" i="4"/>
  <c r="P195" i="4"/>
  <c r="O195" i="4"/>
  <c r="Y194" i="4"/>
  <c r="X194" i="4"/>
  <c r="W194" i="4"/>
  <c r="V194" i="4"/>
  <c r="U194" i="4"/>
  <c r="T194" i="4"/>
  <c r="S194" i="4"/>
  <c r="R194" i="4"/>
  <c r="Q194" i="4"/>
  <c r="P194" i="4"/>
  <c r="O194" i="4"/>
  <c r="Y193" i="4"/>
  <c r="X193" i="4"/>
  <c r="W193" i="4"/>
  <c r="V193" i="4"/>
  <c r="U193" i="4"/>
  <c r="T193" i="4"/>
  <c r="S193" i="4"/>
  <c r="R193" i="4"/>
  <c r="Q193" i="4"/>
  <c r="P193" i="4"/>
  <c r="O193" i="4"/>
  <c r="Y192" i="4"/>
  <c r="X192" i="4"/>
  <c r="W192" i="4"/>
  <c r="V192" i="4"/>
  <c r="U192" i="4"/>
  <c r="T192" i="4"/>
  <c r="S192" i="4"/>
  <c r="R192" i="4"/>
  <c r="Q192" i="4"/>
  <c r="P192" i="4"/>
  <c r="O192" i="4"/>
  <c r="Y191" i="4"/>
  <c r="X191" i="4"/>
  <c r="W191" i="4"/>
  <c r="V191" i="4"/>
  <c r="U191" i="4"/>
  <c r="T191" i="4"/>
  <c r="S191" i="4"/>
  <c r="R191" i="4"/>
  <c r="Q191" i="4"/>
  <c r="P191" i="4"/>
  <c r="O191" i="4"/>
  <c r="Y190" i="4"/>
  <c r="X190" i="4"/>
  <c r="W190" i="4"/>
  <c r="V190" i="4"/>
  <c r="U190" i="4"/>
  <c r="T190" i="4"/>
  <c r="S190" i="4"/>
  <c r="R190" i="4"/>
  <c r="Q190" i="4"/>
  <c r="P190" i="4"/>
  <c r="O190" i="4"/>
  <c r="Y189" i="4"/>
  <c r="X189" i="4"/>
  <c r="W189" i="4"/>
  <c r="V189" i="4"/>
  <c r="U189" i="4"/>
  <c r="T189" i="4"/>
  <c r="S189" i="4"/>
  <c r="R189" i="4"/>
  <c r="Q189" i="4"/>
  <c r="P189" i="4"/>
  <c r="O189" i="4"/>
  <c r="Y188" i="4"/>
  <c r="X188" i="4"/>
  <c r="W188" i="4"/>
  <c r="V188" i="4"/>
  <c r="U188" i="4"/>
  <c r="T188" i="4"/>
  <c r="S188" i="4"/>
  <c r="R188" i="4"/>
  <c r="Q188" i="4"/>
  <c r="P188" i="4"/>
  <c r="O188" i="4"/>
  <c r="Y187" i="4"/>
  <c r="X187" i="4"/>
  <c r="W187" i="4"/>
  <c r="V187" i="4"/>
  <c r="U187" i="4"/>
  <c r="T187" i="4"/>
  <c r="S187" i="4"/>
  <c r="R187" i="4"/>
  <c r="Q187" i="4"/>
  <c r="P187" i="4"/>
  <c r="O187" i="4"/>
  <c r="Y186" i="4"/>
  <c r="X186" i="4"/>
  <c r="W186" i="4"/>
  <c r="V186" i="4"/>
  <c r="U186" i="4"/>
  <c r="T186" i="4"/>
  <c r="S186" i="4"/>
  <c r="R186" i="4"/>
  <c r="Q186" i="4"/>
  <c r="P186" i="4"/>
  <c r="O186" i="4"/>
  <c r="Y185" i="4"/>
  <c r="X185" i="4"/>
  <c r="W185" i="4"/>
  <c r="V185" i="4"/>
  <c r="U185" i="4"/>
  <c r="T185" i="4"/>
  <c r="S185" i="4"/>
  <c r="R185" i="4"/>
  <c r="Q185" i="4"/>
  <c r="P185" i="4"/>
  <c r="O185" i="4"/>
  <c r="Y184" i="4"/>
  <c r="X184" i="4"/>
  <c r="W184" i="4"/>
  <c r="V184" i="4"/>
  <c r="U184" i="4"/>
  <c r="T184" i="4"/>
  <c r="S184" i="4"/>
  <c r="R184" i="4"/>
  <c r="Q184" i="4"/>
  <c r="P184" i="4"/>
  <c r="O184" i="4"/>
  <c r="Y183" i="4"/>
  <c r="X183" i="4"/>
  <c r="W183" i="4"/>
  <c r="V183" i="4"/>
  <c r="U183" i="4"/>
  <c r="T183" i="4"/>
  <c r="S183" i="4"/>
  <c r="R183" i="4"/>
  <c r="Q183" i="4"/>
  <c r="P183" i="4"/>
  <c r="O183" i="4"/>
  <c r="Y182" i="4"/>
  <c r="X182" i="4"/>
  <c r="W182" i="4"/>
  <c r="V182" i="4"/>
  <c r="U182" i="4"/>
  <c r="T182" i="4"/>
  <c r="S182" i="4"/>
  <c r="R182" i="4"/>
  <c r="Q182" i="4"/>
  <c r="P182" i="4"/>
  <c r="O182" i="4"/>
  <c r="Y181" i="4"/>
  <c r="X181" i="4"/>
  <c r="W181" i="4"/>
  <c r="V181" i="4"/>
  <c r="U181" i="4"/>
  <c r="T181" i="4"/>
  <c r="S181" i="4"/>
  <c r="R181" i="4"/>
  <c r="Q181" i="4"/>
  <c r="P181" i="4"/>
  <c r="O181" i="4"/>
  <c r="Y180" i="4"/>
  <c r="X180" i="4"/>
  <c r="W180" i="4"/>
  <c r="V180" i="4"/>
  <c r="U180" i="4"/>
  <c r="T180" i="4"/>
  <c r="S180" i="4"/>
  <c r="R180" i="4"/>
  <c r="Q180" i="4"/>
  <c r="P180" i="4"/>
  <c r="O180" i="4"/>
  <c r="Y179" i="4"/>
  <c r="X179" i="4"/>
  <c r="W179" i="4"/>
  <c r="V179" i="4"/>
  <c r="U179" i="4"/>
  <c r="T179" i="4"/>
  <c r="S179" i="4"/>
  <c r="R179" i="4"/>
  <c r="Q179" i="4"/>
  <c r="P179" i="4"/>
  <c r="O179" i="4"/>
  <c r="Y178" i="4"/>
  <c r="X178" i="4"/>
  <c r="W178" i="4"/>
  <c r="V178" i="4"/>
  <c r="U178" i="4"/>
  <c r="T178" i="4"/>
  <c r="S178" i="4"/>
  <c r="R178" i="4"/>
  <c r="Q178" i="4"/>
  <c r="P178" i="4"/>
  <c r="O178" i="4"/>
  <c r="Y177" i="4"/>
  <c r="X177" i="4"/>
  <c r="W177" i="4"/>
  <c r="V177" i="4"/>
  <c r="U177" i="4"/>
  <c r="T177" i="4"/>
  <c r="S177" i="4"/>
  <c r="R177" i="4"/>
  <c r="Q177" i="4"/>
  <c r="P177" i="4"/>
  <c r="O177" i="4"/>
  <c r="Y176" i="4"/>
  <c r="X176" i="4"/>
  <c r="W176" i="4"/>
  <c r="V176" i="4"/>
  <c r="U176" i="4"/>
  <c r="T176" i="4"/>
  <c r="S176" i="4"/>
  <c r="R176" i="4"/>
  <c r="Q176" i="4"/>
  <c r="P176" i="4"/>
  <c r="O176" i="4"/>
  <c r="Y175" i="4"/>
  <c r="X175" i="4"/>
  <c r="W175" i="4"/>
  <c r="V175" i="4"/>
  <c r="U175" i="4"/>
  <c r="T175" i="4"/>
  <c r="S175" i="4"/>
  <c r="R175" i="4"/>
  <c r="Q175" i="4"/>
  <c r="P175" i="4"/>
  <c r="O175" i="4"/>
  <c r="Y174" i="4"/>
  <c r="X174" i="4"/>
  <c r="W174" i="4"/>
  <c r="V174" i="4"/>
  <c r="U174" i="4"/>
  <c r="T174" i="4"/>
  <c r="S174" i="4"/>
  <c r="R174" i="4"/>
  <c r="Q174" i="4"/>
  <c r="P174" i="4"/>
  <c r="O174" i="4"/>
  <c r="Y173" i="4"/>
  <c r="X173" i="4"/>
  <c r="W173" i="4"/>
  <c r="V173" i="4"/>
  <c r="U173" i="4"/>
  <c r="T173" i="4"/>
  <c r="S173" i="4"/>
  <c r="R173" i="4"/>
  <c r="Q173" i="4"/>
  <c r="P173" i="4"/>
  <c r="O173" i="4"/>
  <c r="Y172" i="4"/>
  <c r="X172" i="4"/>
  <c r="W172" i="4"/>
  <c r="V172" i="4"/>
  <c r="U172" i="4"/>
  <c r="T172" i="4"/>
  <c r="S172" i="4"/>
  <c r="R172" i="4"/>
  <c r="Q172" i="4"/>
  <c r="P172" i="4"/>
  <c r="O172" i="4"/>
  <c r="Y171" i="4"/>
  <c r="X171" i="4"/>
  <c r="W171" i="4"/>
  <c r="V171" i="4"/>
  <c r="U171" i="4"/>
  <c r="T171" i="4"/>
  <c r="S171" i="4"/>
  <c r="R171" i="4"/>
  <c r="Q171" i="4"/>
  <c r="P171" i="4"/>
  <c r="O171" i="4"/>
  <c r="Y170" i="4"/>
  <c r="X170" i="4"/>
  <c r="W170" i="4"/>
  <c r="V170" i="4"/>
  <c r="U170" i="4"/>
  <c r="T170" i="4"/>
  <c r="S170" i="4"/>
  <c r="R170" i="4"/>
  <c r="Q170" i="4"/>
  <c r="P170" i="4"/>
  <c r="O170" i="4"/>
  <c r="Y169" i="4"/>
  <c r="X169" i="4"/>
  <c r="W169" i="4"/>
  <c r="V169" i="4"/>
  <c r="U169" i="4"/>
  <c r="T169" i="4"/>
  <c r="S169" i="4"/>
  <c r="R169" i="4"/>
  <c r="Q169" i="4"/>
  <c r="P169" i="4"/>
  <c r="O169" i="4"/>
  <c r="Y168" i="4"/>
  <c r="X168" i="4"/>
  <c r="W168" i="4"/>
  <c r="V168" i="4"/>
  <c r="U168" i="4"/>
  <c r="T168" i="4"/>
  <c r="S168" i="4"/>
  <c r="R168" i="4"/>
  <c r="Q168" i="4"/>
  <c r="P168" i="4"/>
  <c r="O168" i="4"/>
  <c r="Y167" i="4"/>
  <c r="X167" i="4"/>
  <c r="W167" i="4"/>
  <c r="V167" i="4"/>
  <c r="U167" i="4"/>
  <c r="T167" i="4"/>
  <c r="S167" i="4"/>
  <c r="R167" i="4"/>
  <c r="Q167" i="4"/>
  <c r="P167" i="4"/>
  <c r="O167" i="4"/>
  <c r="Y166" i="4"/>
  <c r="X166" i="4"/>
  <c r="W166" i="4"/>
  <c r="V166" i="4"/>
  <c r="U166" i="4"/>
  <c r="T166" i="4"/>
  <c r="S166" i="4"/>
  <c r="R166" i="4"/>
  <c r="Q166" i="4"/>
  <c r="P166" i="4"/>
  <c r="O166" i="4"/>
  <c r="Y165" i="4"/>
  <c r="X165" i="4"/>
  <c r="W165" i="4"/>
  <c r="V165" i="4"/>
  <c r="U165" i="4"/>
  <c r="T165" i="4"/>
  <c r="S165" i="4"/>
  <c r="R165" i="4"/>
  <c r="Q165" i="4"/>
  <c r="P165" i="4"/>
  <c r="O165" i="4"/>
  <c r="Y164" i="4"/>
  <c r="X164" i="4"/>
  <c r="W164" i="4"/>
  <c r="V164" i="4"/>
  <c r="U164" i="4"/>
  <c r="T164" i="4"/>
  <c r="S164" i="4"/>
  <c r="R164" i="4"/>
  <c r="Q164" i="4"/>
  <c r="P164" i="4"/>
  <c r="O164" i="4"/>
  <c r="Y163" i="4"/>
  <c r="X163" i="4"/>
  <c r="W163" i="4"/>
  <c r="V163" i="4"/>
  <c r="U163" i="4"/>
  <c r="T163" i="4"/>
  <c r="S163" i="4"/>
  <c r="R163" i="4"/>
  <c r="Q163" i="4"/>
  <c r="P163" i="4"/>
  <c r="O163" i="4"/>
  <c r="Y162" i="4"/>
  <c r="X162" i="4"/>
  <c r="W162" i="4"/>
  <c r="V162" i="4"/>
  <c r="U162" i="4"/>
  <c r="T162" i="4"/>
  <c r="S162" i="4"/>
  <c r="R162" i="4"/>
  <c r="Q162" i="4"/>
  <c r="P162" i="4"/>
  <c r="O162" i="4"/>
  <c r="Y161" i="4"/>
  <c r="X161" i="4"/>
  <c r="W161" i="4"/>
  <c r="V161" i="4"/>
  <c r="U161" i="4"/>
  <c r="T161" i="4"/>
  <c r="S161" i="4"/>
  <c r="R161" i="4"/>
  <c r="Q161" i="4"/>
  <c r="P161" i="4"/>
  <c r="O161" i="4"/>
  <c r="Y160" i="4"/>
  <c r="X160" i="4"/>
  <c r="W160" i="4"/>
  <c r="V160" i="4"/>
  <c r="U160" i="4"/>
  <c r="T160" i="4"/>
  <c r="S160" i="4"/>
  <c r="R160" i="4"/>
  <c r="Q160" i="4"/>
  <c r="P160" i="4"/>
  <c r="O160" i="4"/>
  <c r="Y159" i="4"/>
  <c r="X159" i="4"/>
  <c r="W159" i="4"/>
  <c r="V159" i="4"/>
  <c r="U159" i="4"/>
  <c r="T159" i="4"/>
  <c r="S159" i="4"/>
  <c r="R159" i="4"/>
  <c r="Q159" i="4"/>
  <c r="P159" i="4"/>
  <c r="O159" i="4"/>
  <c r="Y158" i="4"/>
  <c r="X158" i="4"/>
  <c r="W158" i="4"/>
  <c r="V158" i="4"/>
  <c r="U158" i="4"/>
  <c r="T158" i="4"/>
  <c r="S158" i="4"/>
  <c r="R158" i="4"/>
  <c r="Q158" i="4"/>
  <c r="P158" i="4"/>
  <c r="O158" i="4"/>
  <c r="Y157" i="4"/>
  <c r="X157" i="4"/>
  <c r="W157" i="4"/>
  <c r="V157" i="4"/>
  <c r="U157" i="4"/>
  <c r="T157" i="4"/>
  <c r="S157" i="4"/>
  <c r="R157" i="4"/>
  <c r="Q157" i="4"/>
  <c r="P157" i="4"/>
  <c r="O157" i="4"/>
  <c r="Y156" i="4"/>
  <c r="X156" i="4"/>
  <c r="W156" i="4"/>
  <c r="V156" i="4"/>
  <c r="U156" i="4"/>
  <c r="T156" i="4"/>
  <c r="S156" i="4"/>
  <c r="R156" i="4"/>
  <c r="Q156" i="4"/>
  <c r="P156" i="4"/>
  <c r="O156" i="4"/>
  <c r="Y155" i="4"/>
  <c r="X155" i="4"/>
  <c r="W155" i="4"/>
  <c r="V155" i="4"/>
  <c r="U155" i="4"/>
  <c r="T155" i="4"/>
  <c r="S155" i="4"/>
  <c r="R155" i="4"/>
  <c r="Q155" i="4"/>
  <c r="P155" i="4"/>
  <c r="O155" i="4"/>
  <c r="Y154" i="4"/>
  <c r="X154" i="4"/>
  <c r="W154" i="4"/>
  <c r="V154" i="4"/>
  <c r="U154" i="4"/>
  <c r="T154" i="4"/>
  <c r="S154" i="4"/>
  <c r="R154" i="4"/>
  <c r="Q154" i="4"/>
  <c r="P154" i="4"/>
  <c r="O154" i="4"/>
  <c r="Y153" i="4"/>
  <c r="X153" i="4"/>
  <c r="W153" i="4"/>
  <c r="V153" i="4"/>
  <c r="U153" i="4"/>
  <c r="T153" i="4"/>
  <c r="S153" i="4"/>
  <c r="R153" i="4"/>
  <c r="Q153" i="4"/>
  <c r="P153" i="4"/>
  <c r="O153" i="4"/>
  <c r="Y152" i="4"/>
  <c r="X152" i="4"/>
  <c r="W152" i="4"/>
  <c r="V152" i="4"/>
  <c r="U152" i="4"/>
  <c r="T152" i="4"/>
  <c r="S152" i="4"/>
  <c r="R152" i="4"/>
  <c r="Q152" i="4"/>
  <c r="P152" i="4"/>
  <c r="O152" i="4"/>
  <c r="Y151" i="4"/>
  <c r="X151" i="4"/>
  <c r="W151" i="4"/>
  <c r="V151" i="4"/>
  <c r="U151" i="4"/>
  <c r="T151" i="4"/>
  <c r="S151" i="4"/>
  <c r="R151" i="4"/>
  <c r="Q151" i="4"/>
  <c r="P151" i="4"/>
  <c r="O151" i="4"/>
  <c r="Y150" i="4"/>
  <c r="X150" i="4"/>
  <c r="W150" i="4"/>
  <c r="V150" i="4"/>
  <c r="U150" i="4"/>
  <c r="T150" i="4"/>
  <c r="S150" i="4"/>
  <c r="R150" i="4"/>
  <c r="Q150" i="4"/>
  <c r="P150" i="4"/>
  <c r="O150" i="4"/>
  <c r="Y149" i="4"/>
  <c r="X149" i="4"/>
  <c r="W149" i="4"/>
  <c r="V149" i="4"/>
  <c r="U149" i="4"/>
  <c r="T149" i="4"/>
  <c r="S149" i="4"/>
  <c r="R149" i="4"/>
  <c r="Q149" i="4"/>
  <c r="P149" i="4"/>
  <c r="O149" i="4"/>
  <c r="Y148" i="4"/>
  <c r="X148" i="4"/>
  <c r="W148" i="4"/>
  <c r="V148" i="4"/>
  <c r="U148" i="4"/>
  <c r="T148" i="4"/>
  <c r="S148" i="4"/>
  <c r="R148" i="4"/>
  <c r="Q148" i="4"/>
  <c r="P148" i="4"/>
  <c r="O148" i="4"/>
  <c r="Y147" i="4"/>
  <c r="X147" i="4"/>
  <c r="W147" i="4"/>
  <c r="V147" i="4"/>
  <c r="U147" i="4"/>
  <c r="T147" i="4"/>
  <c r="S147" i="4"/>
  <c r="R147" i="4"/>
  <c r="Q147" i="4"/>
  <c r="P147" i="4"/>
  <c r="O147" i="4"/>
  <c r="Y146" i="4"/>
  <c r="X146" i="4"/>
  <c r="W146" i="4"/>
  <c r="V146" i="4"/>
  <c r="U146" i="4"/>
  <c r="T146" i="4"/>
  <c r="S146" i="4"/>
  <c r="R146" i="4"/>
  <c r="Q146" i="4"/>
  <c r="P146" i="4"/>
  <c r="O146" i="4"/>
  <c r="Y145" i="4"/>
  <c r="X145" i="4"/>
  <c r="W145" i="4"/>
  <c r="V145" i="4"/>
  <c r="U145" i="4"/>
  <c r="T145" i="4"/>
  <c r="S145" i="4"/>
  <c r="R145" i="4"/>
  <c r="Q145" i="4"/>
  <c r="P145" i="4"/>
  <c r="O145" i="4"/>
  <c r="Y144" i="4"/>
  <c r="X144" i="4"/>
  <c r="W144" i="4"/>
  <c r="V144" i="4"/>
  <c r="U144" i="4"/>
  <c r="T144" i="4"/>
  <c r="S144" i="4"/>
  <c r="R144" i="4"/>
  <c r="Q144" i="4"/>
  <c r="P144" i="4"/>
  <c r="O144" i="4"/>
  <c r="Y143" i="4"/>
  <c r="X143" i="4"/>
  <c r="W143" i="4"/>
  <c r="V143" i="4"/>
  <c r="U143" i="4"/>
  <c r="T143" i="4"/>
  <c r="S143" i="4"/>
  <c r="R143" i="4"/>
  <c r="Q143" i="4"/>
  <c r="P143" i="4"/>
  <c r="O143" i="4"/>
  <c r="Y142" i="4"/>
  <c r="X142" i="4"/>
  <c r="W142" i="4"/>
  <c r="V142" i="4"/>
  <c r="U142" i="4"/>
  <c r="T142" i="4"/>
  <c r="S142" i="4"/>
  <c r="R142" i="4"/>
  <c r="Q142" i="4"/>
  <c r="P142" i="4"/>
  <c r="O142" i="4"/>
  <c r="Y141" i="4"/>
  <c r="X141" i="4"/>
  <c r="W141" i="4"/>
  <c r="V141" i="4"/>
  <c r="U141" i="4"/>
  <c r="T141" i="4"/>
  <c r="S141" i="4"/>
  <c r="R141" i="4"/>
  <c r="Q141" i="4"/>
  <c r="P141" i="4"/>
  <c r="O141" i="4"/>
  <c r="Y140" i="4"/>
  <c r="X140" i="4"/>
  <c r="W140" i="4"/>
  <c r="V140" i="4"/>
  <c r="U140" i="4"/>
  <c r="T140" i="4"/>
  <c r="S140" i="4"/>
  <c r="R140" i="4"/>
  <c r="Q140" i="4"/>
  <c r="P140" i="4"/>
  <c r="O140" i="4"/>
  <c r="Y139" i="4"/>
  <c r="X139" i="4"/>
  <c r="W139" i="4"/>
  <c r="V139" i="4"/>
  <c r="U139" i="4"/>
  <c r="T139" i="4"/>
  <c r="S139" i="4"/>
  <c r="R139" i="4"/>
  <c r="Q139" i="4"/>
  <c r="P139" i="4"/>
  <c r="O139" i="4"/>
  <c r="Y138" i="4"/>
  <c r="X138" i="4"/>
  <c r="W138" i="4"/>
  <c r="V138" i="4"/>
  <c r="U138" i="4"/>
  <c r="T138" i="4"/>
  <c r="S138" i="4"/>
  <c r="R138" i="4"/>
  <c r="Q138" i="4"/>
  <c r="P138" i="4"/>
  <c r="O138" i="4"/>
  <c r="Y137" i="4"/>
  <c r="X137" i="4"/>
  <c r="W137" i="4"/>
  <c r="V137" i="4"/>
  <c r="U137" i="4"/>
  <c r="T137" i="4"/>
  <c r="S137" i="4"/>
  <c r="R137" i="4"/>
  <c r="Q137" i="4"/>
  <c r="P137" i="4"/>
  <c r="O137" i="4"/>
  <c r="Y136" i="4"/>
  <c r="X136" i="4"/>
  <c r="W136" i="4"/>
  <c r="V136" i="4"/>
  <c r="U136" i="4"/>
  <c r="T136" i="4"/>
  <c r="S136" i="4"/>
  <c r="R136" i="4"/>
  <c r="Q136" i="4"/>
  <c r="P136" i="4"/>
  <c r="O136" i="4"/>
  <c r="Y135" i="4"/>
  <c r="X135" i="4"/>
  <c r="W135" i="4"/>
  <c r="V135" i="4"/>
  <c r="U135" i="4"/>
  <c r="T135" i="4"/>
  <c r="S135" i="4"/>
  <c r="R135" i="4"/>
  <c r="Q135" i="4"/>
  <c r="P135" i="4"/>
  <c r="O135" i="4"/>
  <c r="Y134" i="4"/>
  <c r="X134" i="4"/>
  <c r="W134" i="4"/>
  <c r="V134" i="4"/>
  <c r="U134" i="4"/>
  <c r="T134" i="4"/>
  <c r="S134" i="4"/>
  <c r="R134" i="4"/>
  <c r="Q134" i="4"/>
  <c r="P134" i="4"/>
  <c r="O134" i="4"/>
  <c r="Y133" i="4"/>
  <c r="X133" i="4"/>
  <c r="W133" i="4"/>
  <c r="V133" i="4"/>
  <c r="U133" i="4"/>
  <c r="T133" i="4"/>
  <c r="S133" i="4"/>
  <c r="R133" i="4"/>
  <c r="Q133" i="4"/>
  <c r="P133" i="4"/>
  <c r="O133" i="4"/>
  <c r="Y132" i="4"/>
  <c r="X132" i="4"/>
  <c r="W132" i="4"/>
  <c r="V132" i="4"/>
  <c r="U132" i="4"/>
  <c r="T132" i="4"/>
  <c r="S132" i="4"/>
  <c r="R132" i="4"/>
  <c r="Q132" i="4"/>
  <c r="P132" i="4"/>
  <c r="O132" i="4"/>
  <c r="Y131" i="4"/>
  <c r="X131" i="4"/>
  <c r="W131" i="4"/>
  <c r="V131" i="4"/>
  <c r="U131" i="4"/>
  <c r="T131" i="4"/>
  <c r="S131" i="4"/>
  <c r="R131" i="4"/>
  <c r="Q131" i="4"/>
  <c r="P131" i="4"/>
  <c r="O131" i="4"/>
  <c r="Y130" i="4"/>
  <c r="X130" i="4"/>
  <c r="W130" i="4"/>
  <c r="V130" i="4"/>
  <c r="U130" i="4"/>
  <c r="T130" i="4"/>
  <c r="S130" i="4"/>
  <c r="R130" i="4"/>
  <c r="Q130" i="4"/>
  <c r="P130" i="4"/>
  <c r="O130" i="4"/>
  <c r="Y129" i="4"/>
  <c r="X129" i="4"/>
  <c r="W129" i="4"/>
  <c r="V129" i="4"/>
  <c r="U129" i="4"/>
  <c r="T129" i="4"/>
  <c r="S129" i="4"/>
  <c r="R129" i="4"/>
  <c r="Q129" i="4"/>
  <c r="P129" i="4"/>
  <c r="O129" i="4"/>
  <c r="Y128" i="4"/>
  <c r="X128" i="4"/>
  <c r="W128" i="4"/>
  <c r="V128" i="4"/>
  <c r="U128" i="4"/>
  <c r="T128" i="4"/>
  <c r="S128" i="4"/>
  <c r="R128" i="4"/>
  <c r="Q128" i="4"/>
  <c r="P128" i="4"/>
  <c r="O128" i="4"/>
  <c r="Y127" i="4"/>
  <c r="X127" i="4"/>
  <c r="W127" i="4"/>
  <c r="V127" i="4"/>
  <c r="U127" i="4"/>
  <c r="T127" i="4"/>
  <c r="S127" i="4"/>
  <c r="R127" i="4"/>
  <c r="Q127" i="4"/>
  <c r="P127" i="4"/>
  <c r="O127" i="4"/>
  <c r="Y126" i="4"/>
  <c r="X126" i="4"/>
  <c r="W126" i="4"/>
  <c r="V126" i="4"/>
  <c r="U126" i="4"/>
  <c r="T126" i="4"/>
  <c r="S126" i="4"/>
  <c r="R126" i="4"/>
  <c r="Q126" i="4"/>
  <c r="P126" i="4"/>
  <c r="O126" i="4"/>
  <c r="Y125" i="4"/>
  <c r="X125" i="4"/>
  <c r="W125" i="4"/>
  <c r="V125" i="4"/>
  <c r="U125" i="4"/>
  <c r="T125" i="4"/>
  <c r="S125" i="4"/>
  <c r="R125" i="4"/>
  <c r="Q125" i="4"/>
  <c r="P125" i="4"/>
  <c r="O125" i="4"/>
  <c r="Y124" i="4"/>
  <c r="X124" i="4"/>
  <c r="W124" i="4"/>
  <c r="V124" i="4"/>
  <c r="U124" i="4"/>
  <c r="T124" i="4"/>
  <c r="S124" i="4"/>
  <c r="R124" i="4"/>
  <c r="Q124" i="4"/>
  <c r="P124" i="4"/>
  <c r="O124" i="4"/>
  <c r="Y123" i="4"/>
  <c r="X123" i="4"/>
  <c r="W123" i="4"/>
  <c r="V123" i="4"/>
  <c r="U123" i="4"/>
  <c r="T123" i="4"/>
  <c r="S123" i="4"/>
  <c r="R123" i="4"/>
  <c r="Q123" i="4"/>
  <c r="P123" i="4"/>
  <c r="O123" i="4"/>
  <c r="Y122" i="4"/>
  <c r="X122" i="4"/>
  <c r="W122" i="4"/>
  <c r="V122" i="4"/>
  <c r="U122" i="4"/>
  <c r="T122" i="4"/>
  <c r="S122" i="4"/>
  <c r="R122" i="4"/>
  <c r="Q122" i="4"/>
  <c r="P122" i="4"/>
  <c r="O122" i="4"/>
  <c r="Y121" i="4"/>
  <c r="X121" i="4"/>
  <c r="W121" i="4"/>
  <c r="V121" i="4"/>
  <c r="U121" i="4"/>
  <c r="T121" i="4"/>
  <c r="S121" i="4"/>
  <c r="R121" i="4"/>
  <c r="Q121" i="4"/>
  <c r="P121" i="4"/>
  <c r="O121" i="4"/>
  <c r="Y120" i="4"/>
  <c r="X120" i="4"/>
  <c r="W120" i="4"/>
  <c r="V120" i="4"/>
  <c r="U120" i="4"/>
  <c r="T120" i="4"/>
  <c r="S120" i="4"/>
  <c r="R120" i="4"/>
  <c r="Q120" i="4"/>
  <c r="P120" i="4"/>
  <c r="O120" i="4"/>
  <c r="Y119" i="4"/>
  <c r="X119" i="4"/>
  <c r="W119" i="4"/>
  <c r="V119" i="4"/>
  <c r="U119" i="4"/>
  <c r="T119" i="4"/>
  <c r="S119" i="4"/>
  <c r="R119" i="4"/>
  <c r="Q119" i="4"/>
  <c r="P119" i="4"/>
  <c r="O119" i="4"/>
  <c r="Y118" i="4"/>
  <c r="X118" i="4"/>
  <c r="W118" i="4"/>
  <c r="V118" i="4"/>
  <c r="U118" i="4"/>
  <c r="T118" i="4"/>
  <c r="S118" i="4"/>
  <c r="R118" i="4"/>
  <c r="Q118" i="4"/>
  <c r="P118" i="4"/>
  <c r="O118" i="4"/>
  <c r="Y117" i="4"/>
  <c r="X117" i="4"/>
  <c r="W117" i="4"/>
  <c r="V117" i="4"/>
  <c r="U117" i="4"/>
  <c r="T117" i="4"/>
  <c r="S117" i="4"/>
  <c r="R117" i="4"/>
  <c r="Q117" i="4"/>
  <c r="P117" i="4"/>
  <c r="O117" i="4"/>
  <c r="Y116" i="4"/>
  <c r="X116" i="4"/>
  <c r="W116" i="4"/>
  <c r="V116" i="4"/>
  <c r="U116" i="4"/>
  <c r="T116" i="4"/>
  <c r="S116" i="4"/>
  <c r="R116" i="4"/>
  <c r="Q116" i="4"/>
  <c r="P116" i="4"/>
  <c r="O116" i="4"/>
  <c r="Y115" i="4"/>
  <c r="X115" i="4"/>
  <c r="W115" i="4"/>
  <c r="V115" i="4"/>
  <c r="U115" i="4"/>
  <c r="T115" i="4"/>
  <c r="S115" i="4"/>
  <c r="R115" i="4"/>
  <c r="Q115" i="4"/>
  <c r="P115" i="4"/>
  <c r="O115" i="4"/>
  <c r="Y114" i="4"/>
  <c r="X114" i="4"/>
  <c r="W114" i="4"/>
  <c r="V114" i="4"/>
  <c r="U114" i="4"/>
  <c r="T114" i="4"/>
  <c r="S114" i="4"/>
  <c r="R114" i="4"/>
  <c r="Q114" i="4"/>
  <c r="P114" i="4"/>
  <c r="O114" i="4"/>
  <c r="Y113" i="4"/>
  <c r="X113" i="4"/>
  <c r="W113" i="4"/>
  <c r="V113" i="4"/>
  <c r="U113" i="4"/>
  <c r="T113" i="4"/>
  <c r="S113" i="4"/>
  <c r="R113" i="4"/>
  <c r="Q113" i="4"/>
  <c r="P113" i="4"/>
  <c r="O113" i="4"/>
  <c r="Y112" i="4"/>
  <c r="X112" i="4"/>
  <c r="W112" i="4"/>
  <c r="V112" i="4"/>
  <c r="U112" i="4"/>
  <c r="T112" i="4"/>
  <c r="S112" i="4"/>
  <c r="R112" i="4"/>
  <c r="Q112" i="4"/>
  <c r="P112" i="4"/>
  <c r="O112" i="4"/>
  <c r="Y111" i="4"/>
  <c r="X111" i="4"/>
  <c r="W111" i="4"/>
  <c r="V111" i="4"/>
  <c r="U111" i="4"/>
  <c r="T111" i="4"/>
  <c r="S111" i="4"/>
  <c r="R111" i="4"/>
  <c r="Q111" i="4"/>
  <c r="P111" i="4"/>
  <c r="O111" i="4"/>
  <c r="Y110" i="4"/>
  <c r="X110" i="4"/>
  <c r="W110" i="4"/>
  <c r="V110" i="4"/>
  <c r="U110" i="4"/>
  <c r="T110" i="4"/>
  <c r="S110" i="4"/>
  <c r="R110" i="4"/>
  <c r="Q110" i="4"/>
  <c r="P110" i="4"/>
  <c r="O110" i="4"/>
  <c r="Y109" i="4"/>
  <c r="X109" i="4"/>
  <c r="W109" i="4"/>
  <c r="V109" i="4"/>
  <c r="U109" i="4"/>
  <c r="T109" i="4"/>
  <c r="S109" i="4"/>
  <c r="R109" i="4"/>
  <c r="Q109" i="4"/>
  <c r="P109" i="4"/>
  <c r="O109" i="4"/>
  <c r="Y108" i="4"/>
  <c r="X108" i="4"/>
  <c r="W108" i="4"/>
  <c r="V108" i="4"/>
  <c r="U108" i="4"/>
  <c r="T108" i="4"/>
  <c r="S108" i="4"/>
  <c r="R108" i="4"/>
  <c r="Q108" i="4"/>
  <c r="P108" i="4"/>
  <c r="O108" i="4"/>
  <c r="Y107" i="4"/>
  <c r="X107" i="4"/>
  <c r="W107" i="4"/>
  <c r="V107" i="4"/>
  <c r="U107" i="4"/>
  <c r="T107" i="4"/>
  <c r="S107" i="4"/>
  <c r="R107" i="4"/>
  <c r="Q107" i="4"/>
  <c r="P107" i="4"/>
  <c r="O107" i="4"/>
  <c r="Y106" i="4"/>
  <c r="X106" i="4"/>
  <c r="W106" i="4"/>
  <c r="V106" i="4"/>
  <c r="U106" i="4"/>
  <c r="T106" i="4"/>
  <c r="S106" i="4"/>
  <c r="R106" i="4"/>
  <c r="Q106" i="4"/>
  <c r="P106" i="4"/>
  <c r="O106" i="4"/>
  <c r="Y105" i="4"/>
  <c r="X105" i="4"/>
  <c r="W105" i="4"/>
  <c r="V105" i="4"/>
  <c r="U105" i="4"/>
  <c r="T105" i="4"/>
  <c r="S105" i="4"/>
  <c r="R105" i="4"/>
  <c r="Q105" i="4"/>
  <c r="P105" i="4"/>
  <c r="O105" i="4"/>
  <c r="Y104" i="4"/>
  <c r="X104" i="4"/>
  <c r="W104" i="4"/>
  <c r="V104" i="4"/>
  <c r="U104" i="4"/>
  <c r="T104" i="4"/>
  <c r="S104" i="4"/>
  <c r="R104" i="4"/>
  <c r="Q104" i="4"/>
  <c r="P104" i="4"/>
  <c r="O104" i="4"/>
  <c r="Y103" i="4"/>
  <c r="X103" i="4"/>
  <c r="W103" i="4"/>
  <c r="V103" i="4"/>
  <c r="U103" i="4"/>
  <c r="T103" i="4"/>
  <c r="S103" i="4"/>
  <c r="R103" i="4"/>
  <c r="Q103" i="4"/>
  <c r="P103" i="4"/>
  <c r="O103" i="4"/>
  <c r="Y102" i="4"/>
  <c r="X102" i="4"/>
  <c r="W102" i="4"/>
  <c r="V102" i="4"/>
  <c r="U102" i="4"/>
  <c r="T102" i="4"/>
  <c r="S102" i="4"/>
  <c r="R102" i="4"/>
  <c r="Q102" i="4"/>
  <c r="P102" i="4"/>
  <c r="O102" i="4"/>
  <c r="Y101" i="4"/>
  <c r="X101" i="4"/>
  <c r="W101" i="4"/>
  <c r="V101" i="4"/>
  <c r="U101" i="4"/>
  <c r="T101" i="4"/>
  <c r="S101" i="4"/>
  <c r="R101" i="4"/>
  <c r="Q101" i="4"/>
  <c r="P101" i="4"/>
  <c r="O101" i="4"/>
  <c r="Y100" i="4"/>
  <c r="X100" i="4"/>
  <c r="W100" i="4"/>
  <c r="V100" i="4"/>
  <c r="U100" i="4"/>
  <c r="T100" i="4"/>
  <c r="S100" i="4"/>
  <c r="R100" i="4"/>
  <c r="Q100" i="4"/>
  <c r="P100" i="4"/>
  <c r="O100" i="4"/>
  <c r="Y99" i="4"/>
  <c r="X99" i="4"/>
  <c r="W99" i="4"/>
  <c r="V99" i="4"/>
  <c r="U99" i="4"/>
  <c r="T99" i="4"/>
  <c r="S99" i="4"/>
  <c r="R99" i="4"/>
  <c r="Q99" i="4"/>
  <c r="P99" i="4"/>
  <c r="O99" i="4"/>
  <c r="Y98" i="4"/>
  <c r="X98" i="4"/>
  <c r="W98" i="4"/>
  <c r="V98" i="4"/>
  <c r="U98" i="4"/>
  <c r="T98" i="4"/>
  <c r="S98" i="4"/>
  <c r="R98" i="4"/>
  <c r="Q98" i="4"/>
  <c r="P98" i="4"/>
  <c r="O98" i="4"/>
  <c r="Y97" i="4"/>
  <c r="X97" i="4"/>
  <c r="W97" i="4"/>
  <c r="V97" i="4"/>
  <c r="U97" i="4"/>
  <c r="T97" i="4"/>
  <c r="S97" i="4"/>
  <c r="R97" i="4"/>
  <c r="Q97" i="4"/>
  <c r="P97" i="4"/>
  <c r="O97" i="4"/>
  <c r="Y96" i="4"/>
  <c r="X96" i="4"/>
  <c r="W96" i="4"/>
  <c r="V96" i="4"/>
  <c r="U96" i="4"/>
  <c r="T96" i="4"/>
  <c r="S96" i="4"/>
  <c r="R96" i="4"/>
  <c r="Q96" i="4"/>
  <c r="P96" i="4"/>
  <c r="O96" i="4"/>
  <c r="Y95" i="4"/>
  <c r="X95" i="4"/>
  <c r="W95" i="4"/>
  <c r="V95" i="4"/>
  <c r="U95" i="4"/>
  <c r="T95" i="4"/>
  <c r="S95" i="4"/>
  <c r="R95" i="4"/>
  <c r="Q95" i="4"/>
  <c r="P95" i="4"/>
  <c r="O95" i="4"/>
  <c r="Y94" i="4"/>
  <c r="X94" i="4"/>
  <c r="W94" i="4"/>
  <c r="V94" i="4"/>
  <c r="U94" i="4"/>
  <c r="T94" i="4"/>
  <c r="S94" i="4"/>
  <c r="R94" i="4"/>
  <c r="Q94" i="4"/>
  <c r="P94" i="4"/>
  <c r="O94" i="4"/>
  <c r="Y93" i="4"/>
  <c r="X93" i="4"/>
  <c r="W93" i="4"/>
  <c r="V93" i="4"/>
  <c r="U93" i="4"/>
  <c r="T93" i="4"/>
  <c r="S93" i="4"/>
  <c r="R93" i="4"/>
  <c r="Q93" i="4"/>
  <c r="P93" i="4"/>
  <c r="O93" i="4"/>
  <c r="Y92" i="4"/>
  <c r="X92" i="4"/>
  <c r="W92" i="4"/>
  <c r="V92" i="4"/>
  <c r="U92" i="4"/>
  <c r="T92" i="4"/>
  <c r="S92" i="4"/>
  <c r="R92" i="4"/>
  <c r="Q92" i="4"/>
  <c r="P92" i="4"/>
  <c r="O92" i="4"/>
  <c r="Y91" i="4"/>
  <c r="X91" i="4"/>
  <c r="W91" i="4"/>
  <c r="V91" i="4"/>
  <c r="U91" i="4"/>
  <c r="T91" i="4"/>
  <c r="S91" i="4"/>
  <c r="R91" i="4"/>
  <c r="Q91" i="4"/>
  <c r="P91" i="4"/>
  <c r="O91" i="4"/>
  <c r="Y90" i="4"/>
  <c r="X90" i="4"/>
  <c r="W90" i="4"/>
  <c r="V90" i="4"/>
  <c r="U90" i="4"/>
  <c r="T90" i="4"/>
  <c r="S90" i="4"/>
  <c r="R90" i="4"/>
  <c r="Q90" i="4"/>
  <c r="P90" i="4"/>
  <c r="O90" i="4"/>
  <c r="Y89" i="4"/>
  <c r="X89" i="4"/>
  <c r="W89" i="4"/>
  <c r="V89" i="4"/>
  <c r="U89" i="4"/>
  <c r="T89" i="4"/>
  <c r="S89" i="4"/>
  <c r="R89" i="4"/>
  <c r="Q89" i="4"/>
  <c r="P89" i="4"/>
  <c r="O89" i="4"/>
  <c r="Y88" i="4"/>
  <c r="X88" i="4"/>
  <c r="W88" i="4"/>
  <c r="V88" i="4"/>
  <c r="U88" i="4"/>
  <c r="T88" i="4"/>
  <c r="S88" i="4"/>
  <c r="R88" i="4"/>
  <c r="Q88" i="4"/>
  <c r="P88" i="4"/>
  <c r="O88" i="4"/>
  <c r="Y87" i="4"/>
  <c r="X87" i="4"/>
  <c r="W87" i="4"/>
  <c r="V87" i="4"/>
  <c r="U87" i="4"/>
  <c r="T87" i="4"/>
  <c r="S87" i="4"/>
  <c r="R87" i="4"/>
  <c r="Q87" i="4"/>
  <c r="P87" i="4"/>
  <c r="O87" i="4"/>
  <c r="Y86" i="4"/>
  <c r="X86" i="4"/>
  <c r="W86" i="4"/>
  <c r="V86" i="4"/>
  <c r="U86" i="4"/>
  <c r="T86" i="4"/>
  <c r="S86" i="4"/>
  <c r="R86" i="4"/>
  <c r="Q86" i="4"/>
  <c r="P86" i="4"/>
  <c r="O86" i="4"/>
  <c r="Y85" i="4"/>
  <c r="X85" i="4"/>
  <c r="W85" i="4"/>
  <c r="V85" i="4"/>
  <c r="U85" i="4"/>
  <c r="T85" i="4"/>
  <c r="S85" i="4"/>
  <c r="R85" i="4"/>
  <c r="Q85" i="4"/>
  <c r="P85" i="4"/>
  <c r="O85" i="4"/>
  <c r="Y84" i="4"/>
  <c r="X84" i="4"/>
  <c r="W84" i="4"/>
  <c r="V84" i="4"/>
  <c r="U84" i="4"/>
  <c r="T84" i="4"/>
  <c r="S84" i="4"/>
  <c r="R84" i="4"/>
  <c r="Q84" i="4"/>
  <c r="P84" i="4"/>
  <c r="O84" i="4"/>
  <c r="Y83" i="4"/>
  <c r="X83" i="4"/>
  <c r="W83" i="4"/>
  <c r="V83" i="4"/>
  <c r="U83" i="4"/>
  <c r="T83" i="4"/>
  <c r="S83" i="4"/>
  <c r="R83" i="4"/>
  <c r="Q83" i="4"/>
  <c r="P83" i="4"/>
  <c r="O83" i="4"/>
  <c r="Y82" i="4"/>
  <c r="X82" i="4"/>
  <c r="W82" i="4"/>
  <c r="V82" i="4"/>
  <c r="U82" i="4"/>
  <c r="T82" i="4"/>
  <c r="S82" i="4"/>
  <c r="R82" i="4"/>
  <c r="Q82" i="4"/>
  <c r="P82" i="4"/>
  <c r="O82" i="4"/>
  <c r="Y81" i="4"/>
  <c r="X81" i="4"/>
  <c r="W81" i="4"/>
  <c r="V81" i="4"/>
  <c r="U81" i="4"/>
  <c r="T81" i="4"/>
  <c r="S81" i="4"/>
  <c r="R81" i="4"/>
  <c r="Q81" i="4"/>
  <c r="P81" i="4"/>
  <c r="O81" i="4"/>
  <c r="Y80" i="4"/>
  <c r="X80" i="4"/>
  <c r="W80" i="4"/>
  <c r="V80" i="4"/>
  <c r="U80" i="4"/>
  <c r="T80" i="4"/>
  <c r="S80" i="4"/>
  <c r="R80" i="4"/>
  <c r="Q80" i="4"/>
  <c r="P80" i="4"/>
  <c r="O80" i="4"/>
  <c r="Y79" i="4"/>
  <c r="X79" i="4"/>
  <c r="W79" i="4"/>
  <c r="V79" i="4"/>
  <c r="U79" i="4"/>
  <c r="T79" i="4"/>
  <c r="S79" i="4"/>
  <c r="R79" i="4"/>
  <c r="Q79" i="4"/>
  <c r="P79" i="4"/>
  <c r="O79" i="4"/>
  <c r="Y78" i="4"/>
  <c r="X78" i="4"/>
  <c r="W78" i="4"/>
  <c r="V78" i="4"/>
  <c r="U78" i="4"/>
  <c r="T78" i="4"/>
  <c r="S78" i="4"/>
  <c r="R78" i="4"/>
  <c r="Q78" i="4"/>
  <c r="P78" i="4"/>
  <c r="O78" i="4"/>
  <c r="Y77" i="4"/>
  <c r="X77" i="4"/>
  <c r="W77" i="4"/>
  <c r="V77" i="4"/>
  <c r="U77" i="4"/>
  <c r="T77" i="4"/>
  <c r="S77" i="4"/>
  <c r="R77" i="4"/>
  <c r="Q77" i="4"/>
  <c r="P77" i="4"/>
  <c r="O77" i="4"/>
  <c r="Y76" i="4"/>
  <c r="X76" i="4"/>
  <c r="W76" i="4"/>
  <c r="V76" i="4"/>
  <c r="U76" i="4"/>
  <c r="T76" i="4"/>
  <c r="S76" i="4"/>
  <c r="R76" i="4"/>
  <c r="Q76" i="4"/>
  <c r="P76" i="4"/>
  <c r="O76" i="4"/>
  <c r="Y75" i="4"/>
  <c r="X75" i="4"/>
  <c r="W75" i="4"/>
  <c r="V75" i="4"/>
  <c r="U75" i="4"/>
  <c r="T75" i="4"/>
  <c r="S75" i="4"/>
  <c r="R75" i="4"/>
  <c r="Q75" i="4"/>
  <c r="P75" i="4"/>
  <c r="O75" i="4"/>
  <c r="Y74" i="4"/>
  <c r="X74" i="4"/>
  <c r="W74" i="4"/>
  <c r="V74" i="4"/>
  <c r="U74" i="4"/>
  <c r="T74" i="4"/>
  <c r="S74" i="4"/>
  <c r="R74" i="4"/>
  <c r="Q74" i="4"/>
  <c r="P74" i="4"/>
  <c r="O74" i="4"/>
  <c r="Y73" i="4"/>
  <c r="X73" i="4"/>
  <c r="W73" i="4"/>
  <c r="V73" i="4"/>
  <c r="U73" i="4"/>
  <c r="T73" i="4"/>
  <c r="S73" i="4"/>
  <c r="R73" i="4"/>
  <c r="Q73" i="4"/>
  <c r="P73" i="4"/>
  <c r="O73" i="4"/>
  <c r="Y72" i="4"/>
  <c r="X72" i="4"/>
  <c r="W72" i="4"/>
  <c r="V72" i="4"/>
  <c r="U72" i="4"/>
  <c r="T72" i="4"/>
  <c r="S72" i="4"/>
  <c r="R72" i="4"/>
  <c r="Q72" i="4"/>
  <c r="P72" i="4"/>
  <c r="O72" i="4"/>
  <c r="Y71" i="4"/>
  <c r="X71" i="4"/>
  <c r="W71" i="4"/>
  <c r="V71" i="4"/>
  <c r="U71" i="4"/>
  <c r="T71" i="4"/>
  <c r="S71" i="4"/>
  <c r="R71" i="4"/>
  <c r="Q71" i="4"/>
  <c r="P71" i="4"/>
  <c r="O71" i="4"/>
  <c r="Y70" i="4"/>
  <c r="X70" i="4"/>
  <c r="W70" i="4"/>
  <c r="V70" i="4"/>
  <c r="U70" i="4"/>
  <c r="T70" i="4"/>
  <c r="S70" i="4"/>
  <c r="R70" i="4"/>
  <c r="Q70" i="4"/>
  <c r="P70" i="4"/>
  <c r="O70" i="4"/>
  <c r="Y69" i="4"/>
  <c r="X69" i="4"/>
  <c r="W69" i="4"/>
  <c r="V69" i="4"/>
  <c r="U69" i="4"/>
  <c r="T69" i="4"/>
  <c r="S69" i="4"/>
  <c r="R69" i="4"/>
  <c r="Q69" i="4"/>
  <c r="P69" i="4"/>
  <c r="O69" i="4"/>
  <c r="Y68" i="4"/>
  <c r="X68" i="4"/>
  <c r="W68" i="4"/>
  <c r="V68" i="4"/>
  <c r="U68" i="4"/>
  <c r="T68" i="4"/>
  <c r="S68" i="4"/>
  <c r="R68" i="4"/>
  <c r="Q68" i="4"/>
  <c r="P68" i="4"/>
  <c r="O68" i="4"/>
  <c r="Y67" i="4"/>
  <c r="X67" i="4"/>
  <c r="W67" i="4"/>
  <c r="V67" i="4"/>
  <c r="U67" i="4"/>
  <c r="T67" i="4"/>
  <c r="S67" i="4"/>
  <c r="R67" i="4"/>
  <c r="Q67" i="4"/>
  <c r="P67" i="4"/>
  <c r="O67" i="4"/>
  <c r="Y66" i="4"/>
  <c r="X66" i="4"/>
  <c r="W66" i="4"/>
  <c r="V66" i="4"/>
  <c r="U66" i="4"/>
  <c r="T66" i="4"/>
  <c r="S66" i="4"/>
  <c r="R66" i="4"/>
  <c r="Q66" i="4"/>
  <c r="P66" i="4"/>
  <c r="O66" i="4"/>
  <c r="Y65" i="4"/>
  <c r="X65" i="4"/>
  <c r="W65" i="4"/>
  <c r="V65" i="4"/>
  <c r="U65" i="4"/>
  <c r="T65" i="4"/>
  <c r="S65" i="4"/>
  <c r="R65" i="4"/>
  <c r="Q65" i="4"/>
  <c r="P65" i="4"/>
  <c r="O65" i="4"/>
  <c r="Y64" i="4"/>
  <c r="X64" i="4"/>
  <c r="W64" i="4"/>
  <c r="V64" i="4"/>
  <c r="U64" i="4"/>
  <c r="T64" i="4"/>
  <c r="S64" i="4"/>
  <c r="R64" i="4"/>
  <c r="Q64" i="4"/>
  <c r="P64" i="4"/>
  <c r="O64" i="4"/>
  <c r="Y63" i="4"/>
  <c r="X63" i="4"/>
  <c r="W63" i="4"/>
  <c r="V63" i="4"/>
  <c r="U63" i="4"/>
  <c r="T63" i="4"/>
  <c r="S63" i="4"/>
  <c r="R63" i="4"/>
  <c r="Q63" i="4"/>
  <c r="P63" i="4"/>
  <c r="O63" i="4"/>
  <c r="Y62" i="4"/>
  <c r="X62" i="4"/>
  <c r="W62" i="4"/>
  <c r="V62" i="4"/>
  <c r="U62" i="4"/>
  <c r="T62" i="4"/>
  <c r="S62" i="4"/>
  <c r="R62" i="4"/>
  <c r="Q62" i="4"/>
  <c r="P62" i="4"/>
  <c r="O62" i="4"/>
  <c r="Y61" i="4"/>
  <c r="X61" i="4"/>
  <c r="W61" i="4"/>
  <c r="V61" i="4"/>
  <c r="U61" i="4"/>
  <c r="T61" i="4"/>
  <c r="S61" i="4"/>
  <c r="R61" i="4"/>
  <c r="Q61" i="4"/>
  <c r="P61" i="4"/>
  <c r="O61" i="4"/>
  <c r="Y60" i="4"/>
  <c r="X60" i="4"/>
  <c r="W60" i="4"/>
  <c r="V60" i="4"/>
  <c r="U60" i="4"/>
  <c r="T60" i="4"/>
  <c r="S60" i="4"/>
  <c r="R60" i="4"/>
  <c r="Q60" i="4"/>
  <c r="P60" i="4"/>
  <c r="O60" i="4"/>
  <c r="Y59" i="4"/>
  <c r="X59" i="4"/>
  <c r="W59" i="4"/>
  <c r="V59" i="4"/>
  <c r="U59" i="4"/>
  <c r="T59" i="4"/>
  <c r="S59" i="4"/>
  <c r="R59" i="4"/>
  <c r="Q59" i="4"/>
  <c r="P59" i="4"/>
  <c r="O59" i="4"/>
  <c r="Y58" i="4"/>
  <c r="X58" i="4"/>
  <c r="W58" i="4"/>
  <c r="V58" i="4"/>
  <c r="U58" i="4"/>
  <c r="T58" i="4"/>
  <c r="S58" i="4"/>
  <c r="R58" i="4"/>
  <c r="Q58" i="4"/>
  <c r="P58" i="4"/>
  <c r="O58" i="4"/>
  <c r="Y57" i="4"/>
  <c r="X57" i="4"/>
  <c r="W57" i="4"/>
  <c r="V57" i="4"/>
  <c r="U57" i="4"/>
  <c r="T57" i="4"/>
  <c r="S57" i="4"/>
  <c r="R57" i="4"/>
  <c r="Q57" i="4"/>
  <c r="P57" i="4"/>
  <c r="O57" i="4"/>
  <c r="Y56" i="4"/>
  <c r="X56" i="4"/>
  <c r="W56" i="4"/>
  <c r="V56" i="4"/>
  <c r="U56" i="4"/>
  <c r="T56" i="4"/>
  <c r="S56" i="4"/>
  <c r="R56" i="4"/>
  <c r="Q56" i="4"/>
  <c r="P56" i="4"/>
  <c r="O56" i="4"/>
  <c r="Y55" i="4"/>
  <c r="X55" i="4"/>
  <c r="W55" i="4"/>
  <c r="V55" i="4"/>
  <c r="U55" i="4"/>
  <c r="T55" i="4"/>
  <c r="S55" i="4"/>
  <c r="R55" i="4"/>
  <c r="Q55" i="4"/>
  <c r="P55" i="4"/>
  <c r="O55" i="4"/>
  <c r="Y54" i="4"/>
  <c r="X54" i="4"/>
  <c r="W54" i="4"/>
  <c r="V54" i="4"/>
  <c r="U54" i="4"/>
  <c r="T54" i="4"/>
  <c r="S54" i="4"/>
  <c r="R54" i="4"/>
  <c r="Q54" i="4"/>
  <c r="P54" i="4"/>
  <c r="O54" i="4"/>
  <c r="Y53" i="4"/>
  <c r="X53" i="4"/>
  <c r="W53" i="4"/>
  <c r="V53" i="4"/>
  <c r="U53" i="4"/>
  <c r="T53" i="4"/>
  <c r="S53" i="4"/>
  <c r="R53" i="4"/>
  <c r="Q53" i="4"/>
  <c r="P53" i="4"/>
  <c r="O53" i="4"/>
  <c r="Y52" i="4"/>
  <c r="X52" i="4"/>
  <c r="W52" i="4"/>
  <c r="V52" i="4"/>
  <c r="U52" i="4"/>
  <c r="T52" i="4"/>
  <c r="S52" i="4"/>
  <c r="R52" i="4"/>
  <c r="Q52" i="4"/>
  <c r="P52" i="4"/>
  <c r="O52" i="4"/>
  <c r="Y51" i="4"/>
  <c r="X51" i="4"/>
  <c r="W51" i="4"/>
  <c r="V51" i="4"/>
  <c r="U51" i="4"/>
  <c r="T51" i="4"/>
  <c r="S51" i="4"/>
  <c r="R51" i="4"/>
  <c r="Q51" i="4"/>
  <c r="P51" i="4"/>
  <c r="O51" i="4"/>
  <c r="Y50" i="4"/>
  <c r="X50" i="4"/>
  <c r="W50" i="4"/>
  <c r="V50" i="4"/>
  <c r="U50" i="4"/>
  <c r="T50" i="4"/>
  <c r="S50" i="4"/>
  <c r="R50" i="4"/>
  <c r="Q50" i="4"/>
  <c r="P50" i="4"/>
  <c r="O50" i="4"/>
  <c r="Y49" i="4"/>
  <c r="X49" i="4"/>
  <c r="W49" i="4"/>
  <c r="V49" i="4"/>
  <c r="U49" i="4"/>
  <c r="T49" i="4"/>
  <c r="S49" i="4"/>
  <c r="R49" i="4"/>
  <c r="Q49" i="4"/>
  <c r="P49" i="4"/>
  <c r="O49" i="4"/>
  <c r="Y48" i="4"/>
  <c r="X48" i="4"/>
  <c r="W48" i="4"/>
  <c r="V48" i="4"/>
  <c r="U48" i="4"/>
  <c r="T48" i="4"/>
  <c r="S48" i="4"/>
  <c r="R48" i="4"/>
  <c r="Q48" i="4"/>
  <c r="P48" i="4"/>
  <c r="O48" i="4"/>
  <c r="Y47" i="4"/>
  <c r="X47" i="4"/>
  <c r="W47" i="4"/>
  <c r="V47" i="4"/>
  <c r="U47" i="4"/>
  <c r="T47" i="4"/>
  <c r="S47" i="4"/>
  <c r="R47" i="4"/>
  <c r="Q47" i="4"/>
  <c r="P47" i="4"/>
  <c r="O47" i="4"/>
  <c r="Y46" i="4"/>
  <c r="X46" i="4"/>
  <c r="W46" i="4"/>
  <c r="V46" i="4"/>
  <c r="U46" i="4"/>
  <c r="T46" i="4"/>
  <c r="S46" i="4"/>
  <c r="R46" i="4"/>
  <c r="Q46" i="4"/>
  <c r="P46" i="4"/>
  <c r="O46" i="4"/>
  <c r="Y45" i="4"/>
  <c r="X45" i="4"/>
  <c r="W45" i="4"/>
  <c r="V45" i="4"/>
  <c r="U45" i="4"/>
  <c r="T45" i="4"/>
  <c r="S45" i="4"/>
  <c r="R45" i="4"/>
  <c r="Q45" i="4"/>
  <c r="P45" i="4"/>
  <c r="O45" i="4"/>
  <c r="Y44" i="4"/>
  <c r="X44" i="4"/>
  <c r="W44" i="4"/>
  <c r="V44" i="4"/>
  <c r="U44" i="4"/>
  <c r="T44" i="4"/>
  <c r="S44" i="4"/>
  <c r="R44" i="4"/>
  <c r="Q44" i="4"/>
  <c r="P44" i="4"/>
  <c r="O44" i="4"/>
  <c r="Y43" i="4"/>
  <c r="X43" i="4"/>
  <c r="W43" i="4"/>
  <c r="V43" i="4"/>
  <c r="U43" i="4"/>
  <c r="T43" i="4"/>
  <c r="S43" i="4"/>
  <c r="R43" i="4"/>
  <c r="Q43" i="4"/>
  <c r="P43" i="4"/>
  <c r="O43" i="4"/>
  <c r="Y42" i="4"/>
  <c r="X42" i="4"/>
  <c r="W42" i="4"/>
  <c r="V42" i="4"/>
  <c r="U42" i="4"/>
  <c r="T42" i="4"/>
  <c r="S42" i="4"/>
  <c r="R42" i="4"/>
  <c r="Q42" i="4"/>
  <c r="P42" i="4"/>
  <c r="O42" i="4"/>
  <c r="Y41" i="4"/>
  <c r="X41" i="4"/>
  <c r="W41" i="4"/>
  <c r="V41" i="4"/>
  <c r="U41" i="4"/>
  <c r="T41" i="4"/>
  <c r="S41" i="4"/>
  <c r="R41" i="4"/>
  <c r="Q41" i="4"/>
  <c r="P41" i="4"/>
  <c r="O41" i="4"/>
  <c r="Y40" i="4"/>
  <c r="X40" i="4"/>
  <c r="W40" i="4"/>
  <c r="V40" i="4"/>
  <c r="U40" i="4"/>
  <c r="T40" i="4"/>
  <c r="S40" i="4"/>
  <c r="R40" i="4"/>
  <c r="Q40" i="4"/>
  <c r="P40" i="4"/>
  <c r="O40" i="4"/>
  <c r="Y39" i="4"/>
  <c r="X39" i="4"/>
  <c r="W39" i="4"/>
  <c r="V39" i="4"/>
  <c r="U39" i="4"/>
  <c r="T39" i="4"/>
  <c r="S39" i="4"/>
  <c r="R39" i="4"/>
  <c r="Q39" i="4"/>
  <c r="P39" i="4"/>
  <c r="O39" i="4"/>
  <c r="Y38" i="4"/>
  <c r="X38" i="4"/>
  <c r="W38" i="4"/>
  <c r="V38" i="4"/>
  <c r="U38" i="4"/>
  <c r="T38" i="4"/>
  <c r="S38" i="4"/>
  <c r="R38" i="4"/>
  <c r="Q38" i="4"/>
  <c r="P38" i="4"/>
  <c r="O38" i="4"/>
  <c r="Y37" i="4"/>
  <c r="X37" i="4"/>
  <c r="W37" i="4"/>
  <c r="V37" i="4"/>
  <c r="U37" i="4"/>
  <c r="T37" i="4"/>
  <c r="S37" i="4"/>
  <c r="R37" i="4"/>
  <c r="Q37" i="4"/>
  <c r="P37" i="4"/>
  <c r="O37" i="4"/>
  <c r="Y36" i="4"/>
  <c r="X36" i="4"/>
  <c r="W36" i="4"/>
  <c r="V36" i="4"/>
  <c r="U36" i="4"/>
  <c r="T36" i="4"/>
  <c r="S36" i="4"/>
  <c r="R36" i="4"/>
  <c r="Q36" i="4"/>
  <c r="P36" i="4"/>
  <c r="O36" i="4"/>
  <c r="Y35" i="4"/>
  <c r="X35" i="4"/>
  <c r="W35" i="4"/>
  <c r="V35" i="4"/>
  <c r="U35" i="4"/>
  <c r="T35" i="4"/>
  <c r="S35" i="4"/>
  <c r="R35" i="4"/>
  <c r="Q35" i="4"/>
  <c r="P35" i="4"/>
  <c r="O35" i="4"/>
  <c r="Y34" i="4"/>
  <c r="X34" i="4"/>
  <c r="W34" i="4"/>
  <c r="V34" i="4"/>
  <c r="U34" i="4"/>
  <c r="T34" i="4"/>
  <c r="S34" i="4"/>
  <c r="R34" i="4"/>
  <c r="Q34" i="4"/>
  <c r="P34" i="4"/>
  <c r="O34" i="4"/>
  <c r="Y33" i="4"/>
  <c r="X33" i="4"/>
  <c r="W33" i="4"/>
  <c r="V33" i="4"/>
  <c r="U33" i="4"/>
  <c r="T33" i="4"/>
  <c r="S33" i="4"/>
  <c r="R33" i="4"/>
  <c r="Q33" i="4"/>
  <c r="P33" i="4"/>
  <c r="O33" i="4"/>
  <c r="Y32" i="4"/>
  <c r="X32" i="4"/>
  <c r="W32" i="4"/>
  <c r="V32" i="4"/>
  <c r="U32" i="4"/>
  <c r="T32" i="4"/>
  <c r="S32" i="4"/>
  <c r="R32" i="4"/>
  <c r="Q32" i="4"/>
  <c r="P32" i="4"/>
  <c r="O32" i="4"/>
  <c r="Y31" i="4"/>
  <c r="X31" i="4"/>
  <c r="W31" i="4"/>
  <c r="V31" i="4"/>
  <c r="U31" i="4"/>
  <c r="T31" i="4"/>
  <c r="S31" i="4"/>
  <c r="R31" i="4"/>
  <c r="Q31" i="4"/>
  <c r="P31" i="4"/>
  <c r="O31" i="4"/>
  <c r="Y30" i="4"/>
  <c r="X30" i="4"/>
  <c r="W30" i="4"/>
  <c r="V30" i="4"/>
  <c r="U30" i="4"/>
  <c r="T30" i="4"/>
  <c r="S30" i="4"/>
  <c r="R30" i="4"/>
  <c r="Q30" i="4"/>
  <c r="P30" i="4"/>
  <c r="O30" i="4"/>
  <c r="Y29" i="4"/>
  <c r="X29" i="4"/>
  <c r="W29" i="4"/>
  <c r="V29" i="4"/>
  <c r="U29" i="4"/>
  <c r="T29" i="4"/>
  <c r="S29" i="4"/>
  <c r="R29" i="4"/>
  <c r="Q29" i="4"/>
  <c r="P29" i="4"/>
  <c r="O29" i="4"/>
  <c r="Y28" i="4"/>
  <c r="X28" i="4"/>
  <c r="W28" i="4"/>
  <c r="V28" i="4"/>
  <c r="U28" i="4"/>
  <c r="T28" i="4"/>
  <c r="S28" i="4"/>
  <c r="R28" i="4"/>
  <c r="Q28" i="4"/>
  <c r="P28" i="4"/>
  <c r="O28" i="4"/>
  <c r="Y27" i="4"/>
  <c r="X27" i="4"/>
  <c r="W27" i="4"/>
  <c r="V27" i="4"/>
  <c r="U27" i="4"/>
  <c r="T27" i="4"/>
  <c r="S27" i="4"/>
  <c r="R27" i="4"/>
  <c r="Q27" i="4"/>
  <c r="P27" i="4"/>
  <c r="O27" i="4"/>
  <c r="Y26" i="4"/>
  <c r="X26" i="4"/>
  <c r="W26" i="4"/>
  <c r="V26" i="4"/>
  <c r="U26" i="4"/>
  <c r="T26" i="4"/>
  <c r="S26" i="4"/>
  <c r="R26" i="4"/>
  <c r="Q26" i="4"/>
  <c r="P26" i="4"/>
  <c r="O26" i="4"/>
  <c r="Y25" i="4"/>
  <c r="X25" i="4"/>
  <c r="W25" i="4"/>
  <c r="V25" i="4"/>
  <c r="U25" i="4"/>
  <c r="T25" i="4"/>
  <c r="S25" i="4"/>
  <c r="R25" i="4"/>
  <c r="Q25" i="4"/>
  <c r="P25" i="4"/>
  <c r="O25" i="4"/>
  <c r="Y24" i="4"/>
  <c r="X24" i="4"/>
  <c r="W24" i="4"/>
  <c r="V24" i="4"/>
  <c r="U24" i="4"/>
  <c r="T24" i="4"/>
  <c r="S24" i="4"/>
  <c r="R24" i="4"/>
  <c r="Q24" i="4"/>
  <c r="P24" i="4"/>
  <c r="O24" i="4"/>
  <c r="Y23" i="4"/>
  <c r="X23" i="4"/>
  <c r="W23" i="4"/>
  <c r="V23" i="4"/>
  <c r="U23" i="4"/>
  <c r="T23" i="4"/>
  <c r="S23" i="4"/>
  <c r="R23" i="4"/>
  <c r="Q23" i="4"/>
  <c r="P23" i="4"/>
  <c r="O23" i="4"/>
  <c r="Y22" i="4"/>
  <c r="X22" i="4"/>
  <c r="W22" i="4"/>
  <c r="V22" i="4"/>
  <c r="U22" i="4"/>
  <c r="T22" i="4"/>
  <c r="S22" i="4"/>
  <c r="R22" i="4"/>
  <c r="Q22" i="4"/>
  <c r="P22" i="4"/>
  <c r="O22" i="4"/>
  <c r="Y21" i="4"/>
  <c r="X21" i="4"/>
  <c r="W21" i="4"/>
  <c r="V21" i="4"/>
  <c r="U21" i="4"/>
  <c r="T21" i="4"/>
  <c r="S21" i="4"/>
  <c r="R21" i="4"/>
  <c r="Q21" i="4"/>
  <c r="P21" i="4"/>
  <c r="O21" i="4"/>
  <c r="Y20" i="4"/>
  <c r="X20" i="4"/>
  <c r="W20" i="4"/>
  <c r="V20" i="4"/>
  <c r="U20" i="4"/>
  <c r="T20" i="4"/>
  <c r="S20" i="4"/>
  <c r="R20" i="4"/>
  <c r="Q20" i="4"/>
  <c r="P20" i="4"/>
  <c r="O20" i="4"/>
  <c r="Y19" i="4"/>
  <c r="X19" i="4"/>
  <c r="W19" i="4"/>
  <c r="V19" i="4"/>
  <c r="U19" i="4"/>
  <c r="T19" i="4"/>
  <c r="S19" i="4"/>
  <c r="R19" i="4"/>
  <c r="Q19" i="4"/>
  <c r="P19" i="4"/>
  <c r="O19" i="4"/>
  <c r="Y18" i="4"/>
  <c r="X18" i="4"/>
  <c r="W18" i="4"/>
  <c r="V18" i="4"/>
  <c r="U18" i="4"/>
  <c r="T18" i="4"/>
  <c r="S18" i="4"/>
  <c r="R18" i="4"/>
  <c r="Q18" i="4"/>
  <c r="P18" i="4"/>
  <c r="O18" i="4"/>
  <c r="Y17" i="4"/>
  <c r="X17" i="4"/>
  <c r="W17" i="4"/>
  <c r="V17" i="4"/>
  <c r="U17" i="4"/>
  <c r="T17" i="4"/>
  <c r="S17" i="4"/>
  <c r="R17" i="4"/>
  <c r="Q17" i="4"/>
  <c r="P17" i="4"/>
  <c r="O17" i="4"/>
  <c r="Y16" i="4"/>
  <c r="X16" i="4"/>
  <c r="W16" i="4"/>
  <c r="V16" i="4"/>
  <c r="U16" i="4"/>
  <c r="T16" i="4"/>
  <c r="S16" i="4"/>
  <c r="R16" i="4"/>
  <c r="Q16" i="4"/>
  <c r="P16" i="4"/>
  <c r="O16" i="4"/>
  <c r="Y15" i="4"/>
  <c r="X15" i="4"/>
  <c r="W15" i="4"/>
  <c r="V15" i="4"/>
  <c r="U15" i="4"/>
  <c r="T15" i="4"/>
  <c r="S15" i="4"/>
  <c r="R15" i="4"/>
  <c r="Q15" i="4"/>
  <c r="P15" i="4"/>
  <c r="O15" i="4"/>
  <c r="Y14" i="4"/>
  <c r="X14" i="4"/>
  <c r="W14" i="4"/>
  <c r="V14" i="4"/>
  <c r="U14" i="4"/>
  <c r="T14" i="4"/>
  <c r="S14" i="4"/>
  <c r="R14" i="4"/>
  <c r="Q14" i="4"/>
  <c r="P14" i="4"/>
  <c r="O14" i="4"/>
  <c r="Y13" i="4"/>
  <c r="X13" i="4"/>
  <c r="W13" i="4"/>
  <c r="V13" i="4"/>
  <c r="U13" i="4"/>
  <c r="T13" i="4"/>
  <c r="S13" i="4"/>
  <c r="R13" i="4"/>
  <c r="Q13" i="4"/>
  <c r="P13" i="4"/>
  <c r="O13" i="4"/>
  <c r="Y12" i="4"/>
  <c r="X12" i="4"/>
  <c r="W12" i="4"/>
  <c r="V12" i="4"/>
  <c r="U12" i="4"/>
  <c r="T12" i="4"/>
  <c r="S12" i="4"/>
  <c r="R12" i="4"/>
  <c r="Q12" i="4"/>
  <c r="P12" i="4"/>
  <c r="O12" i="4"/>
  <c r="Y11" i="4"/>
  <c r="X11" i="4"/>
  <c r="W11" i="4"/>
  <c r="V11" i="4"/>
  <c r="U11" i="4"/>
  <c r="T11" i="4"/>
  <c r="S11" i="4"/>
  <c r="R11" i="4"/>
  <c r="Q11" i="4"/>
  <c r="P11" i="4"/>
  <c r="O11" i="4"/>
  <c r="Y10" i="4"/>
  <c r="X10" i="4"/>
  <c r="W10" i="4"/>
  <c r="V10" i="4"/>
  <c r="U10" i="4"/>
  <c r="T10" i="4"/>
  <c r="S10" i="4"/>
  <c r="R10" i="4"/>
  <c r="Q10" i="4"/>
  <c r="P10" i="4"/>
  <c r="O10" i="4"/>
  <c r="Y9" i="4"/>
  <c r="X9" i="4"/>
  <c r="W9" i="4"/>
  <c r="V9" i="4"/>
  <c r="U9" i="4"/>
  <c r="T9" i="4"/>
  <c r="S9" i="4"/>
  <c r="R9" i="4"/>
  <c r="Q9" i="4"/>
  <c r="P9" i="4"/>
  <c r="O9" i="4"/>
  <c r="Y8" i="4"/>
  <c r="X8" i="4"/>
  <c r="W8" i="4"/>
  <c r="V8" i="4"/>
  <c r="U8" i="4"/>
  <c r="T8" i="4"/>
  <c r="S8" i="4"/>
  <c r="R8" i="4"/>
  <c r="Q8" i="4"/>
  <c r="P8" i="4"/>
  <c r="O8" i="4"/>
  <c r="Y7" i="4"/>
  <c r="X7" i="4"/>
  <c r="W7" i="4"/>
  <c r="V7" i="4"/>
  <c r="U7" i="4"/>
  <c r="T7" i="4"/>
  <c r="S7" i="4"/>
  <c r="R7" i="4"/>
  <c r="Q7" i="4"/>
  <c r="P7" i="4"/>
  <c r="O7" i="4"/>
  <c r="Y6" i="4"/>
  <c r="X6" i="4"/>
  <c r="W6" i="4"/>
  <c r="V6" i="4"/>
  <c r="U6" i="4"/>
  <c r="T6" i="4"/>
  <c r="S6" i="4"/>
  <c r="R6" i="4"/>
  <c r="Q6" i="4"/>
  <c r="P6" i="4"/>
  <c r="O6" i="4"/>
  <c r="Y5" i="4"/>
  <c r="X5" i="4"/>
  <c r="W5" i="4"/>
  <c r="V5" i="4"/>
  <c r="U5" i="4"/>
  <c r="T5" i="4"/>
  <c r="S5" i="4"/>
  <c r="R5" i="4"/>
  <c r="Q5" i="4"/>
  <c r="P5" i="4"/>
  <c r="O5" i="4"/>
  <c r="Y4" i="4"/>
  <c r="X4" i="4"/>
  <c r="W4" i="4"/>
  <c r="V4" i="4"/>
  <c r="U4" i="4"/>
  <c r="T4" i="4"/>
  <c r="S4" i="4"/>
  <c r="R4" i="4"/>
  <c r="Q4" i="4"/>
  <c r="P4" i="4"/>
  <c r="O4" i="4"/>
  <c r="Y3" i="4"/>
  <c r="X3" i="4"/>
  <c r="W3" i="4"/>
  <c r="V3" i="4"/>
  <c r="U3" i="4"/>
  <c r="T3" i="4"/>
  <c r="S3" i="4"/>
  <c r="R3" i="4"/>
  <c r="Q3" i="4"/>
  <c r="P3" i="4"/>
  <c r="O3" i="4"/>
  <c r="Y2" i="4"/>
  <c r="X2" i="4"/>
  <c r="W2" i="4"/>
  <c r="V2" i="4"/>
  <c r="U2" i="4"/>
  <c r="T2" i="4"/>
  <c r="S2" i="4"/>
  <c r="R2" i="4"/>
  <c r="Q2" i="4"/>
  <c r="P2" i="4"/>
  <c r="O2" i="4"/>
  <c r="Y1" i="4"/>
  <c r="X1" i="4"/>
  <c r="W1" i="4"/>
  <c r="V1" i="4"/>
  <c r="U1" i="4"/>
  <c r="T1" i="4"/>
  <c r="S1" i="4"/>
  <c r="R1" i="4"/>
  <c r="Q1" i="4"/>
  <c r="P1" i="4"/>
  <c r="G144" i="6" l="1"/>
  <c r="G142" i="6" s="1"/>
  <c r="G141" i="6" l="1"/>
  <c r="K131" i="6" l="1"/>
  <c r="K129" i="6"/>
  <c r="K127" i="6"/>
  <c r="F90" i="6"/>
  <c r="L131" i="6" l="1"/>
  <c r="L129" i="6"/>
  <c r="L127" i="6"/>
  <c r="E90" i="6"/>
  <c r="J134" i="6" l="1"/>
  <c r="B30" i="6"/>
  <c r="O2" i="7" l="1"/>
  <c r="P2" i="7"/>
  <c r="Q2" i="7"/>
  <c r="R2" i="7"/>
  <c r="S2" i="7"/>
  <c r="T2" i="7"/>
  <c r="U2" i="7"/>
  <c r="O3" i="7"/>
  <c r="P3" i="7"/>
  <c r="Q3" i="7"/>
  <c r="R3" i="7"/>
  <c r="S3" i="7"/>
  <c r="T3" i="7"/>
  <c r="U3" i="7"/>
  <c r="O4" i="7"/>
  <c r="P4" i="7"/>
  <c r="Q4" i="7"/>
  <c r="R4" i="7"/>
  <c r="S4" i="7"/>
  <c r="T4" i="7"/>
  <c r="U4" i="7"/>
  <c r="O5" i="7"/>
  <c r="P5" i="7"/>
  <c r="Q5" i="7"/>
  <c r="R5" i="7"/>
  <c r="S5" i="7"/>
  <c r="T5" i="7"/>
  <c r="U5" i="7"/>
  <c r="O6" i="7"/>
  <c r="P6" i="7"/>
  <c r="Q6" i="7"/>
  <c r="R6" i="7"/>
  <c r="S6" i="7"/>
  <c r="T6" i="7"/>
  <c r="U6" i="7"/>
  <c r="O7" i="7"/>
  <c r="P7" i="7"/>
  <c r="Q7" i="7"/>
  <c r="R7" i="7"/>
  <c r="S7" i="7"/>
  <c r="T7" i="7"/>
  <c r="U7" i="7"/>
  <c r="O8" i="7"/>
  <c r="P8" i="7"/>
  <c r="Q8" i="7"/>
  <c r="R8" i="7"/>
  <c r="S8" i="7"/>
  <c r="T8" i="7"/>
  <c r="U8" i="7"/>
  <c r="O9" i="7"/>
  <c r="P9" i="7"/>
  <c r="Q9" i="7"/>
  <c r="R9" i="7"/>
  <c r="S9" i="7"/>
  <c r="T9" i="7"/>
  <c r="U9" i="7"/>
  <c r="O10" i="7"/>
  <c r="P10" i="7"/>
  <c r="Q10" i="7"/>
  <c r="R10" i="7"/>
  <c r="S10" i="7"/>
  <c r="T10" i="7"/>
  <c r="U10" i="7"/>
  <c r="O11" i="7"/>
  <c r="P11" i="7"/>
  <c r="Q11" i="7"/>
  <c r="R11" i="7"/>
  <c r="S11" i="7"/>
  <c r="T11" i="7"/>
  <c r="U11" i="7"/>
  <c r="O12" i="7"/>
  <c r="P12" i="7"/>
  <c r="Q12" i="7"/>
  <c r="R12" i="7"/>
  <c r="S12" i="7"/>
  <c r="T12" i="7"/>
  <c r="U12" i="7"/>
  <c r="O13" i="7"/>
  <c r="P13" i="7"/>
  <c r="Q13" i="7"/>
  <c r="R13" i="7"/>
  <c r="S13" i="7"/>
  <c r="T13" i="7"/>
  <c r="U13" i="7"/>
  <c r="O14" i="7"/>
  <c r="P14" i="7"/>
  <c r="Q14" i="7"/>
  <c r="R14" i="7"/>
  <c r="S14" i="7"/>
  <c r="T14" i="7"/>
  <c r="U14" i="7"/>
  <c r="O15" i="7"/>
  <c r="P15" i="7"/>
  <c r="Q15" i="7"/>
  <c r="R15" i="7"/>
  <c r="S15" i="7"/>
  <c r="T15" i="7"/>
  <c r="U15" i="7"/>
  <c r="O16" i="7"/>
  <c r="P16" i="7"/>
  <c r="Q16" i="7"/>
  <c r="R16" i="7"/>
  <c r="S16" i="7"/>
  <c r="T16" i="7"/>
  <c r="U16" i="7"/>
  <c r="O17" i="7"/>
  <c r="P17" i="7"/>
  <c r="Q17" i="7"/>
  <c r="R17" i="7"/>
  <c r="S17" i="7"/>
  <c r="T17" i="7"/>
  <c r="U17" i="7"/>
  <c r="O18" i="7"/>
  <c r="P18" i="7"/>
  <c r="Q18" i="7"/>
  <c r="R18" i="7"/>
  <c r="S18" i="7"/>
  <c r="T18" i="7"/>
  <c r="U18" i="7"/>
  <c r="O19" i="7"/>
  <c r="P19" i="7"/>
  <c r="Q19" i="7"/>
  <c r="R19" i="7"/>
  <c r="S19" i="7"/>
  <c r="T19" i="7"/>
  <c r="U19" i="7"/>
  <c r="O20" i="7"/>
  <c r="P20" i="7"/>
  <c r="Q20" i="7"/>
  <c r="R20" i="7"/>
  <c r="S20" i="7"/>
  <c r="T20" i="7"/>
  <c r="U20" i="7"/>
  <c r="N20" i="7"/>
  <c r="N14" i="7"/>
  <c r="N15" i="7"/>
  <c r="N16" i="7"/>
  <c r="N17" i="7"/>
  <c r="N18" i="7"/>
  <c r="N19" i="7"/>
  <c r="N4" i="7"/>
  <c r="N5" i="7"/>
  <c r="N6" i="7"/>
  <c r="N7" i="7"/>
  <c r="N8" i="7"/>
  <c r="N9" i="7"/>
  <c r="N10" i="7"/>
  <c r="N11" i="7"/>
  <c r="N12" i="7"/>
  <c r="N13" i="7"/>
  <c r="N3" i="7"/>
  <c r="N2" i="7"/>
  <c r="N1" i="7"/>
  <c r="G42" i="6" l="1"/>
  <c r="H42" i="6"/>
  <c r="I4" i="6"/>
  <c r="D4" i="6"/>
  <c r="F4" i="6"/>
  <c r="B4" i="6"/>
  <c r="A4" i="6"/>
  <c r="P32" i="6" l="1"/>
  <c r="AB32" i="6" s="1"/>
  <c r="Q32" i="6" l="1"/>
  <c r="AH32" i="6" l="1"/>
  <c r="C41" i="6" l="1"/>
  <c r="T42" i="6"/>
  <c r="H41" i="6" l="1"/>
  <c r="G41" i="6"/>
  <c r="B41" i="6" s="1"/>
  <c r="C40" i="6"/>
  <c r="G40" i="6" l="1"/>
  <c r="B40" i="6" s="1"/>
  <c r="H40" i="6"/>
  <c r="T41" i="6"/>
  <c r="C39" i="6"/>
  <c r="G39" i="6" l="1"/>
  <c r="B39" i="6" s="1"/>
  <c r="H39" i="6"/>
  <c r="T40" i="6"/>
  <c r="C38" i="6"/>
  <c r="H38" i="6" l="1"/>
  <c r="G38" i="6"/>
  <c r="B38" i="6" s="1"/>
  <c r="T39" i="6"/>
  <c r="C37" i="6"/>
  <c r="O224" i="4"/>
  <c r="P224" i="4"/>
  <c r="Q224" i="4"/>
  <c r="R224" i="4"/>
  <c r="S224" i="4"/>
  <c r="T224" i="4"/>
  <c r="U224" i="4"/>
  <c r="V224" i="4"/>
  <c r="W224" i="4"/>
  <c r="X224" i="4"/>
  <c r="Y224" i="4"/>
  <c r="O225" i="4"/>
  <c r="P225" i="4"/>
  <c r="Q225" i="4"/>
  <c r="R225" i="4"/>
  <c r="S225" i="4"/>
  <c r="T225" i="4"/>
  <c r="U225" i="4"/>
  <c r="V225" i="4"/>
  <c r="W225" i="4"/>
  <c r="X225" i="4"/>
  <c r="Y225" i="4"/>
  <c r="H37" i="6" l="1"/>
  <c r="G37" i="6"/>
  <c r="B37" i="6" s="1"/>
  <c r="E46" i="6" s="1"/>
  <c r="T38" i="6"/>
  <c r="C36" i="6"/>
  <c r="J135" i="6"/>
  <c r="F129" i="6"/>
  <c r="F130" i="6" s="1"/>
  <c r="F131" i="6" s="1"/>
  <c r="F132" i="6" s="1"/>
  <c r="F133" i="6" s="1"/>
  <c r="F134" i="6" s="1"/>
  <c r="F135" i="6" s="1"/>
  <c r="F136" i="6" s="1"/>
  <c r="F137" i="6" s="1"/>
  <c r="B128" i="6"/>
  <c r="B129" i="6" s="1"/>
  <c r="B130" i="6" s="1"/>
  <c r="B131" i="6" s="1"/>
  <c r="B132" i="6" s="1"/>
  <c r="B133" i="6" s="1"/>
  <c r="B134" i="6" s="1"/>
  <c r="B135" i="6" s="1"/>
  <c r="B136" i="6" s="1"/>
  <c r="B137" i="6" s="1"/>
  <c r="H113" i="6"/>
  <c r="E79" i="6"/>
  <c r="D33" i="6"/>
  <c r="K33" i="6" l="1"/>
  <c r="E33" i="6"/>
  <c r="F33" i="6"/>
  <c r="P33" i="6" s="1"/>
  <c r="O33" i="6"/>
  <c r="I33" i="6"/>
  <c r="J33" i="6"/>
  <c r="L33" i="6"/>
  <c r="D34" i="6"/>
  <c r="G36" i="6"/>
  <c r="B36" i="6" s="1"/>
  <c r="H36" i="6"/>
  <c r="T37" i="6"/>
  <c r="C35" i="6"/>
  <c r="Y32" i="6"/>
  <c r="W32" i="6"/>
  <c r="R32" i="6"/>
  <c r="V32" i="6"/>
  <c r="Z32" i="6"/>
  <c r="W33" i="6" l="1"/>
  <c r="AB33" i="6"/>
  <c r="V33" i="6"/>
  <c r="Z33" i="6"/>
  <c r="Y33" i="6"/>
  <c r="E34" i="6"/>
  <c r="F34" i="6"/>
  <c r="P34" i="6" s="1"/>
  <c r="Z34" i="6" s="1"/>
  <c r="K34" i="6"/>
  <c r="O34" i="6"/>
  <c r="L34" i="6"/>
  <c r="I34" i="6"/>
  <c r="J34" i="6"/>
  <c r="D35" i="6"/>
  <c r="G35" i="6"/>
  <c r="B35" i="6" s="1"/>
  <c r="H35" i="6"/>
  <c r="T36" i="6"/>
  <c r="C34" i="6"/>
  <c r="AA32" i="6"/>
  <c r="X32" i="6"/>
  <c r="AE32" i="6"/>
  <c r="S32" i="6"/>
  <c r="AD32" i="6"/>
  <c r="O35" i="6" l="1"/>
  <c r="K35" i="6"/>
  <c r="E35" i="6"/>
  <c r="F35" i="6"/>
  <c r="P35" i="6" s="1"/>
  <c r="Z35" i="6" s="1"/>
  <c r="L35" i="6"/>
  <c r="I35" i="6"/>
  <c r="J35" i="6"/>
  <c r="V34" i="6"/>
  <c r="Y34" i="6"/>
  <c r="D36" i="6"/>
  <c r="W34" i="6"/>
  <c r="AB34" i="6"/>
  <c r="H34" i="6"/>
  <c r="G34" i="6"/>
  <c r="B34" i="6" s="1"/>
  <c r="T35" i="6"/>
  <c r="C33" i="6"/>
  <c r="O36" i="6" l="1"/>
  <c r="K36" i="6"/>
  <c r="E36" i="6"/>
  <c r="F36" i="6"/>
  <c r="L36" i="6"/>
  <c r="I36" i="6"/>
  <c r="J36" i="6"/>
  <c r="W35" i="6"/>
  <c r="Q35" i="6"/>
  <c r="U35" i="6" s="1"/>
  <c r="AB35" i="6"/>
  <c r="V35" i="6"/>
  <c r="Y35" i="6"/>
  <c r="AA35" i="6" s="1"/>
  <c r="AG35" i="6" s="1"/>
  <c r="Q34" i="6"/>
  <c r="X34" i="6" s="1"/>
  <c r="AA34" i="6"/>
  <c r="D37" i="6"/>
  <c r="P36" i="6"/>
  <c r="Z36" i="6" s="1"/>
  <c r="H33" i="6"/>
  <c r="G33" i="6"/>
  <c r="B33" i="6" s="1"/>
  <c r="C32" i="6"/>
  <c r="T34" i="6"/>
  <c r="F37" i="6" l="1"/>
  <c r="P37" i="6" s="1"/>
  <c r="O37" i="6"/>
  <c r="K37" i="6"/>
  <c r="E37" i="6"/>
  <c r="L37" i="6"/>
  <c r="I37" i="6"/>
  <c r="J37" i="6"/>
  <c r="AH35" i="6"/>
  <c r="AD35" i="6"/>
  <c r="X35" i="6"/>
  <c r="AE35" i="6"/>
  <c r="U34" i="6"/>
  <c r="V36" i="6"/>
  <c r="D38" i="6"/>
  <c r="Q36" i="6"/>
  <c r="U36" i="6" s="1"/>
  <c r="AC35" i="6"/>
  <c r="W36" i="6"/>
  <c r="Y36" i="6"/>
  <c r="AA36" i="6" s="1"/>
  <c r="AG36" i="6" s="1"/>
  <c r="AB36" i="6"/>
  <c r="AE34" i="6"/>
  <c r="AD34" i="6"/>
  <c r="AH34" i="6"/>
  <c r="AF44" i="6"/>
  <c r="U44" i="6"/>
  <c r="K44" i="6"/>
  <c r="AH44" i="6"/>
  <c r="D67" i="6" s="1"/>
  <c r="S44" i="6"/>
  <c r="X44" i="6"/>
  <c r="R44" i="6"/>
  <c r="Q44" i="6"/>
  <c r="R46" i="6"/>
  <c r="AG44" i="6"/>
  <c r="AE44" i="6"/>
  <c r="C65" i="6" s="1"/>
  <c r="AD44" i="6"/>
  <c r="F56" i="6" s="1"/>
  <c r="F58" i="6" s="1"/>
  <c r="B43" i="6"/>
  <c r="AF33" i="6"/>
  <c r="Q33" i="6"/>
  <c r="AC34" i="6" s="1"/>
  <c r="AA33" i="6"/>
  <c r="AG34" i="6"/>
  <c r="T33" i="6"/>
  <c r="H32" i="6"/>
  <c r="G32" i="6"/>
  <c r="F38" i="6" l="1"/>
  <c r="P38" i="6" s="1"/>
  <c r="O38" i="6"/>
  <c r="K38" i="6"/>
  <c r="E38" i="6"/>
  <c r="I38" i="6"/>
  <c r="J38" i="6"/>
  <c r="L38" i="6"/>
  <c r="U33" i="6"/>
  <c r="X36" i="6"/>
  <c r="W37" i="6"/>
  <c r="D39" i="6"/>
  <c r="X33" i="6"/>
  <c r="AD33" i="6"/>
  <c r="AH33" i="6"/>
  <c r="AE33" i="6"/>
  <c r="AC33" i="6"/>
  <c r="Q37" i="6"/>
  <c r="U37" i="6" s="1"/>
  <c r="Z37" i="6"/>
  <c r="Y37" i="6"/>
  <c r="C43" i="6"/>
  <c r="AA44" i="6"/>
  <c r="E45" i="6"/>
  <c r="V37" i="6"/>
  <c r="AB37" i="6"/>
  <c r="AD36" i="6"/>
  <c r="AH36" i="6"/>
  <c r="AE36" i="6"/>
  <c r="AC36" i="6"/>
  <c r="T32" i="6"/>
  <c r="U32" i="6" s="1"/>
  <c r="AG33" i="6"/>
  <c r="E39" i="6" l="1"/>
  <c r="O39" i="6"/>
  <c r="F39" i="6"/>
  <c r="P39" i="6" s="1"/>
  <c r="K39" i="6"/>
  <c r="L39" i="6"/>
  <c r="J39" i="6"/>
  <c r="I39" i="6"/>
  <c r="AA37" i="6"/>
  <c r="AG37" i="6" s="1"/>
  <c r="Y38" i="6"/>
  <c r="AC37" i="6"/>
  <c r="AH37" i="6"/>
  <c r="X37" i="6"/>
  <c r="AD37" i="6"/>
  <c r="AE37" i="6"/>
  <c r="D40" i="6"/>
  <c r="W38" i="6"/>
  <c r="V38" i="6"/>
  <c r="Q38" i="6"/>
  <c r="U38" i="6" s="1"/>
  <c r="AB38" i="6"/>
  <c r="Z38" i="6"/>
  <c r="AG32" i="6"/>
  <c r="O40" i="6" l="1"/>
  <c r="E40" i="6"/>
  <c r="F40" i="6"/>
  <c r="P40" i="6" s="1"/>
  <c r="Z40" i="6" s="1"/>
  <c r="K40" i="6"/>
  <c r="J40" i="6"/>
  <c r="L40" i="6"/>
  <c r="I40" i="6"/>
  <c r="AA38" i="6"/>
  <c r="AG38" i="6" s="1"/>
  <c r="V39" i="6"/>
  <c r="Y39" i="6"/>
  <c r="Z39" i="6"/>
  <c r="X38" i="6"/>
  <c r="AB39" i="6"/>
  <c r="D41" i="6"/>
  <c r="AE38" i="6"/>
  <c r="AC38" i="6"/>
  <c r="AH38" i="6"/>
  <c r="AD38" i="6"/>
  <c r="Q39" i="6"/>
  <c r="U39" i="6" s="1"/>
  <c r="W39" i="6"/>
  <c r="O41" i="6" l="1"/>
  <c r="K41" i="6"/>
  <c r="E41" i="6"/>
  <c r="F41" i="6"/>
  <c r="P41" i="6" s="1"/>
  <c r="J41" i="6"/>
  <c r="L41" i="6"/>
  <c r="I41" i="6"/>
  <c r="AA39" i="6"/>
  <c r="AB40" i="6"/>
  <c r="W40" i="6"/>
  <c r="V40" i="6"/>
  <c r="X39" i="6"/>
  <c r="D42" i="6"/>
  <c r="Q40" i="6"/>
  <c r="U40" i="6" s="1"/>
  <c r="Y40" i="6"/>
  <c r="AA40" i="6" s="1"/>
  <c r="AG40" i="6" s="1"/>
  <c r="AD39" i="6"/>
  <c r="AH39" i="6"/>
  <c r="AE39" i="6"/>
  <c r="AC39" i="6"/>
  <c r="K42" i="6" l="1"/>
  <c r="E42" i="6"/>
  <c r="O42" i="6"/>
  <c r="F42" i="6"/>
  <c r="P42" i="6" s="1"/>
  <c r="J42" i="6"/>
  <c r="I42" i="6"/>
  <c r="L42" i="6"/>
  <c r="Y41" i="6"/>
  <c r="AG39" i="6"/>
  <c r="J128" i="6"/>
  <c r="W41" i="6"/>
  <c r="V41" i="6"/>
  <c r="Q41" i="6"/>
  <c r="U41" i="6" s="1"/>
  <c r="Z41" i="6"/>
  <c r="AH40" i="6"/>
  <c r="AE40" i="6"/>
  <c r="AD40" i="6"/>
  <c r="AC40" i="6"/>
  <c r="X40" i="6"/>
  <c r="AB41" i="6"/>
  <c r="AA41" i="6" l="1"/>
  <c r="AG41" i="6" s="1"/>
  <c r="AD41" i="6"/>
  <c r="X41" i="6"/>
  <c r="AH41" i="6"/>
  <c r="Z42" i="6"/>
  <c r="H72" i="6" a="1"/>
  <c r="H72" i="6" s="1"/>
  <c r="P4" i="6" s="1"/>
  <c r="W42" i="6"/>
  <c r="V42" i="6"/>
  <c r="Y42" i="6"/>
  <c r="Q42" i="6"/>
  <c r="U42" i="6" s="1"/>
  <c r="E43" i="6"/>
  <c r="AC41" i="6"/>
  <c r="AE41" i="6"/>
  <c r="AB42" i="6"/>
  <c r="Q43" i="6" l="1"/>
  <c r="AA42" i="6"/>
  <c r="AA47" i="6" s="1"/>
  <c r="AH42" i="6"/>
  <c r="AH43" i="6" s="1"/>
  <c r="C67" i="6" s="1"/>
  <c r="N4" i="6" s="1"/>
  <c r="U43" i="6"/>
  <c r="F91" i="6"/>
  <c r="D46" i="6"/>
  <c r="F94" i="6"/>
  <c r="AC42" i="6"/>
  <c r="D45" i="6" a="1"/>
  <c r="D45" i="6" s="1"/>
  <c r="AD42" i="6"/>
  <c r="AD43" i="6" s="1"/>
  <c r="E56" i="6" s="1"/>
  <c r="AE42" i="6"/>
  <c r="AE43" i="6" s="1"/>
  <c r="D65" i="6" s="1"/>
  <c r="M4" i="6" s="1"/>
  <c r="X42" i="6"/>
  <c r="X43" i="6" s="1"/>
  <c r="I69" i="6"/>
  <c r="O4" i="6" s="1"/>
  <c r="AA46" i="6" l="1"/>
  <c r="AG42" i="6"/>
  <c r="AG43" i="6" s="1"/>
  <c r="J127" i="6"/>
  <c r="J133" i="6" s="1"/>
  <c r="H103" i="6"/>
  <c r="AA43" i="6" a="1"/>
  <c r="AA43" i="6" s="1"/>
  <c r="K4" i="6"/>
  <c r="H98" i="6"/>
  <c r="H108" i="6" s="1"/>
  <c r="D47" i="6"/>
  <c r="J4" i="6" s="1"/>
  <c r="F92" i="6"/>
  <c r="H118" i="6"/>
  <c r="H119" i="6" s="1"/>
  <c r="H120" i="6"/>
  <c r="H110" i="6"/>
  <c r="J129" i="6" l="1"/>
  <c r="J130" i="6" s="1"/>
  <c r="H121" i="6"/>
  <c r="C128" i="6"/>
  <c r="C129" i="6" s="1"/>
  <c r="C130" i="6" s="1"/>
  <c r="C131" i="6" s="1"/>
  <c r="C132" i="6" s="1"/>
  <c r="C133" i="6" s="1"/>
  <c r="C134" i="6" s="1"/>
  <c r="H122" i="6" l="1"/>
  <c r="C135" i="6"/>
  <c r="C136" i="6" l="1"/>
  <c r="C137" i="6" l="1"/>
  <c r="C138" i="6" l="1"/>
  <c r="R41" i="6" l="1"/>
  <c r="S41" i="6" s="1"/>
  <c r="AF42" i="6" s="1"/>
  <c r="R35" i="6"/>
  <c r="S35" i="6" s="1"/>
  <c r="AF36" i="6" s="1"/>
  <c r="R34" i="6"/>
  <c r="S34" i="6" s="1"/>
  <c r="AF35" i="6" s="1"/>
  <c r="R36" i="6"/>
  <c r="S36" i="6" s="1"/>
  <c r="AF37" i="6" s="1"/>
  <c r="R38" i="6"/>
  <c r="S38" i="6" s="1"/>
  <c r="AF39" i="6" s="1"/>
  <c r="R39" i="6"/>
  <c r="S39" i="6" s="1"/>
  <c r="AF40" i="6" s="1"/>
  <c r="R40" i="6"/>
  <c r="S40" i="6" s="1"/>
  <c r="AF41" i="6" s="1"/>
  <c r="R42" i="6"/>
  <c r="S42" i="6" s="1"/>
  <c r="R37" i="6"/>
  <c r="S37" i="6" s="1"/>
  <c r="AF38" i="6" s="1"/>
  <c r="K43" i="6"/>
  <c r="R33" i="6" l="1"/>
  <c r="J132" i="6"/>
  <c r="R43" i="6" l="1"/>
  <c r="S33" i="6"/>
  <c r="S43" i="6" l="1"/>
  <c r="E58" i="6" s="1" a="1"/>
  <c r="E58" i="6" s="1"/>
  <c r="L4" i="6" s="1"/>
  <c r="AF34" i="6"/>
  <c r="D131" i="6"/>
  <c r="G131" i="6" s="1"/>
  <c r="D130" i="6"/>
  <c r="G130" i="6" s="1"/>
  <c r="D134" i="6"/>
  <c r="G134" i="6" s="1"/>
  <c r="D129" i="6"/>
  <c r="G129" i="6" s="1"/>
  <c r="D133" i="6"/>
  <c r="G133" i="6" s="1"/>
  <c r="D135" i="6"/>
  <c r="G135" i="6" s="1"/>
  <c r="R45" i="6"/>
  <c r="D132" i="6"/>
  <c r="G132" i="6" s="1"/>
  <c r="D137" i="6"/>
  <c r="G137" i="6" s="1"/>
  <c r="D136" i="6"/>
  <c r="G136" i="6" s="1"/>
  <c r="H99" i="6"/>
  <c r="H100" i="6" s="1"/>
  <c r="H104" i="6" s="1"/>
  <c r="D128" i="6"/>
  <c r="H106" i="6" l="1"/>
  <c r="H109" i="6" s="1"/>
  <c r="E128" i="6"/>
  <c r="G128" i="6"/>
  <c r="G138" i="6" s="1"/>
  <c r="D138" i="6"/>
  <c r="AF47" i="6"/>
  <c r="AF43" i="6"/>
  <c r="H124" i="6" l="1"/>
  <c r="R4" i="6" s="1"/>
  <c r="H123" i="6"/>
  <c r="H111" i="6"/>
  <c r="H114" i="6" s="1"/>
  <c r="Q4" i="6" s="1"/>
  <c r="H128" i="6"/>
  <c r="E129" i="6"/>
  <c r="H129" i="6" l="1"/>
  <c r="E130" i="6"/>
  <c r="E131" i="6" l="1"/>
  <c r="H130" i="6"/>
  <c r="H131" i="6" l="1"/>
  <c r="E132" i="6"/>
  <c r="H132" i="6" l="1"/>
  <c r="E133" i="6"/>
  <c r="H133" i="6" l="1"/>
  <c r="E134" i="6"/>
  <c r="H134" i="6" l="1"/>
  <c r="E135" i="6"/>
  <c r="E136" i="6" l="1"/>
  <c r="H135" i="6"/>
  <c r="H136" i="6" l="1"/>
  <c r="E137" i="6"/>
  <c r="E138" i="6" l="1"/>
  <c r="E139" i="6" s="1"/>
  <c r="H137" i="6"/>
  <c r="H138" i="6" s="1"/>
  <c r="G139" i="6" s="1"/>
  <c r="C142" i="6" l="1"/>
  <c r="C4" i="6" s="1"/>
  <c r="E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Scarpace</author>
    <author>Scarpace, Anthony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BASED ON CALCULATED INTRINSIC VALUE</t>
        </r>
      </text>
    </comment>
    <comment ref="O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NUMBER OF YARS TO PAY OFF LONG TERM DEBT WITH CURRENT EARNINGS, SHOULD BE 5 YEARS OR LESS
</t>
        </r>
      </text>
    </comment>
    <comment ref="P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FOR SHARE BUYBACKS</t>
        </r>
      </text>
    </comment>
    <comment ref="Q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PROJECTED 10 YEAR COMPOUNDED GROWTH RATE BASED ON HISTORICAL ROSE AND EPS GROWTH AND P/E RATIO</t>
        </r>
      </text>
    </comment>
    <comment ref="R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PROJECTED 10 YEAR ANNUAL COMPOUND GROWTH RATE BASED ON EARNINGS PER SHARE AND CASH DIVIDENDS</t>
        </r>
      </text>
    </comment>
    <comment ref="J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IF IT IS SPEEDING UP AND RED IF IT IS SLOWING DOWN</t>
        </r>
      </text>
    </comment>
    <comment ref="K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SHAREHOLDER EQUITY:
FINANICAL COMPANY NEEDS 12% OR MORE AND A NONFINANCIAL COMPANY NEEDS 15% OR MORE
</t>
        </r>
      </text>
    </comment>
    <comment ref="L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RETAINED EARNINGS SHOULD BE OVER 12%</t>
        </r>
      </text>
    </comment>
    <comment ref="M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CAPITAL APPLIES ONLY TO NONFINANCIAL COMPANIES. LOOKING FOR 12% OR MORE</t>
        </r>
      </text>
    </comment>
    <comment ref="N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ASSETS APPLIES ONLY TO FINANCIAL COMPANIES. LOOKING FOR 1% OR MORE, PREFERABLY OVER 1.4%</t>
        </r>
      </text>
    </comment>
    <comment ref="L30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Scarpace, Anthony:</t>
        </r>
        <r>
          <rPr>
            <sz val="9"/>
            <color indexed="81"/>
            <rFont val="Tahoma"/>
            <family val="2"/>
          </rPr>
          <t xml:space="preserve">
Total Assets minus Total Liabilities equals Shareholders Equity</t>
        </r>
      </text>
    </comment>
    <comment ref="AA3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book value is the net asset value of a company calculated as total assets minus intangible assests (such as patents and goodwill) and liabilities.</t>
        </r>
      </text>
    </comment>
    <comment ref="AA4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cell. (array type formula)
</t>
        </r>
      </text>
    </comment>
    <comment ref="D4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 (array formula)
</t>
        </r>
      </text>
    </comment>
  </commentList>
</comments>
</file>

<file path=xl/sharedStrings.xml><?xml version="1.0" encoding="utf-8"?>
<sst xmlns="http://schemas.openxmlformats.org/spreadsheetml/2006/main" count="2503" uniqueCount="1601">
  <si>
    <t>Goodwill</t>
  </si>
  <si>
    <t>TTM</t>
  </si>
  <si>
    <t>Revenue</t>
  </si>
  <si>
    <t>1)</t>
  </si>
  <si>
    <t>Describe the durable competitive advantage?</t>
  </si>
  <si>
    <t>Thousands</t>
  </si>
  <si>
    <t>Millions</t>
  </si>
  <si>
    <t>Billions</t>
  </si>
  <si>
    <t>2)</t>
  </si>
  <si>
    <t>Explain how the product/service works</t>
  </si>
  <si>
    <t>per Share</t>
  </si>
  <si>
    <t>Total</t>
  </si>
  <si>
    <t>3)</t>
  </si>
  <si>
    <t>Explain why the product won't be obsolete in 20 years</t>
  </si>
  <si>
    <t>4)</t>
  </si>
  <si>
    <t>Does the company allocate capital exclusively in the realm of its expertise?</t>
  </si>
  <si>
    <t>Businesses owned</t>
  </si>
  <si>
    <t>DCA</t>
  </si>
  <si>
    <t>PCB</t>
  </si>
  <si>
    <t>5)</t>
  </si>
  <si>
    <t>What is the company's per share earnings history and growth rate?</t>
  </si>
  <si>
    <t>(check value line or msn.com)</t>
  </si>
  <si>
    <t>Year</t>
  </si>
  <si>
    <t>Index</t>
  </si>
  <si>
    <t xml:space="preserve">Earnings </t>
  </si>
  <si>
    <t>Shares Outstanding</t>
  </si>
  <si>
    <t>Low Share Price</t>
  </si>
  <si>
    <t>High Share Price</t>
  </si>
  <si>
    <t>Short Term Debt</t>
  </si>
  <si>
    <t>Long Term Debt</t>
  </si>
  <si>
    <t>Dividends</t>
  </si>
  <si>
    <t>Shareholders Equity</t>
  </si>
  <si>
    <t>Patents / Intangibles</t>
  </si>
  <si>
    <t>Shares</t>
  </si>
  <si>
    <t>EPS</t>
  </si>
  <si>
    <t>Retained Earnings</t>
  </si>
  <si>
    <t>Average Share Price</t>
  </si>
  <si>
    <t>P/E</t>
  </si>
  <si>
    <t>Years to payback LT Debt</t>
  </si>
  <si>
    <t>Shareholder's Equity</t>
  </si>
  <si>
    <t>Intangibles (Patents + Goodwill)</t>
  </si>
  <si>
    <t>Book Value</t>
  </si>
  <si>
    <t>EPS Growth Rate</t>
  </si>
  <si>
    <t>ROSE</t>
  </si>
  <si>
    <t>ROTC</t>
  </si>
  <si>
    <t>RORE</t>
  </si>
  <si>
    <t>Price / Book</t>
  </si>
  <si>
    <t>Per Share Earnings and Growth Rate</t>
  </si>
  <si>
    <t xml:space="preserve">Growth is </t>
  </si>
  <si>
    <t>(Check graph, make sure EPS is consistent and upward)</t>
  </si>
  <si>
    <t>What Caused this increase? (profit increase, share buyback or other investment?)</t>
  </si>
  <si>
    <t>6)</t>
  </si>
  <si>
    <t>Does the company consistently earn a high return on equity?</t>
  </si>
  <si>
    <t>ROSE Is net earnings divided by shareholder equity</t>
  </si>
  <si>
    <t>Look for consistent return of equity of 15% or better, 12% or better for financial companies</t>
  </si>
  <si>
    <t>Return on Shareholder Equity</t>
  </si>
  <si>
    <t>RETURN ON Retained Earnings</t>
  </si>
  <si>
    <t>(Need 12% or more for Return on Retained Earnings)</t>
  </si>
  <si>
    <t>7)</t>
  </si>
  <si>
    <t>Does the company earn a high return on total capital?</t>
  </si>
  <si>
    <t xml:space="preserve">   Return on total capital is the net earnings divided by total capital (debt + equity)</t>
  </si>
  <si>
    <t>Look for consistent return of 12% or better</t>
  </si>
  <si>
    <t>FOR FINANCIAL COMPANIES LOOK FOR CONSISTENT RETRUNS ON ASSETS OVER 1%, PREFERABLY OVER 1.4%</t>
  </si>
  <si>
    <t>8)</t>
  </si>
  <si>
    <t>Is the company conservatively financed?</t>
  </si>
  <si>
    <t>Number of years to pay off long term debt with current year earnings:</t>
  </si>
  <si>
    <t>Should be 5 years or less</t>
  </si>
  <si>
    <t>9)</t>
  </si>
  <si>
    <t>Is the company actively buying back shares?</t>
  </si>
  <si>
    <t>10)</t>
  </si>
  <si>
    <t>Is the company free to raise prices with inflation</t>
  </si>
  <si>
    <t>Look for 4% or more</t>
  </si>
  <si>
    <t>Price</t>
  </si>
  <si>
    <t>Date</t>
  </si>
  <si>
    <t>Price 10 years ago</t>
  </si>
  <si>
    <t>Price now</t>
  </si>
  <si>
    <t>Average compound annual increase</t>
  </si>
  <si>
    <t xml:space="preserve">11) </t>
  </si>
  <si>
    <t>Are large capital expenditures required to update plant and equipment?</t>
  </si>
  <si>
    <t xml:space="preserve">12) </t>
  </si>
  <si>
    <t>Is the company stock price suffering from a market panic, recesion, or curable individual calamity?</t>
  </si>
  <si>
    <t>13)</t>
  </si>
  <si>
    <t>What is the intital rate of return and how does it compare to the return on US treasury bonds?</t>
  </si>
  <si>
    <t>Current Share Price</t>
  </si>
  <si>
    <t>Initial Rate of Return</t>
  </si>
  <si>
    <t>Growth Rate</t>
  </si>
  <si>
    <t>10 Year Treasury Bond</t>
  </si>
  <si>
    <t>www.treasury.gov</t>
  </si>
  <si>
    <t>Equivalent share price of treasury</t>
  </si>
  <si>
    <t>14)</t>
  </si>
  <si>
    <t>What is the company's projected annual compounding return as an equity/bond?</t>
  </si>
  <si>
    <t>(Previous 10 years)</t>
  </si>
  <si>
    <t>Average per share ROSE for the last 10 years</t>
  </si>
  <si>
    <t>Average percentage that is not retained (dividend yield)</t>
  </si>
  <si>
    <t>Rate of Growth that the company's book value will grow</t>
  </si>
  <si>
    <t>(Projections for next 10 years)</t>
  </si>
  <si>
    <t>Current year book value (present value)</t>
  </si>
  <si>
    <t>Rate of Growth that the company's book value will grow (interest rate)</t>
  </si>
  <si>
    <t>Number of years to project future book value (n)</t>
  </si>
  <si>
    <t>Future per share book value (in 10 yrs)</t>
  </si>
  <si>
    <t>Average Return on Equity</t>
  </si>
  <si>
    <t>Project per share earnings (in 10 years)</t>
  </si>
  <si>
    <t>Average Annual P/E Ratio for the last 10 years</t>
  </si>
  <si>
    <t xml:space="preserve">Per share Future Trading Price </t>
  </si>
  <si>
    <t>Current per share market price (present value)</t>
  </si>
  <si>
    <t>Projected annual compounding return that the investment will produce</t>
  </si>
  <si>
    <t>15)</t>
  </si>
  <si>
    <t>What is the projected annual compounding return using the historical annual per share earnings growth?</t>
  </si>
  <si>
    <t>Annual Compounding per share growth for last 10 years</t>
  </si>
  <si>
    <t>Projected Earnings per share in 10 years</t>
  </si>
  <si>
    <t>Average Annual P/E ratio for last 10 years</t>
  </si>
  <si>
    <t>Projected trading price in 10 years</t>
  </si>
  <si>
    <t>Expected 10 year dividends paid out</t>
  </si>
  <si>
    <t>Projected annual compounding return accounting for dividends</t>
  </si>
  <si>
    <t>Non Discounted values</t>
  </si>
  <si>
    <t>Discounted Values</t>
  </si>
  <si>
    <t>BuffetBooks.com estimate</t>
  </si>
  <si>
    <t>Earnings</t>
  </si>
  <si>
    <t>Dividend</t>
  </si>
  <si>
    <t>Current Book</t>
  </si>
  <si>
    <t>Old Book</t>
  </si>
  <si>
    <t># year between</t>
  </si>
  <si>
    <t>Dividends 1 yr</t>
  </si>
  <si>
    <t>Years</t>
  </si>
  <si>
    <t>Discount rate</t>
  </si>
  <si>
    <t>Intrinsic Value</t>
  </si>
  <si>
    <t>TOTAL</t>
  </si>
  <si>
    <t>Intrinsic value</t>
  </si>
  <si>
    <t>Lookup Term--&gt;</t>
  </si>
  <si>
    <t>Statement--&gt;</t>
  </si>
  <si>
    <t>IncomeStatement</t>
  </si>
  <si>
    <t>BalanceSheet</t>
  </si>
  <si>
    <t>CashFlow</t>
  </si>
  <si>
    <t>Morningstar</t>
  </si>
  <si>
    <t>Avg BV Change</t>
  </si>
  <si>
    <t>same as shareholder equity per share</t>
  </si>
  <si>
    <t>Open</t>
  </si>
  <si>
    <t>High</t>
  </si>
  <si>
    <t>Low</t>
  </si>
  <si>
    <t>Close</t>
  </si>
  <si>
    <t>Volume</t>
  </si>
  <si>
    <t>Financials</t>
  </si>
  <si>
    <t>Gross Margin %</t>
  </si>
  <si>
    <t>Operating Margin %</t>
  </si>
  <si>
    <t>Payout Ratio % *</t>
  </si>
  <si>
    <t>Shares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</si>
  <si>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</si>
  <si>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</si>
  <si>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</si>
  <si>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</si>
  <si>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</si>
  <si>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</si>
  <si>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</si>
  <si>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</si>
  <si>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</si>
  <si>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</si>
  <si>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</si>
  <si>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</si>
  <si>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</si>
  <si>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</si>
  <si>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</si>
  <si>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</si>
  <si>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</si>
  <si>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</si>
  <si>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</si>
  <si>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</si>
  <si>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</si>
  <si>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</si>
  <si>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</si>
  <si>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</si>
  <si>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</si>
  <si>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</si>
  <si>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</si>
  <si>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</si>
  <si>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</si>
  <si>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</si>
  <si>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</si>
  <si>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</si>
  <si>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</si>
  <si>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</si>
  <si>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</si>
  <si>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</si>
  <si>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</si>
  <si>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</si>
  <si>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</si>
  <si>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</si>
  <si>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</si>
  <si>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</si>
  <si>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</si>
  <si>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</si>
  <si>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</si>
  <si>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</si>
  <si>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</si>
  <si>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</si>
  <si>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</si>
  <si>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</si>
  <si>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</si>
  <si>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</si>
  <si>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</si>
  <si>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</si>
  <si>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</si>
  <si>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</si>
  <si>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</si>
  <si>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</si>
  <si>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</si>
  <si>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</si>
  <si>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</si>
  <si>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</si>
  <si>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</si>
  <si>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</si>
  <si>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</si>
  <si>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</si>
  <si>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</si>
  <si>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</si>
  <si>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</si>
  <si>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</si>
  <si>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</si>
  <si>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</si>
  <si>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</si>
  <si>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Ticker</t>
  </si>
  <si>
    <t>Yes/No</t>
  </si>
  <si>
    <t>Yes</t>
  </si>
  <si>
    <t>No</t>
  </si>
  <si>
    <t>CMPD Years</t>
  </si>
  <si>
    <t>ROTA</t>
  </si>
  <si>
    <t>Margin of Safety</t>
  </si>
  <si>
    <t>Purchase Price</t>
  </si>
  <si>
    <t>Economic Moat Rating</t>
  </si>
  <si>
    <t>Industry</t>
  </si>
  <si>
    <t>FINANCIAL PERFORMANCE</t>
  </si>
  <si>
    <t>Margin of</t>
  </si>
  <si>
    <t>PER SHARE</t>
  </si>
  <si>
    <t>Financial</t>
  </si>
  <si>
    <t>DEBT PAYOFF</t>
  </si>
  <si>
    <t>SHARE</t>
  </si>
  <si>
    <t>PROJ. CMPD RETURN</t>
  </si>
  <si>
    <t>Company Name</t>
  </si>
  <si>
    <t>Safety</t>
  </si>
  <si>
    <t>Current Price</t>
  </si>
  <si>
    <t>Buy price</t>
  </si>
  <si>
    <t>BRK</t>
  </si>
  <si>
    <t>M* WIDE</t>
  </si>
  <si>
    <t>Nonfinancial</t>
  </si>
  <si>
    <t>GROWTH</t>
  </si>
  <si>
    <t>ROA</t>
  </si>
  <si>
    <t>YRS</t>
  </si>
  <si>
    <t>BUYBACKS</t>
  </si>
  <si>
    <t>EQUITY/BOND</t>
  </si>
  <si>
    <t>EPS GROWTH</t>
  </si>
  <si>
    <t>X</t>
  </si>
  <si>
    <t>financial or nonfinancial company?</t>
  </si>
  <si>
    <t>LOW</t>
  </si>
  <si>
    <t>HIGH</t>
  </si>
  <si>
    <t>Historical Prices</t>
  </si>
  <si>
    <t>note: import the max available data</t>
  </si>
  <si>
    <t>WIDE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</si>
  <si>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</si>
  <si>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</si>
  <si>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</si>
  <si>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</si>
  <si>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</si>
  <si>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</si>
  <si>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</si>
  <si>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</si>
  <si>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</si>
  <si>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</si>
  <si>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Revenue USD Mil</t>
  </si>
  <si>
    <t>Operating Income USD Mil</t>
  </si>
  <si>
    <t>Net Income USD Mil</t>
  </si>
  <si>
    <t>Earnings Per Share USD</t>
  </si>
  <si>
    <t>Dividends USD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</si>
  <si>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</si>
  <si>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</si>
  <si>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</si>
  <si>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</si>
  <si>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</si>
  <si>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</si>
  <si>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Exxon Mobil Corp (XOM) Historical Prices</t>
  </si>
  <si>
    <t>�</t>
  </si>
  <si>
    <t>Growth Profitability and Financial Ratios for Exxon Mobil Corp</t>
  </si>
  <si>
    <t>None Available</t>
  </si>
  <si>
    <t>MORNINGSTAR</t>
  </si>
  <si>
    <t>FAIR VALUE ESTIMATE</t>
  </si>
  <si>
    <t>CONSIDER SELL</t>
  </si>
  <si>
    <t>Consider Buy</t>
  </si>
  <si>
    <t>conversion</t>
  </si>
  <si>
    <t>MXN</t>
  </si>
  <si>
    <t>SEK</t>
  </si>
  <si>
    <t>ARS</t>
  </si>
  <si>
    <t>NZD</t>
  </si>
  <si>
    <t>AUD</t>
  </si>
  <si>
    <t>EUR</t>
  </si>
  <si>
    <t>CNY</t>
  </si>
  <si>
    <t>GBP</t>
  </si>
  <si>
    <t>CHF</t>
  </si>
  <si>
    <t>CAD</t>
  </si>
  <si>
    <t>USD</t>
  </si>
  <si>
    <t>XOM_IncomeStatement_Annual_As_Originally_Reported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</si>
  <si>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</si>
  <si>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</si>
  <si>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</si>
  <si>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</si>
  <si>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</si>
  <si>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</si>
  <si>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</si>
  <si>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</si>
  <si>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</si>
  <si>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</si>
  <si>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Gross Profit</t>
  </si>
  <si>
    <t>110,246,000,000</t>
  </si>
  <si>
    <t>130,835,000,000</t>
  </si>
  <si>
    <t>101,156,000,000</t>
  </si>
  <si>
    <t>88,384,000,000</t>
  </si>
  <si>
    <t>80,635,000,000</t>
  </si>
  <si>
    <t>53,172,000,000</t>
  </si>
  <si>
    <t>39,112,000,000</t>
  </si>
  <si>
    <t>54,924,000,000</t>
  </si>
  <si>
    <t>67,733,000,000</t>
  </si>
  <si>
    <t>55,958,000,000</t>
  </si>
  <si>
    <t>38,568,000,000</t>
  </si>
  <si>
    <t xml:space="preserve">    Total Revenue</t>
  </si>
  <si>
    <t>372,544,000,000</t>
  </si>
  <si>
    <t>471,140,000,000</t>
  </si>
  <si>
    <t>453,123,000,000</t>
  </si>
  <si>
    <t>420,836,000,000</t>
  </si>
  <si>
    <t>394,105,000,000</t>
  </si>
  <si>
    <t>259,488,000,000</t>
  </si>
  <si>
    <t>218,608,000,000</t>
  </si>
  <si>
    <t>237,162,000,000</t>
  </si>
  <si>
    <t>279,332,000,000</t>
  </si>
  <si>
    <t>255,583,000,000</t>
  </si>
  <si>
    <t>195,860,000,000</t>
  </si>
  <si>
    <t xml:space="preserve">        Business Revenue</t>
  </si>
  <si>
    <t>370,125,000,000</t>
  </si>
  <si>
    <t>467,029,000,000</t>
  </si>
  <si>
    <t xml:space="preserve">        Other Revenue</t>
  </si>
  <si>
    <t>2,419,000,000</t>
  </si>
  <si>
    <t>4,111,000,000</t>
  </si>
  <si>
    <t/>
  </si>
  <si>
    <t xml:space="preserve">    Cost of Revenue</t>
  </si>
  <si>
    <t>-262,298,000,000</t>
  </si>
  <si>
    <t>-340,305,000,000</t>
  </si>
  <si>
    <t>-351,967,000,000</t>
  </si>
  <si>
    <t>-332,452,000,000</t>
  </si>
  <si>
    <t>-313,470,000,000</t>
  </si>
  <si>
    <t>-206,316,000,000</t>
  </si>
  <si>
    <t>-179,496,000,000</t>
  </si>
  <si>
    <t>-182,238,000,000</t>
  </si>
  <si>
    <t>-211,599,000,000</t>
  </si>
  <si>
    <t>-199,625,000,000</t>
  </si>
  <si>
    <t>-157,292,000,000</t>
  </si>
  <si>
    <t xml:space="preserve">        Cost of Goods and Services</t>
  </si>
  <si>
    <t>-303,670,000,000</t>
  </si>
  <si>
    <t>-284,681,000,000</t>
  </si>
  <si>
    <t>-266,831,000,000</t>
  </si>
  <si>
    <t>-165,590,000,000</t>
  </si>
  <si>
    <t>-136,098,000,000</t>
  </si>
  <si>
    <t>-162,345,000,000</t>
  </si>
  <si>
    <t>-192,854,000,000</t>
  </si>
  <si>
    <t>-180,627,000,000</t>
  </si>
  <si>
    <t>-136,651,000,000</t>
  </si>
  <si>
    <t xml:space="preserve">        Depreciation &amp; Amortization, Cost of Revenue</t>
  </si>
  <si>
    <t>-15,888,000,000</t>
  </si>
  <si>
    <t>-17,182,000,000</t>
  </si>
  <si>
    <t>-17,297,000,000</t>
  </si>
  <si>
    <t>-18,048,000,000</t>
  </si>
  <si>
    <t>-22,308,000,000</t>
  </si>
  <si>
    <t>-19,893,000,000</t>
  </si>
  <si>
    <t>-18,745,000,000</t>
  </si>
  <si>
    <t>-18,998,000,000</t>
  </si>
  <si>
    <t>-20,641,000,000</t>
  </si>
  <si>
    <t xml:space="preserve">        Taxes, Cost of Revenue</t>
  </si>
  <si>
    <t>-32,409,000,000</t>
  </si>
  <si>
    <t>-30,589,000,000</t>
  </si>
  <si>
    <t>-29,342,000,000</t>
  </si>
  <si>
    <t>-22,678,000,000</t>
  </si>
  <si>
    <t>-21,090,000,000</t>
  </si>
  <si>
    <t>Operating Income/Expenses</t>
  </si>
  <si>
    <t>-67,705,000,000</t>
  </si>
  <si>
    <t>-72,620,000,000</t>
  </si>
  <si>
    <t>-51,275,000,000</t>
  </si>
  <si>
    <t>-48,083,000,000</t>
  </si>
  <si>
    <t>-46,553,000,000</t>
  </si>
  <si>
    <t>-40,289,000,000</t>
  </si>
  <si>
    <t>-38,176,000,000</t>
  </si>
  <si>
    <t>-42,850,000,000</t>
  </si>
  <si>
    <t>-45,609,000,000</t>
  </si>
  <si>
    <t>-43,192,000,000</t>
  </si>
  <si>
    <t>-38,634,000,000</t>
  </si>
  <si>
    <t xml:space="preserve">    Selling, General and Administrative Expenses</t>
  </si>
  <si>
    <t>-14,683,000,000</t>
  </si>
  <si>
    <t>-14,983,000,000</t>
  </si>
  <si>
    <t>-13,877,000,000</t>
  </si>
  <si>
    <t>-12,877,000,000</t>
  </si>
  <si>
    <t>-12,598,000,000</t>
  </si>
  <si>
    <t>-11,501,000,000</t>
  </si>
  <si>
    <t>-10,799,000,000</t>
  </si>
  <si>
    <t>-10,956,000,000</t>
  </si>
  <si>
    <t>-11,480,000,000</t>
  </si>
  <si>
    <t>-11,398,000,000</t>
  </si>
  <si>
    <t>-10,480,000,000</t>
  </si>
  <si>
    <t xml:space="preserve">    Exploration Expenses</t>
  </si>
  <si>
    <t>-2,144,000,000</t>
  </si>
  <si>
    <t>-2,081,000,000</t>
  </si>
  <si>
    <t>-1,840,000,000</t>
  </si>
  <si>
    <t>-1,976,000,000</t>
  </si>
  <si>
    <t>-1,669,000,000</t>
  </si>
  <si>
    <t>-1,523,000,000</t>
  </si>
  <si>
    <t>-1,467,000,000</t>
  </si>
  <si>
    <t>-1,790,000,000</t>
  </si>
  <si>
    <t>-1,466,000,000</t>
  </si>
  <si>
    <t>-1,269,000,000</t>
  </si>
  <si>
    <t>-1,047,000,000</t>
  </si>
  <si>
    <t xml:space="preserve">    Taxes Other Than Income Taxes</t>
  </si>
  <si>
    <t>-36,118,000,000</t>
  </si>
  <si>
    <t>-39,973,000,000</t>
  </si>
  <si>
    <t>-35,558,000,000</t>
  </si>
  <si>
    <t>-33,230,000,000</t>
  </si>
  <si>
    <t>-32,286,000,000</t>
  </si>
  <si>
    <t>-27,265,000,000</t>
  </si>
  <si>
    <t>-25,910,000,000</t>
  </si>
  <si>
    <t>-30,104,000,000</t>
  </si>
  <si>
    <t>-32,663,000,000</t>
  </si>
  <si>
    <t>-30,525,000,000</t>
  </si>
  <si>
    <t>-27,107,000,000</t>
  </si>
  <si>
    <t xml:space="preserve">    Depreciation, Amortization and Depletion</t>
  </si>
  <si>
    <t>-14,760,000,000</t>
  </si>
  <si>
    <t>-15,583,000,000</t>
  </si>
  <si>
    <t>Total Operating Profit/Loss</t>
  </si>
  <si>
    <t>42,541,000,000</t>
  </si>
  <si>
    <t>58,215,000,000</t>
  </si>
  <si>
    <t>49,881,000,000</t>
  </si>
  <si>
    <t>40,301,000,000</t>
  </si>
  <si>
    <t>34,082,000,000</t>
  </si>
  <si>
    <t>12,883,000,000</t>
  </si>
  <si>
    <t>936,000,000</t>
  </si>
  <si>
    <t>12,074,000,000</t>
  </si>
  <si>
    <t>22,124,000,000</t>
  </si>
  <si>
    <t>12,766,000,000</t>
  </si>
  <si>
    <t>-66,000,000</t>
  </si>
  <si>
    <t>Non-Operating Income/Expenses, Total</t>
  </si>
  <si>
    <t>10,418,000,000</t>
  </si>
  <si>
    <t>15,042,000,000</t>
  </si>
  <si>
    <t>28,845,000,000</t>
  </si>
  <si>
    <t>17,410,000,000</t>
  </si>
  <si>
    <t>17,548,000,000</t>
  </si>
  <si>
    <t>9,083,000,000</t>
  </si>
  <si>
    <t>7,033,000,000</t>
  </si>
  <si>
    <t>6,600,000,000</t>
  </si>
  <si>
    <t>8,829,000,000</t>
  </si>
  <si>
    <t>7,290,000,000</t>
  </si>
  <si>
    <t>4,210,000,000</t>
  </si>
  <si>
    <t xml:space="preserve">    Total Net Finance Income/Expense</t>
  </si>
  <si>
    <t>-259,000,000</t>
  </si>
  <si>
    <t>-247,000,000</t>
  </si>
  <si>
    <t>-327,000,000</t>
  </si>
  <si>
    <t>-9,000,000</t>
  </si>
  <si>
    <t>-286,000,000</t>
  </si>
  <si>
    <t>-311,000,000</t>
  </si>
  <si>
    <t>-453,000,000</t>
  </si>
  <si>
    <t>-601,000,000</t>
  </si>
  <si>
    <t>-766,000,000</t>
  </si>
  <si>
    <t>-830,000,000</t>
  </si>
  <si>
    <t>-1,046,000,000</t>
  </si>
  <si>
    <t xml:space="preserve">        Net Interest Income/Expense</t>
  </si>
  <si>
    <t xml:space="preserve">            Interest Expense Net of Capitalized Interest</t>
  </si>
  <si>
    <t xml:space="preserve">    Net Investment Income</t>
  </si>
  <si>
    <t>10,677,000,000</t>
  </si>
  <si>
    <t>15,289,000,000</t>
  </si>
  <si>
    <t>15,010,000,000</t>
  </si>
  <si>
    <t>13,927,000,000</t>
  </si>
  <si>
    <t>13,323,000,000</t>
  </si>
  <si>
    <t>7,644,000,000</t>
  </si>
  <si>
    <t>4,806,000,000</t>
  </si>
  <si>
    <t>5,380,000,000</t>
  </si>
  <si>
    <t>7,355,000,000</t>
  </si>
  <si>
    <t>5,441,000,000</t>
  </si>
  <si>
    <t>2,572,000,000</t>
  </si>
  <si>
    <t xml:space="preserve">        Income from Associates, Joint Ventures and Other Participating Interests</t>
  </si>
  <si>
    <t xml:space="preserve">            Share of Profit and Interest from Associates</t>
  </si>
  <si>
    <t xml:space="preserve">    Other Income/Expense, Non-Operating</t>
  </si>
  <si>
    <t>14,162,000,000</t>
  </si>
  <si>
    <t>3,492,000,000</t>
  </si>
  <si>
    <t>4,511,000,000</t>
  </si>
  <si>
    <t>1,750,000,000</t>
  </si>
  <si>
    <t>2,680,000,000</t>
  </si>
  <si>
    <t>1,821,000,000</t>
  </si>
  <si>
    <t>2,240,000,000</t>
  </si>
  <si>
    <t>2,679,000,000</t>
  </si>
  <si>
    <t>2,684,000,000</t>
  </si>
  <si>
    <t>Pretax Income</t>
  </si>
  <si>
    <t>52,959,000,000</t>
  </si>
  <si>
    <t>73,257,000,000</t>
  </si>
  <si>
    <t>78,726,000,000</t>
  </si>
  <si>
    <t>57,711,000,000</t>
  </si>
  <si>
    <t>51,630,000,000</t>
  </si>
  <si>
    <t>21,966,000,000</t>
  </si>
  <si>
    <t>7,969,000,000</t>
  </si>
  <si>
    <t>18,674,000,000</t>
  </si>
  <si>
    <t>30,953,000,000</t>
  </si>
  <si>
    <t>20,056,000,000</t>
  </si>
  <si>
    <t>4,144,000,000</t>
  </si>
  <si>
    <t>Provision for Income Tax</t>
  </si>
  <si>
    <t>-21,561,000,000</t>
  </si>
  <si>
    <t>-31,051,000,000</t>
  </si>
  <si>
    <t>-31,045,000,000</t>
  </si>
  <si>
    <t>-24,263,000,000</t>
  </si>
  <si>
    <t>-18,015,000,000</t>
  </si>
  <si>
    <t>-5,415,000,000</t>
  </si>
  <si>
    <t>406,000,000</t>
  </si>
  <si>
    <t>1,174,000,000</t>
  </si>
  <si>
    <t>-9,532,000,000</t>
  </si>
  <si>
    <t>-5,282,000,000</t>
  </si>
  <si>
    <t>-1,062,000,000</t>
  </si>
  <si>
    <t>Net Income from Continuing Operations</t>
  </si>
  <si>
    <t>31,398,000,000</t>
  </si>
  <si>
    <t>42,206,000,000</t>
  </si>
  <si>
    <t>47,681,000,000</t>
  </si>
  <si>
    <t>33,448,000,000</t>
  </si>
  <si>
    <t>33,615,000,000</t>
  </si>
  <si>
    <t>16,551,000,000</t>
  </si>
  <si>
    <t>8,375,000,000</t>
  </si>
  <si>
    <t>19,848,000,000</t>
  </si>
  <si>
    <t>21,421,000,000</t>
  </si>
  <si>
    <t>14,774,000,000</t>
  </si>
  <si>
    <t>3,082,000,000</t>
  </si>
  <si>
    <t>Net Income after Extraordinary Items and Discontinued Operations</t>
  </si>
  <si>
    <t>Non-Controlling/Minority Interests</t>
  </si>
  <si>
    <t>-938,000,000</t>
  </si>
  <si>
    <t>-1,146,000,000</t>
  </si>
  <si>
    <t>-2,801,000,000</t>
  </si>
  <si>
    <t>-868,000,000</t>
  </si>
  <si>
    <t>-1,095,000,000</t>
  </si>
  <si>
    <t>-401,000,000</t>
  </si>
  <si>
    <t>-535,000,000</t>
  </si>
  <si>
    <t>-138,000,000</t>
  </si>
  <si>
    <t>-581,000,000</t>
  </si>
  <si>
    <t>-434,000,000</t>
  </si>
  <si>
    <t>238,000,000</t>
  </si>
  <si>
    <t>Net Income after Non-Controlling/Minority Interests</t>
  </si>
  <si>
    <t>30,460,000,000</t>
  </si>
  <si>
    <t>41,060,000,000</t>
  </si>
  <si>
    <t>44,880,000,000</t>
  </si>
  <si>
    <t>32,580,000,000</t>
  </si>
  <si>
    <t>32,520,000,000</t>
  </si>
  <si>
    <t>16,150,000,000</t>
  </si>
  <si>
    <t>7,840,000,000</t>
  </si>
  <si>
    <t>19,710,000,000</t>
  </si>
  <si>
    <t>20,840,000,000</t>
  </si>
  <si>
    <t>14,340,000,000</t>
  </si>
  <si>
    <t>3,320,000,000</t>
  </si>
  <si>
    <t>Net Income Available to Common Stockholders</t>
  </si>
  <si>
    <t>Diluted Net Income Available to Common Stockholders</t>
  </si>
  <si>
    <t>Reported Total Revenue</t>
  </si>
  <si>
    <t>383,221,000,000</t>
  </si>
  <si>
    <t>486,429,000,000</t>
  </si>
  <si>
    <t>Reported Effective Tax Rate</t>
  </si>
  <si>
    <t>0</t>
  </si>
  <si>
    <t>Reported Normalized Income</t>
  </si>
  <si>
    <t>21,038,000,000</t>
  </si>
  <si>
    <t>Basic EPS</t>
  </si>
  <si>
    <t>6.24</t>
  </si>
  <si>
    <t>8.43</t>
  </si>
  <si>
    <t>9.70</t>
  </si>
  <si>
    <t>7.37</t>
  </si>
  <si>
    <t>7.60</t>
  </si>
  <si>
    <t>3.85</t>
  </si>
  <si>
    <t>1.88</t>
  </si>
  <si>
    <t>4.63</t>
  </si>
  <si>
    <t>4.88</t>
  </si>
  <si>
    <t>3.36</t>
  </si>
  <si>
    <t>0.78</t>
  </si>
  <si>
    <t>Diluted EPS</t>
  </si>
  <si>
    <t>6.22</t>
  </si>
  <si>
    <t>8.42</t>
  </si>
  <si>
    <t>Basic WASO</t>
  </si>
  <si>
    <t>4,885,000,000</t>
  </si>
  <si>
    <t>4,870,000,000</t>
  </si>
  <si>
    <t>4,628,000,000</t>
  </si>
  <si>
    <t>4,419,000,000</t>
  </si>
  <si>
    <t>4,282,000,000</t>
  </si>
  <si>
    <t>4,196,000,000</t>
  </si>
  <si>
    <t>4,177,000,000</t>
  </si>
  <si>
    <t>4,256,000,000</t>
  </si>
  <si>
    <t>4,270,000,000</t>
  </si>
  <si>
    <t>Diluted WASO</t>
  </si>
  <si>
    <t>4,897,000,000</t>
  </si>
  <si>
    <t>4,875,000,000</t>
  </si>
  <si>
    <t>Fiscal year ends in Dec 31 | USD</t>
  </si>
  <si>
    <t>Diluted WASO1</t>
  </si>
  <si>
    <t>XOM_BalanceSheet_Annual_As_Originally_Reported</t>
  </si>
  <si>
    <t>302,510,000,000</t>
  </si>
  <si>
    <t>331,052,000,000</t>
  </si>
  <si>
    <t>333,795,000,000</t>
  </si>
  <si>
    <t>346,808,000,000</t>
  </si>
  <si>
    <t>349,493,000,000</t>
  </si>
  <si>
    <t>336,758,000,000</t>
  </si>
  <si>
    <t>330,314,000,000</t>
  </si>
  <si>
    <t>348,691,000,000</t>
  </si>
  <si>
    <t>346,196,000,000</t>
  </si>
  <si>
    <t>362,597,000,000</t>
  </si>
  <si>
    <t xml:space="preserve">    Total Current Assets</t>
  </si>
  <si>
    <t>58,984,000,000</t>
  </si>
  <si>
    <t>72,963,000,000</t>
  </si>
  <si>
    <t>64,460,000,000</t>
  </si>
  <si>
    <t>59,308,000,000</t>
  </si>
  <si>
    <t>52,910,000,000</t>
  </si>
  <si>
    <t>42,623,000,000</t>
  </si>
  <si>
    <t>41,416,000,000</t>
  </si>
  <si>
    <t>47,134,000,000</t>
  </si>
  <si>
    <t>47,973,000,000</t>
  </si>
  <si>
    <t>50,052,000,000</t>
  </si>
  <si>
    <t xml:space="preserve">        Cash, Cash Equivalents and Short Term Investments</t>
  </si>
  <si>
    <t>7,827,000,000</t>
  </si>
  <si>
    <t>12,664,000,000</t>
  </si>
  <si>
    <t>9,582,000,000</t>
  </si>
  <si>
    <t>4,644,000,000</t>
  </si>
  <si>
    <t>4,616,000,000</t>
  </si>
  <si>
    <t>3,705,000,000</t>
  </si>
  <si>
    <t>3,657,000,000</t>
  </si>
  <si>
    <t>3,177,000,000</t>
  </si>
  <si>
    <t>3,042,000,000</t>
  </si>
  <si>
    <t>3,089,000,000</t>
  </si>
  <si>
    <t xml:space="preserve">            Cash and Cash Equivalents</t>
  </si>
  <si>
    <t>7,825,000,000</t>
  </si>
  <si>
    <t xml:space="preserve">            Short Term Investments</t>
  </si>
  <si>
    <t>2,000,000</t>
  </si>
  <si>
    <t xml:space="preserve">        Inventories</t>
  </si>
  <si>
    <t>12,976,000,000</t>
  </si>
  <si>
    <t>15,024,000,000</t>
  </si>
  <si>
    <t>14,542,000,000</t>
  </si>
  <si>
    <t>16,135,000,000</t>
  </si>
  <si>
    <t>16,678,000,000</t>
  </si>
  <si>
    <t>16,245,000,000</t>
  </si>
  <si>
    <t>15,080,000,000</t>
  </si>
  <si>
    <t>16,992,000,000</t>
  </si>
  <si>
    <t>18,958,000,000</t>
  </si>
  <si>
    <t>18,528,000,000</t>
  </si>
  <si>
    <t xml:space="preserve">            Raw Materials, Consumables and Supplies</t>
  </si>
  <si>
    <t>3,124,000,000</t>
  </si>
  <si>
    <t>3,359,000,000</t>
  </si>
  <si>
    <t>3,706,000,000</t>
  </si>
  <si>
    <t>4,018,000,000</t>
  </si>
  <si>
    <t>4,294,000,000</t>
  </si>
  <si>
    <t>4,208,000,000</t>
  </si>
  <si>
    <t>4,203,000,000</t>
  </si>
  <si>
    <t>4,121,000,000</t>
  </si>
  <si>
    <t>4,155,000,000</t>
  </si>
  <si>
    <t>4,518,000,000</t>
  </si>
  <si>
    <t xml:space="preserve">            Finished Goods and Merchandise</t>
  </si>
  <si>
    <t>9,852,000,000</t>
  </si>
  <si>
    <t>11,665,000,000</t>
  </si>
  <si>
    <t>10,836,000,000</t>
  </si>
  <si>
    <t>12,117,000,000</t>
  </si>
  <si>
    <t>12,384,000,000</t>
  </si>
  <si>
    <t>12,037,000,000</t>
  </si>
  <si>
    <t>10,877,000,000</t>
  </si>
  <si>
    <t>12,871,000,000</t>
  </si>
  <si>
    <t>14,803,000,000</t>
  </si>
  <si>
    <t>14,010,000,000</t>
  </si>
  <si>
    <t xml:space="preserve">        Trade and Other Receivables, Current</t>
  </si>
  <si>
    <t>32,284,000,000</t>
  </si>
  <si>
    <t>38,642,000,000</t>
  </si>
  <si>
    <t>34,987,000,000</t>
  </si>
  <si>
    <t>33,152,000,000</t>
  </si>
  <si>
    <t>28,009,000,000</t>
  </si>
  <si>
    <t>19,875,000,000</t>
  </si>
  <si>
    <t>21,394,000,000</t>
  </si>
  <si>
    <t>25,597,000,000</t>
  </si>
  <si>
    <t>24,701,000,000</t>
  </si>
  <si>
    <t>26,966,000,000</t>
  </si>
  <si>
    <t xml:space="preserve">            Trade/Accounts Receivable, Current</t>
  </si>
  <si>
    <t>28,373,000,000</t>
  </si>
  <si>
    <t>25,993,000,000</t>
  </si>
  <si>
    <t>18,541,000,000</t>
  </si>
  <si>
    <t>13,243,000,000</t>
  </si>
  <si>
    <t>16,033,000,000</t>
  </si>
  <si>
    <t>21,274,000,000</t>
  </si>
  <si>
    <t>19,638,000,000</t>
  </si>
  <si>
    <t>21,100,000,000</t>
  </si>
  <si>
    <t xml:space="preserve">                Gross Trade/Accounts Receivable, Current</t>
  </si>
  <si>
    <t>38,770,000,000</t>
  </si>
  <si>
    <t>28,482,000,000</t>
  </si>
  <si>
    <t>26,105,000,000</t>
  </si>
  <si>
    <t>18,654,000,000</t>
  </si>
  <si>
    <t>13,350,000,000</t>
  </si>
  <si>
    <t>16,108,000,000</t>
  </si>
  <si>
    <t>21,346,000,000</t>
  </si>
  <si>
    <t>19,699,000,000</t>
  </si>
  <si>
    <t>21,134,000,000</t>
  </si>
  <si>
    <t xml:space="preserve">                Allowance/Adjustments for Trade/Accounts Receivable, Current</t>
  </si>
  <si>
    <t>-128,000,000</t>
  </si>
  <si>
    <t>-109,000,000</t>
  </si>
  <si>
    <t>-112,000,000</t>
  </si>
  <si>
    <t>-113,000,000</t>
  </si>
  <si>
    <t>-107,000,000</t>
  </si>
  <si>
    <t>-75,000,000</t>
  </si>
  <si>
    <t>-72,000,000</t>
  </si>
  <si>
    <t>-61,000,000</t>
  </si>
  <si>
    <t>-34,000,000</t>
  </si>
  <si>
    <t xml:space="preserve">            Other Receivables, Current</t>
  </si>
  <si>
    <t>6,614,000,000</t>
  </si>
  <si>
    <t>7,159,000,000</t>
  </si>
  <si>
    <t>9,468,000,000</t>
  </si>
  <si>
    <t>6,632,000,000</t>
  </si>
  <si>
    <t>5,361,000,000</t>
  </si>
  <si>
    <t>4,323,000,000</t>
  </si>
  <si>
    <t>5,063,000,000</t>
  </si>
  <si>
    <t>5,866,000,000</t>
  </si>
  <si>
    <t xml:space="preserve">        Other Current Assets</t>
  </si>
  <si>
    <t>5,269,000,000</t>
  </si>
  <si>
    <t>6,229,000,000</t>
  </si>
  <si>
    <t>5,008,000,000</t>
  </si>
  <si>
    <t>5,108,000,000</t>
  </si>
  <si>
    <t>3,565,000,000</t>
  </si>
  <si>
    <t>2,798,000,000</t>
  </si>
  <si>
    <t>1,285,000,000</t>
  </si>
  <si>
    <t>1,368,000,000</t>
  </si>
  <si>
    <t>1,272,000,000</t>
  </si>
  <si>
    <t>1,469,000,000</t>
  </si>
  <si>
    <t xml:space="preserve">        Cash Restricted or Pledged, Current</t>
  </si>
  <si>
    <t>628,000,000</t>
  </si>
  <si>
    <t>404,000,000</t>
  </si>
  <si>
    <t>341,000,000</t>
  </si>
  <si>
    <t>269,000,000</t>
  </si>
  <si>
    <t>42,000,000</t>
  </si>
  <si>
    <t xml:space="preserve">    Total Non-Current Assets</t>
  </si>
  <si>
    <t>243,526,000,000</t>
  </si>
  <si>
    <t>258,089,000,000</t>
  </si>
  <si>
    <t>269,335,000,000</t>
  </si>
  <si>
    <t>287,500,000,000</t>
  </si>
  <si>
    <t>296,583,000,000</t>
  </si>
  <si>
    <t>294,135,000,000</t>
  </si>
  <si>
    <t>288,898,000,000</t>
  </si>
  <si>
    <t>301,557,000,000</t>
  </si>
  <si>
    <t>298,223,000,000</t>
  </si>
  <si>
    <t>312,545,000,000</t>
  </si>
  <si>
    <t xml:space="preserve">        Net Mineral Property Interests and Exploration Assets</t>
  </si>
  <si>
    <t>226,949,000,000</t>
  </si>
  <si>
    <t>243,650,000,000</t>
  </si>
  <si>
    <t>252,668,000,000</t>
  </si>
  <si>
    <t>251,605,000,000</t>
  </si>
  <si>
    <t>244,224,000,000</t>
  </si>
  <si>
    <t>252,630,000,000</t>
  </si>
  <si>
    <t>247,101,000,000</t>
  </si>
  <si>
    <t>253,018,000,000</t>
  </si>
  <si>
    <t xml:space="preserve">            Gross Mineral Property Interests and Exploration Assets</t>
  </si>
  <si>
    <t>409,314,000,000</t>
  </si>
  <si>
    <t>434,517,000,000</t>
  </si>
  <si>
    <t>446,789,000,000</t>
  </si>
  <si>
    <t>447,337,000,000</t>
  </si>
  <si>
    <t>453,915,000,000</t>
  </si>
  <si>
    <t>477,190,000,000</t>
  </si>
  <si>
    <t>486,702,000,000</t>
  </si>
  <si>
    <t xml:space="preserve">            Accumulated Amortization of Mineral Property Interests and Exploration Assets</t>
  </si>
  <si>
    <t>-182,365,000,000</t>
  </si>
  <si>
    <t>-190,867,000,000</t>
  </si>
  <si>
    <t>-194,121,000,000</t>
  </si>
  <si>
    <t>-195,732,000,000</t>
  </si>
  <si>
    <t>-209,691,000,000</t>
  </si>
  <si>
    <t>-230,089,000,000</t>
  </si>
  <si>
    <t>-233,684,000,000</t>
  </si>
  <si>
    <t xml:space="preserve">        Total Long Term Investments</t>
  </si>
  <si>
    <t>35,338,000,000</t>
  </si>
  <si>
    <t>34,333,000,000</t>
  </si>
  <si>
    <t>34,718,000,000</t>
  </si>
  <si>
    <t>36,328,000,000</t>
  </si>
  <si>
    <t>35,239,000,000</t>
  </si>
  <si>
    <t>34,245,000,000</t>
  </si>
  <si>
    <t>35,102,000,000</t>
  </si>
  <si>
    <t>39,160,000,000</t>
  </si>
  <si>
    <t>40,790,000,000</t>
  </si>
  <si>
    <t>43,164,000,000</t>
  </si>
  <si>
    <t xml:space="preserve">            Long Term Equity Investments</t>
  </si>
  <si>
    <t xml:space="preserve">        Other Non-Current Assets</t>
  </si>
  <si>
    <t>8,640,000,000</t>
  </si>
  <si>
    <t>9,092,000,000</t>
  </si>
  <si>
    <t>7,668,000,000</t>
  </si>
  <si>
    <t>7,522,000,000</t>
  </si>
  <si>
    <t>8,676,000,000</t>
  </si>
  <si>
    <t>8,285,000,000</t>
  </si>
  <si>
    <t>9,572,000,000</t>
  </si>
  <si>
    <t>9,767,000,000</t>
  </si>
  <si>
    <t>10,332,000,000</t>
  </si>
  <si>
    <t>16,363,000,000</t>
  </si>
  <si>
    <t xml:space="preserve">        Net Property, Plant and Equipment</t>
  </si>
  <si>
    <t>199,548,000,000</t>
  </si>
  <si>
    <t>214,664,000,000</t>
  </si>
  <si>
    <t xml:space="preserve">            Gross Property, Plant and Equipment</t>
  </si>
  <si>
    <t>373,938,000,000</t>
  </si>
  <si>
    <t>393,995,000,000</t>
  </si>
  <si>
    <t xml:space="preserve">            Accumulated Depreciation and Impairment</t>
  </si>
  <si>
    <t>-174,390,000,000</t>
  </si>
  <si>
    <t>-179,331,000,000</t>
  </si>
  <si>
    <t xml:space="preserve">                Accumulated Depreciation</t>
  </si>
  <si>
    <t>149,831,000,000</t>
  </si>
  <si>
    <t>170,308,000,000</t>
  </si>
  <si>
    <t>162,135,000,000</t>
  </si>
  <si>
    <t>166,313,000,000</t>
  </si>
  <si>
    <t>168,429,000,000</t>
  </si>
  <si>
    <t>159,948,000,000</t>
  </si>
  <si>
    <t>156,484,000,000</t>
  </si>
  <si>
    <t>154,191,000,000</t>
  </si>
  <si>
    <t>147,668,000,000</t>
  </si>
  <si>
    <t>163,659,000,000</t>
  </si>
  <si>
    <t xml:space="preserve">    Total Current Liabilities</t>
  </si>
  <si>
    <t>62,633,000,000</t>
  </si>
  <si>
    <t>77,505,000,000</t>
  </si>
  <si>
    <t>64,139,000,000</t>
  </si>
  <si>
    <t>71,724,000,000</t>
  </si>
  <si>
    <t>64,633,000,000</t>
  </si>
  <si>
    <t>53,976,000,000</t>
  </si>
  <si>
    <t>47,638,000,000</t>
  </si>
  <si>
    <t>57,771,000,000</t>
  </si>
  <si>
    <t>57,138,000,000</t>
  </si>
  <si>
    <t>63,989,000,000</t>
  </si>
  <si>
    <t xml:space="preserve">        Payables and Accrued Expenses, Current</t>
  </si>
  <si>
    <t>59,846,000,000</t>
  </si>
  <si>
    <t>69,794,000,000</t>
  </si>
  <si>
    <t>60,486,000,000</t>
  </si>
  <si>
    <t>55,916,000,000</t>
  </si>
  <si>
    <t>47,165,000,000</t>
  </si>
  <si>
    <t>35,214,000,000</t>
  </si>
  <si>
    <t>33,808,000,000</t>
  </si>
  <si>
    <t>39,841,000,000</t>
  </si>
  <si>
    <t>39,880,000,000</t>
  </si>
  <si>
    <t>43,411,000,000</t>
  </si>
  <si>
    <t xml:space="preserve">            Trade and Other Payables, Current</t>
  </si>
  <si>
    <t xml:space="preserve">                Trade/Accounts Payable, Current</t>
  </si>
  <si>
    <t>30,780,000,000</t>
  </si>
  <si>
    <t>33,969,000,000</t>
  </si>
  <si>
    <t>33,789,000,000</t>
  </si>
  <si>
    <t>30,920,000,000</t>
  </si>
  <si>
    <t>25,286,000,000</t>
  </si>
  <si>
    <t>18,074,000,000</t>
  </si>
  <si>
    <t>17,801,000,000</t>
  </si>
  <si>
    <t>21,701,000,000</t>
  </si>
  <si>
    <t>21,063,000,000</t>
  </si>
  <si>
    <t>24,694,000,000</t>
  </si>
  <si>
    <t xml:space="preserve">                Amount Due to Related Parties/Shareholders, Current</t>
  </si>
  <si>
    <t>6,114,000,000</t>
  </si>
  <si>
    <t>6,587,000,000</t>
  </si>
  <si>
    <t>6,589,000,000</t>
  </si>
  <si>
    <t>4,639,000,000</t>
  </si>
  <si>
    <t>4,748,000,000</t>
  </si>
  <si>
    <t>5,453,000,000</t>
  </si>
  <si>
    <t>6,863,000,000</t>
  </si>
  <si>
    <t>6,825,000,000</t>
  </si>
  <si>
    <t xml:space="preserve">                Taxes Payable, Current</t>
  </si>
  <si>
    <t>16,590,000,000</t>
  </si>
  <si>
    <t>19,850,000,000</t>
  </si>
  <si>
    <t>13,888,000,000</t>
  </si>
  <si>
    <t>11,714,000,000</t>
  </si>
  <si>
    <t>8,228,000,000</t>
  </si>
  <si>
    <t>5,739,000,000</t>
  </si>
  <si>
    <t>5,268,000,000</t>
  </si>
  <si>
    <t>6,356,000,000</t>
  </si>
  <si>
    <t>5,892,000,000</t>
  </si>
  <si>
    <t>4,881,000,000</t>
  </si>
  <si>
    <t xml:space="preserve">                Other Payable, Current</t>
  </si>
  <si>
    <t>12,476,000,000</t>
  </si>
  <si>
    <t>15,975,000,000</t>
  </si>
  <si>
    <t>6,695,000,000</t>
  </si>
  <si>
    <t>7,062,000,000</t>
  </si>
  <si>
    <t>6,762,000,000</t>
  </si>
  <si>
    <t>5,991,000,000</t>
  </si>
  <si>
    <t>6,331,000,000</t>
  </si>
  <si>
    <t>6,062,000,000</t>
  </si>
  <si>
    <t>7,011,000,000</t>
  </si>
  <si>
    <t xml:space="preserve">        Financial Liabilities, Current</t>
  </si>
  <si>
    <t>2,787,000,000</t>
  </si>
  <si>
    <t>7,711,000,000</t>
  </si>
  <si>
    <t>3,653,000,000</t>
  </si>
  <si>
    <t>15,808,000,000</t>
  </si>
  <si>
    <t>17,468,000,000</t>
  </si>
  <si>
    <t>18,762,000,000</t>
  </si>
  <si>
    <t>13,830,000,000</t>
  </si>
  <si>
    <t>17,930,000,000</t>
  </si>
  <si>
    <t>17,258,000,000</t>
  </si>
  <si>
    <t>20,578,000,000</t>
  </si>
  <si>
    <t xml:space="preserve">            Current Debt and Capital Lease Obligation</t>
  </si>
  <si>
    <t xml:space="preserve">                Current Debt</t>
  </si>
  <si>
    <t>3,043,000,000</t>
  </si>
  <si>
    <t>2,628,000,000</t>
  </si>
  <si>
    <t>16,698,000,000</t>
  </si>
  <si>
    <t>18,204,000,000</t>
  </si>
  <si>
    <t>10,870,000,000</t>
  </si>
  <si>
    <t>13,164,000,000</t>
  </si>
  <si>
    <t>13,188,000,000</t>
  </si>
  <si>
    <t>18,877,000,000</t>
  </si>
  <si>
    <t xml:space="preserve">                    Bank/Credit Facilities, Current Debt</t>
  </si>
  <si>
    <t>663,000,000</t>
  </si>
  <si>
    <t>722,000,000</t>
  </si>
  <si>
    <t>473,000,000</t>
  </si>
  <si>
    <t>231,000,000</t>
  </si>
  <si>
    <t>143,000,000</t>
  </si>
  <si>
    <t>115,000,000</t>
  </si>
  <si>
    <t>325,000,000</t>
  </si>
  <si>
    <t>316,000,000</t>
  </si>
  <si>
    <t xml:space="preserve">                    Commercial Paper</t>
  </si>
  <si>
    <t>2,281,000,000</t>
  </si>
  <si>
    <t>1,963,000,000</t>
  </si>
  <si>
    <t>14,051,000,000</t>
  </si>
  <si>
    <t>16,225,000,000</t>
  </si>
  <si>
    <t>17,973,000,000</t>
  </si>
  <si>
    <t>10,727,000,000</t>
  </si>
  <si>
    <t>13,049,000,000</t>
  </si>
  <si>
    <t>12,863,000,000</t>
  </si>
  <si>
    <t>18,561,000,000</t>
  </si>
  <si>
    <t xml:space="preserve">                    Other Loans, Current Debt</t>
  </si>
  <si>
    <t>1,000,000</t>
  </si>
  <si>
    <t xml:space="preserve">                    Notes Payable, Current Debt</t>
  </si>
  <si>
    <t>762,000,000</t>
  </si>
  <si>
    <t xml:space="preserve">                Current Portion of Long Term Debt and Capital Lease</t>
  </si>
  <si>
    <t>4,668,000,000</t>
  </si>
  <si>
    <t>1,025,000,000</t>
  </si>
  <si>
    <t>1,034,000,000</t>
  </si>
  <si>
    <t>770,000,000</t>
  </si>
  <si>
    <t>558,000,000</t>
  </si>
  <si>
    <t>2,960,000,000</t>
  </si>
  <si>
    <t>4,766,000,000</t>
  </si>
  <si>
    <t>4,070,000,000</t>
  </si>
  <si>
    <t>1,701,000,000</t>
  </si>
  <si>
    <t xml:space="preserve">                    Current Portion of Long Term Debt</t>
  </si>
  <si>
    <t xml:space="preserve">                        Bank/Institutional Loans, Current Portion of LT Debt</t>
  </si>
  <si>
    <t>1,237,000,000</t>
  </si>
  <si>
    <t xml:space="preserve">                        Other Current Portion of LT Debt</t>
  </si>
  <si>
    <t>3,431,000,000</t>
  </si>
  <si>
    <t xml:space="preserve">    Total Non-Current Liabilities</t>
  </si>
  <si>
    <t>87,198,000,000</t>
  </si>
  <si>
    <t>92,803,000,000</t>
  </si>
  <si>
    <t>97,996,000,000</t>
  </si>
  <si>
    <t>94,589,000,000</t>
  </si>
  <si>
    <t>103,796,000,000</t>
  </si>
  <si>
    <t>105,972,000,000</t>
  </si>
  <si>
    <t>108,846,000,000</t>
  </si>
  <si>
    <t>96,420,000,000</t>
  </si>
  <si>
    <t>90,530,000,000</t>
  </si>
  <si>
    <t>99,670,000,000</t>
  </si>
  <si>
    <t xml:space="preserve">        Financial Liabilities, Non-Current</t>
  </si>
  <si>
    <t>12,227,000,000</t>
  </si>
  <si>
    <t>9,322,000,000</t>
  </si>
  <si>
    <t>7,928,000,000</t>
  </si>
  <si>
    <t>6,891,000,000</t>
  </si>
  <si>
    <t>11,653,000,000</t>
  </si>
  <si>
    <t>19,925,000,000</t>
  </si>
  <si>
    <t>28,932,000,000</t>
  </si>
  <si>
    <t>24,406,000,000</t>
  </si>
  <si>
    <t>20,538,000,000</t>
  </si>
  <si>
    <t>26,342,000,000</t>
  </si>
  <si>
    <t xml:space="preserve">            Long Term Debt and Capital Lease Obligation</t>
  </si>
  <si>
    <t xml:space="preserve">                Long Term Debt</t>
  </si>
  <si>
    <t>7,497,000,000</t>
  </si>
  <si>
    <t>6,516,000,000</t>
  </si>
  <si>
    <t>11,278,000,000</t>
  </si>
  <si>
    <t>18,687,000,000</t>
  </si>
  <si>
    <t>27,707,000,000</t>
  </si>
  <si>
    <t>23,079,000,000</t>
  </si>
  <si>
    <t>19,235,000,000</t>
  </si>
  <si>
    <t>24,672,000,000</t>
  </si>
  <si>
    <t xml:space="preserve">                    Notes Payables, Non-Current</t>
  </si>
  <si>
    <t>7,168,000,000</t>
  </si>
  <si>
    <t>6,146,000,000</t>
  </si>
  <si>
    <t>10,916,000,000</t>
  </si>
  <si>
    <t>18,340,000,000</t>
  </si>
  <si>
    <t>27,298,000,000</t>
  </si>
  <si>
    <t>20,129,000,000</t>
  </si>
  <si>
    <t>16,374,000,000</t>
  </si>
  <si>
    <t>24,329,000,000</t>
  </si>
  <si>
    <t xml:space="preserve">                    Other Loans, Non-Current</t>
  </si>
  <si>
    <t>329,000,000</t>
  </si>
  <si>
    <t>370,000,000</t>
  </si>
  <si>
    <t>362,000,000</t>
  </si>
  <si>
    <t>347,000,000</t>
  </si>
  <si>
    <t>409,000,000</t>
  </si>
  <si>
    <t>2,950,000,000</t>
  </si>
  <si>
    <t>2,861,000,000</t>
  </si>
  <si>
    <t>343,000,000</t>
  </si>
  <si>
    <t xml:space="preserve">                Capital Lease Obligations, Non-Current</t>
  </si>
  <si>
    <t>431,000,000</t>
  </si>
  <si>
    <t>375,000,000</t>
  </si>
  <si>
    <t>1,238,000,000</t>
  </si>
  <si>
    <t>1,225,000,000</t>
  </si>
  <si>
    <t>1,327,000,000</t>
  </si>
  <si>
    <t>1,303,000,000</t>
  </si>
  <si>
    <t>1,670,000,000</t>
  </si>
  <si>
    <t xml:space="preserve">        Provisions, Non-Current</t>
  </si>
  <si>
    <t>19,367,000,000</t>
  </si>
  <si>
    <t>24,994,000,000</t>
  </si>
  <si>
    <t>25,267,000,000</t>
  </si>
  <si>
    <t>20,646,000,000</t>
  </si>
  <si>
    <t>25,802,000,000</t>
  </si>
  <si>
    <t>22,647,000,000</t>
  </si>
  <si>
    <t>20,680,000,000</t>
  </si>
  <si>
    <t>21,132,000,000</t>
  </si>
  <si>
    <t>20,272,000,000</t>
  </si>
  <si>
    <t>22,304,000,000</t>
  </si>
  <si>
    <t xml:space="preserve">            Provision for Employee Entitlements, Non-Current</t>
  </si>
  <si>
    <t xml:space="preserve">                Pension and Other Post-Retirement Benefit Plans, Non-Current</t>
  </si>
  <si>
    <t xml:space="preserve">        Tax Liabilities, Non-Current</t>
  </si>
  <si>
    <t>35,150,000,000</t>
  </si>
  <si>
    <t>36,618,000,000</t>
  </si>
  <si>
    <t>37,570,000,000</t>
  </si>
  <si>
    <t>40,530,000,000</t>
  </si>
  <si>
    <t>39,230,000,000</t>
  </si>
  <si>
    <t>36,818,000,000</t>
  </si>
  <si>
    <t>34,041,000,000</t>
  </si>
  <si>
    <t>26,893,000,000</t>
  </si>
  <si>
    <t>27,244,000,000</t>
  </si>
  <si>
    <t>25,620,000,000</t>
  </si>
  <si>
    <t xml:space="preserve">            Deferred Tax Liabilities, Non-Current</t>
  </si>
  <si>
    <t xml:space="preserve">        Payables and Accrued Expenses, Non-Current</t>
  </si>
  <si>
    <t>3,555,000,000</t>
  </si>
  <si>
    <t>4,742,000,000</t>
  </si>
  <si>
    <t>5,325,000,000</t>
  </si>
  <si>
    <t>5,417,000,000</t>
  </si>
  <si>
    <t>5,124,000,000</t>
  </si>
  <si>
    <t>4,774,000,000</t>
  </si>
  <si>
    <t>4,382,000,000</t>
  </si>
  <si>
    <t>3,988,000,000</t>
  </si>
  <si>
    <t xml:space="preserve">            Trade and Other Payables, Non-Current</t>
  </si>
  <si>
    <t xml:space="preserve">                Amount Due to Related Parties/Shareholders, Non-Current</t>
  </si>
  <si>
    <t xml:space="preserve">        Other Non-Current Liabilities</t>
  </si>
  <si>
    <t>20,454,000,000</t>
  </si>
  <si>
    <t>21,869,000,000</t>
  </si>
  <si>
    <t>23,676,000,000</t>
  </si>
  <si>
    <t>21,780,000,000</t>
  </si>
  <si>
    <t>21,786,000,000</t>
  </si>
  <si>
    <t>21,165,000,000</t>
  </si>
  <si>
    <t>20,069,000,000</t>
  </si>
  <si>
    <t>19,215,000,000</t>
  </si>
  <si>
    <t>18,094,000,000</t>
  </si>
  <si>
    <t>21,416,000,000</t>
  </si>
  <si>
    <t>Total Equity</t>
  </si>
  <si>
    <t>152,679,000,000</t>
  </si>
  <si>
    <t>160,744,000,000</t>
  </si>
  <si>
    <t>171,660,000,000</t>
  </si>
  <si>
    <t>180,495,000,000</t>
  </si>
  <si>
    <t>181,064,000,000</t>
  </si>
  <si>
    <t>176,810,000,000</t>
  </si>
  <si>
    <t>173,830,000,000</t>
  </si>
  <si>
    <t>194,500,000,000</t>
  </si>
  <si>
    <t>198,528,000,000</t>
  </si>
  <si>
    <t>198,938,000,000</t>
  </si>
  <si>
    <t xml:space="preserve">    Equity Attributable to Parent Stockholders</t>
  </si>
  <si>
    <t>146,839,000,000</t>
  </si>
  <si>
    <t>154,396,000,000</t>
  </si>
  <si>
    <t>165,863,000,000</t>
  </si>
  <si>
    <t>174,003,000,000</t>
  </si>
  <si>
    <t>174,399,000,000</t>
  </si>
  <si>
    <t>170,811,000,000</t>
  </si>
  <si>
    <t>167,325,000,000</t>
  </si>
  <si>
    <t>187,688,000,000</t>
  </si>
  <si>
    <t>191,794,000,000</t>
  </si>
  <si>
    <t>191,650,000,000</t>
  </si>
  <si>
    <t xml:space="preserve">        Paid in Capital</t>
  </si>
  <si>
    <t>-147,237,000,000</t>
  </si>
  <si>
    <t>-167,420,000,000</t>
  </si>
  <si>
    <t>-187,680,000,000</t>
  </si>
  <si>
    <t>-202,704,000,000</t>
  </si>
  <si>
    <t>-215,028,000,000</t>
  </si>
  <si>
    <t>-218,122,000,000</t>
  </si>
  <si>
    <t>-218,267,000,000</t>
  </si>
  <si>
    <t>-210,590,000,000</t>
  </si>
  <si>
    <t>-210,295,000,000</t>
  </si>
  <si>
    <t>-210,198,000,000</t>
  </si>
  <si>
    <t xml:space="preserve">            Capital Stock</t>
  </si>
  <si>
    <t>9,371,000,000</t>
  </si>
  <si>
    <t>9,512,000,000</t>
  </si>
  <si>
    <t>9,653,000,000</t>
  </si>
  <si>
    <t>10,077,000,000</t>
  </si>
  <si>
    <t>10,792,000,000</t>
  </si>
  <si>
    <t>11,612,000,000</t>
  </si>
  <si>
    <t>12,157,000,000</t>
  </si>
  <si>
    <t>14,656,000,000</t>
  </si>
  <si>
    <t>15,258,000,000</t>
  </si>
  <si>
    <t>15,637,000,000</t>
  </si>
  <si>
    <t xml:space="preserve">                Common Stock</t>
  </si>
  <si>
    <t xml:space="preserve">                    Common Stock, without Par Value</t>
  </si>
  <si>
    <t xml:space="preserve">            Treasury Stock</t>
  </si>
  <si>
    <t>-156,608,000,000</t>
  </si>
  <si>
    <t>-176,932,000,000</t>
  </si>
  <si>
    <t>-197,333,000,000</t>
  </si>
  <si>
    <t>-212,781,000,000</t>
  </si>
  <si>
    <t>-225,820,000,000</t>
  </si>
  <si>
    <t>-229,734,000,000</t>
  </si>
  <si>
    <t>-230,424,000,000</t>
  </si>
  <si>
    <t>-225,246,000,000</t>
  </si>
  <si>
    <t>-225,553,000,000</t>
  </si>
  <si>
    <t>-225,835,000,000</t>
  </si>
  <si>
    <t xml:space="preserve">        Retained Earnings/Accumulated Deficit</t>
  </si>
  <si>
    <t>298,899,000,000</t>
  </si>
  <si>
    <t>330,939,000,000</t>
  </si>
  <si>
    <t>365,727,000,000</t>
  </si>
  <si>
    <t>387,432,000,000</t>
  </si>
  <si>
    <t>408,384,000,000</t>
  </si>
  <si>
    <t>412,444,000,000</t>
  </si>
  <si>
    <t>407,831,000,000</t>
  </si>
  <si>
    <t>414,540,000,000</t>
  </si>
  <si>
    <t>421,653,000,000</t>
  </si>
  <si>
    <t>421,341,000,000</t>
  </si>
  <si>
    <t xml:space="preserve">        Reserves/Accumulated Comprehensive Income/Losses</t>
  </si>
  <si>
    <t>-4,823,000,000</t>
  </si>
  <si>
    <t>-9,123,000,000</t>
  </si>
  <si>
    <t>-12,184,000,000</t>
  </si>
  <si>
    <t>-10,725,000,000</t>
  </si>
  <si>
    <t>-18,957,000,000</t>
  </si>
  <si>
    <t>-23,511,000,000</t>
  </si>
  <si>
    <t>-22,239,000,000</t>
  </si>
  <si>
    <t>-16,262,000,000</t>
  </si>
  <si>
    <t>-19,564,000,000</t>
  </si>
  <si>
    <t>-19,493,000,000</t>
  </si>
  <si>
    <t xml:space="preserve">            Cumulative Foreign Exchange Translation Reserves/Accum. Comp. Inc</t>
  </si>
  <si>
    <t>5,011,000,000</t>
  </si>
  <si>
    <t>4,168,000,000</t>
  </si>
  <si>
    <t xml:space="preserve">            Gain/Loss from Cash Flow Hedges Reserves/Accum. Comp. Inc</t>
  </si>
  <si>
    <t>55,000,000</t>
  </si>
  <si>
    <t xml:space="preserve">            Pension and Other Post-Retirement Benefit Plans Reserves/Accum. Comp. Inc</t>
  </si>
  <si>
    <t>-9,889,000,000</t>
  </si>
  <si>
    <t>-13,291,000,000</t>
  </si>
  <si>
    <t xml:space="preserve">    Non-Controlling/Minority Interests</t>
  </si>
  <si>
    <t>5,840,000,000</t>
  </si>
  <si>
    <t>6,348,000,000</t>
  </si>
  <si>
    <t>5,797,000,000</t>
  </si>
  <si>
    <t>6,492,000,000</t>
  </si>
  <si>
    <t>6,665,000,000</t>
  </si>
  <si>
    <t>5,999,000,000</t>
  </si>
  <si>
    <t>6,505,000,000</t>
  </si>
  <si>
    <t>6,812,000,000</t>
  </si>
  <si>
    <t>6,734,000,000</t>
  </si>
  <si>
    <t>7,288,000,000</t>
  </si>
  <si>
    <t>Common Shares Issued</t>
  </si>
  <si>
    <t>7,126,483,647</t>
  </si>
  <si>
    <t>8,019,000,000</t>
  </si>
  <si>
    <t xml:space="preserve">    Common Shares Outstanding</t>
  </si>
  <si>
    <t>4,979,000,000</t>
  </si>
  <si>
    <t>4,734,000,000</t>
  </si>
  <si>
    <t>4,502,000,000</t>
  </si>
  <si>
    <t>4,335,000,000</t>
  </si>
  <si>
    <t>4,201,000,000</t>
  </si>
  <si>
    <t>4,156,000,000</t>
  </si>
  <si>
    <t>4,148,000,000</t>
  </si>
  <si>
    <t>4,239,000,000</t>
  </si>
  <si>
    <t>4,237,000,000</t>
  </si>
  <si>
    <t>4,234,000,000</t>
  </si>
  <si>
    <t xml:space="preserve">    Common Shares Treasury</t>
  </si>
  <si>
    <t>2,147,483,647</t>
  </si>
  <si>
    <t>3,285,000,000</t>
  </si>
  <si>
    <t>3,517,000,000</t>
  </si>
  <si>
    <t>3,684,000,000</t>
  </si>
  <si>
    <t>3,818,000,000</t>
  </si>
  <si>
    <t>3,863,000,000</t>
  </si>
  <si>
    <t>3,871,000,000</t>
  </si>
  <si>
    <t>3,780,000,000</t>
  </si>
  <si>
    <t>3,782,000,000</t>
  </si>
  <si>
    <t>3,785,000,000</t>
  </si>
  <si>
    <t>XOM_CashFlow_Annual_As_Originally_Reported</t>
  </si>
  <si>
    <t>Cash Flow from Operating Activities, Indirect</t>
  </si>
  <si>
    <t>48,413,000,000</t>
  </si>
  <si>
    <t>55,345,000,000</t>
  </si>
  <si>
    <t>56,170,000,000</t>
  </si>
  <si>
    <t>44,914,000,000</t>
  </si>
  <si>
    <t>45,116,000,000</t>
  </si>
  <si>
    <t>30,344,000,000</t>
  </si>
  <si>
    <t>22,082,000,000</t>
  </si>
  <si>
    <t>30,066,000,000</t>
  </si>
  <si>
    <t>36,014,000,000</t>
  </si>
  <si>
    <t>29,716,000,000</t>
  </si>
  <si>
    <t>17,015,000,000</t>
  </si>
  <si>
    <t xml:space="preserve">    Net Cash Flow from Continuing Operating Activities, Indirect</t>
  </si>
  <si>
    <t xml:space="preserve">        Cash Generated from Operating Activities</t>
  </si>
  <si>
    <t>48,731,000,000</t>
  </si>
  <si>
    <t>54,197,000,000</t>
  </si>
  <si>
    <t>54,491,000,000</t>
  </si>
  <si>
    <t>44,561,000,000</t>
  </si>
  <si>
    <t>45,939,000,000</t>
  </si>
  <si>
    <t>30,510,000,000</t>
  </si>
  <si>
    <t>22,296,000,000</t>
  </si>
  <si>
    <t>30,706,000,000</t>
  </si>
  <si>
    <t>36,075,000,000</t>
  </si>
  <si>
    <t>28,176,000,000</t>
  </si>
  <si>
    <t>14,085,000,000</t>
  </si>
  <si>
    <t xml:space="preserve">            Income/Loss before Non-Cash Adjustment</t>
  </si>
  <si>
    <t xml:space="preserve">            Total Adjustments for Non-Cash Items</t>
  </si>
  <si>
    <t>13,488,000,000</t>
  </si>
  <si>
    <t>13,003,000,000</t>
  </si>
  <si>
    <t>6,183,000,000</t>
  </si>
  <si>
    <t>15,833,000,000</t>
  </si>
  <si>
    <t>17,256,000,000</t>
  </si>
  <si>
    <t>17,072,000,000</t>
  </si>
  <si>
    <t>15,313,000,000</t>
  </si>
  <si>
    <t>11,507,000,000</t>
  </si>
  <si>
    <t>16,010,000,000</t>
  </si>
  <si>
    <t>12,479,000,000</t>
  </si>
  <si>
    <t>14,183,000,000</t>
  </si>
  <si>
    <t xml:space="preserve">                Depreciation, Amortization and Depletion, Non-Cash Adjustment</t>
  </si>
  <si>
    <t>14,760,000,000</t>
  </si>
  <si>
    <t>15,583,000,000</t>
  </si>
  <si>
    <t>15,888,000,000</t>
  </si>
  <si>
    <t>17,182,000,000</t>
  </si>
  <si>
    <t>17,297,000,000</t>
  </si>
  <si>
    <t>18,048,000,000</t>
  </si>
  <si>
    <t>22,308,000,000</t>
  </si>
  <si>
    <t>19,893,000,000</t>
  </si>
  <si>
    <t>18,745,000,000</t>
  </si>
  <si>
    <t>18,998,000,000</t>
  </si>
  <si>
    <t>20,641,000,000</t>
  </si>
  <si>
    <t xml:space="preserve">                Pension and Employee Benefit Expense, Non-Cash Adjustment</t>
  </si>
  <si>
    <t>1,700,000,000</t>
  </si>
  <si>
    <t>544,000,000</t>
  </si>
  <si>
    <t>-315,000,000</t>
  </si>
  <si>
    <t>2,291,000,000</t>
  </si>
  <si>
    <t>524,000,000</t>
  </si>
  <si>
    <t>2,153,000,000</t>
  </si>
  <si>
    <t>-329,000,000</t>
  </si>
  <si>
    <t>1,135,000,000</t>
  </si>
  <si>
    <t>1,070,000,000</t>
  </si>
  <si>
    <t>109,000,000</t>
  </si>
  <si>
    <t xml:space="preserve">                Taxes, Non-Cash Adjustment</t>
  </si>
  <si>
    <t>-1,135,000,000</t>
  </si>
  <si>
    <t>142,000,000</t>
  </si>
  <si>
    <t>3,142,000,000</t>
  </si>
  <si>
    <t>754,000,000</t>
  </si>
  <si>
    <t>1,540,000,000</t>
  </si>
  <si>
    <t>-1,832,000,000</t>
  </si>
  <si>
    <t>-4,386,000,000</t>
  </si>
  <si>
    <t>-8,577,000,000</t>
  </si>
  <si>
    <t>-60,000,000</t>
  </si>
  <si>
    <t>-944,000,000</t>
  </si>
  <si>
    <t xml:space="preserve">                Other Provisions, Non-Cash Adjustment</t>
  </si>
  <si>
    <t>1,643,000,000</t>
  </si>
  <si>
    <t>-2,566,000,000</t>
  </si>
  <si>
    <t>1,404,000,000</t>
  </si>
  <si>
    <t>-380,000,000</t>
  </si>
  <si>
    <t>-19,000,000</t>
  </si>
  <si>
    <t>-610,000,000</t>
  </si>
  <si>
    <t>-68,000,000</t>
  </si>
  <si>
    <t>-3,038,000,000</t>
  </si>
  <si>
    <t xml:space="preserve">                Net Investment Income/Loss, Non-Cash Adjustment</t>
  </si>
  <si>
    <t>-596,000,000</t>
  </si>
  <si>
    <t>-273,000,000</t>
  </si>
  <si>
    <t>-1,157,000,000</t>
  </si>
  <si>
    <t>-358,000,000</t>
  </si>
  <si>
    <t>-691,000,000</t>
  </si>
  <si>
    <t>-579,000,000</t>
  </si>
  <si>
    <t>-1,684,000,000</t>
  </si>
  <si>
    <t>-936,000,000</t>
  </si>
  <si>
    <t xml:space="preserve">                    Share of Profit/Loss from Associates, Joint Ventures and other Equity Investments, Non-Cash Adjustment</t>
  </si>
  <si>
    <t xml:space="preserve">                Irregular Income/Loss, Non-Cash Adjustment</t>
  </si>
  <si>
    <t>-1,401,000,000</t>
  </si>
  <si>
    <t>-2,842,000,000</t>
  </si>
  <si>
    <t>-13,018,000,000</t>
  </si>
  <si>
    <t>-1,828,000,000</t>
  </si>
  <si>
    <t>-3,151,000,000</t>
  </si>
  <si>
    <t>-226,000,000</t>
  </si>
  <si>
    <t>-1,682,000,000</t>
  </si>
  <si>
    <t>-334,000,000</t>
  </si>
  <si>
    <t>-1,993,000,000</t>
  </si>
  <si>
    <t>-1,710,000,000</t>
  </si>
  <si>
    <t xml:space="preserve">                    Gain/Loss on Disposals, Non-Cash Adjustment</t>
  </si>
  <si>
    <t xml:space="preserve">                Other Non-Cash Items</t>
  </si>
  <si>
    <t>160,000,000</t>
  </si>
  <si>
    <t>-151,000,000</t>
  </si>
  <si>
    <t xml:space="preserve">            Changes in Operating Capital</t>
  </si>
  <si>
    <t>3,845,000,000</t>
  </si>
  <si>
    <t>-1,012,000,000</t>
  </si>
  <si>
    <t>627,000,000</t>
  </si>
  <si>
    <t>-4,720,000,000</t>
  </si>
  <si>
    <t>-4,932,000,000</t>
  </si>
  <si>
    <t>-3,113,000,000</t>
  </si>
  <si>
    <t>-1,392,000,000</t>
  </si>
  <si>
    <t>-649,000,000</t>
  </si>
  <si>
    <t>-1,356,000,000</t>
  </si>
  <si>
    <t>923,000,000</t>
  </si>
  <si>
    <t>-3,180,000,000</t>
  </si>
  <si>
    <t xml:space="preserve">                Change in Inventories</t>
  </si>
  <si>
    <t>-1,148,000,000</t>
  </si>
  <si>
    <t>-2,208,000,000</t>
  </si>
  <si>
    <t>-1,873,000,000</t>
  </si>
  <si>
    <t>-1,812,000,000</t>
  </si>
  <si>
    <t>-1,343,000,000</t>
  </si>
  <si>
    <t>-379,000,000</t>
  </si>
  <si>
    <t>-388,000,000</t>
  </si>
  <si>
    <t>-3,107,000,000</t>
  </si>
  <si>
    <t>72,000,000</t>
  </si>
  <si>
    <t xml:space="preserve">                Change in Trade and Other Receivables</t>
  </si>
  <si>
    <t>-5,863,000,000</t>
  </si>
  <si>
    <t>-7,906,000,000</t>
  </si>
  <si>
    <t>-1,082,000,000</t>
  </si>
  <si>
    <t>-305,000,000</t>
  </si>
  <si>
    <t>3,118,000,000</t>
  </si>
  <si>
    <t>4,692,000,000</t>
  </si>
  <si>
    <t>-2,090,000,000</t>
  </si>
  <si>
    <t>-3,954,000,000</t>
  </si>
  <si>
    <t>-545,000,000</t>
  </si>
  <si>
    <t>-2,640,000,000</t>
  </si>
  <si>
    <t xml:space="preserve">                Change in Other Current Assets</t>
  </si>
  <si>
    <t>913,000,000</t>
  </si>
  <si>
    <t>222,000,000</t>
  </si>
  <si>
    <t>-42,000,000</t>
  </si>
  <si>
    <t>-105,000,000</t>
  </si>
  <si>
    <t>45,000,000</t>
  </si>
  <si>
    <t>171,000,000</t>
  </si>
  <si>
    <t>-117,000,000</t>
  </si>
  <si>
    <t>-25,000,000</t>
  </si>
  <si>
    <t>-234,000,000</t>
  </si>
  <si>
    <t xml:space="preserve">                Change in Payables and Accrued Expenses</t>
  </si>
  <si>
    <t>9,943,000,000</t>
  </si>
  <si>
    <t>8,880,000,000</t>
  </si>
  <si>
    <t>3,624,000,000</t>
  </si>
  <si>
    <t>-2,498,000,000</t>
  </si>
  <si>
    <t>-6,639,000,000</t>
  </si>
  <si>
    <t>-7,471,000,000</t>
  </si>
  <si>
    <t>915,000,000</t>
  </si>
  <si>
    <t>5,104,000,000</t>
  </si>
  <si>
    <t>2,321,000,000</t>
  </si>
  <si>
    <t>3,725,000,000</t>
  </si>
  <si>
    <t xml:space="preserve">                    Change in Trade and Other Payables</t>
  </si>
  <si>
    <t xml:space="preserve">        Other Operating Cash Flow</t>
  </si>
  <si>
    <t>-318,000,000</t>
  </si>
  <si>
    <t>1,148,000,000</t>
  </si>
  <si>
    <t>1,679,000,000</t>
  </si>
  <si>
    <t>350,000,000</t>
  </si>
  <si>
    <t>-823,000,000</t>
  </si>
  <si>
    <t>-166,000,000</t>
  </si>
  <si>
    <t>-214,000,000</t>
  </si>
  <si>
    <t>-771,000,000</t>
  </si>
  <si>
    <t>2,930,000,000</t>
  </si>
  <si>
    <t xml:space="preserve">        Dividend Received, CFO Indirect</t>
  </si>
  <si>
    <t>3,000,000</t>
  </si>
  <si>
    <t>131,000,000</t>
  </si>
  <si>
    <t>Cash Flow from Investing Activities</t>
  </si>
  <si>
    <t>-24,204,000,000</t>
  </si>
  <si>
    <t>-22,165,000,000</t>
  </si>
  <si>
    <t>-25,601,000,000</t>
  </si>
  <si>
    <t>-34,201,000,000</t>
  </si>
  <si>
    <t>-26,975,000,000</t>
  </si>
  <si>
    <t>-23,824,000,000</t>
  </si>
  <si>
    <t>-12,403,000,000</t>
  </si>
  <si>
    <t>-15,730,000,000</t>
  </si>
  <si>
    <t>-16,446,000,000</t>
  </si>
  <si>
    <t>-23,084,000,000</t>
  </si>
  <si>
    <t>-19,421,000,000</t>
  </si>
  <si>
    <t xml:space="preserve">    Cash Flow from Continuing Investing Activities</t>
  </si>
  <si>
    <t xml:space="preserve">        Purchase/Sale and Disposal of Property, Plant and Equipment, Net</t>
  </si>
  <si>
    <t>-26,871,000,000</t>
  </si>
  <si>
    <t>-30,975,000,000</t>
  </si>
  <si>
    <t>-34,271,000,000</t>
  </si>
  <si>
    <t>-33,669,000,000</t>
  </si>
  <si>
    <t>-32,952,000,000</t>
  </si>
  <si>
    <t>-26,490,000,000</t>
  </si>
  <si>
    <t>-16,163,000,000</t>
  </si>
  <si>
    <t>-15,402,000,000</t>
  </si>
  <si>
    <t>-19,574,000,000</t>
  </si>
  <si>
    <t>-24,361,000,000</t>
  </si>
  <si>
    <t>-20,357,000,000</t>
  </si>
  <si>
    <t xml:space="preserve">            Purchase of Property, Plant and Equipment</t>
  </si>
  <si>
    <t xml:space="preserve">        Purchase/Sale of Business, Net</t>
  </si>
  <si>
    <t>3,261,000,000</t>
  </si>
  <si>
    <t>11,133,000,000</t>
  </si>
  <si>
    <t>7,655,000,000</t>
  </si>
  <si>
    <t>2,707,000,000</t>
  </si>
  <si>
    <t>4,035,000,000</t>
  </si>
  <si>
    <t>2,389,000,000</t>
  </si>
  <si>
    <t>4,275,000,000</t>
  </si>
  <si>
    <t>3,103,000,000</t>
  </si>
  <si>
    <t>4,123,000,000</t>
  </si>
  <si>
    <t>3,692,000,000</t>
  </si>
  <si>
    <t>3,321,000,000</t>
  </si>
  <si>
    <t xml:space="preserve">            Sale of Business</t>
  </si>
  <si>
    <t xml:space="preserve">        Purchase/Sale of Investments, Net</t>
  </si>
  <si>
    <t>-1,099,000,000</t>
  </si>
  <si>
    <t>-3,666,000,000</t>
  </si>
  <si>
    <t>-972,000,000</t>
  </si>
  <si>
    <t>-4,435,000,000</t>
  </si>
  <si>
    <t>-1,631,000,000</t>
  </si>
  <si>
    <t>-607,000,000</t>
  </si>
  <si>
    <t>-1,417,000,000</t>
  </si>
  <si>
    <t>-5,507,000,000</t>
  </si>
  <si>
    <t>-1,981,000,000</t>
  </si>
  <si>
    <t>-3,905,000,000</t>
  </si>
  <si>
    <t>-4,816,000,000</t>
  </si>
  <si>
    <t xml:space="preserve">            Purchase of Investments</t>
  </si>
  <si>
    <t>-1,254,000,000</t>
  </si>
  <si>
    <t>-5,340,000,000</t>
  </si>
  <si>
    <t xml:space="preserve">            Sale of Investments</t>
  </si>
  <si>
    <t>155,000,000</t>
  </si>
  <si>
    <t>1,674,000,000</t>
  </si>
  <si>
    <t xml:space="preserve">        Other Investing Cash Flow</t>
  </si>
  <si>
    <t>1,133,000,000</t>
  </si>
  <si>
    <t>1,119,000,000</t>
  </si>
  <si>
    <t>2,076,000,000</t>
  </si>
  <si>
    <t>986,000,000</t>
  </si>
  <si>
    <t>1,490,000,000</t>
  </si>
  <si>
    <t>2,431,000,000</t>
  </si>
  <si>
    <t xml:space="preserve">        Change in Restricted Cash and Cash Equivalents</t>
  </si>
  <si>
    <t>-628,000,000</t>
  </si>
  <si>
    <t>224,000,000</t>
  </si>
  <si>
    <t>63,000,000</t>
  </si>
  <si>
    <t>227,000,000</t>
  </si>
  <si>
    <t xml:space="preserve">        Payment for Loan Granted and Repayments Received, Net</t>
  </si>
  <si>
    <t>1,924,000,000</t>
  </si>
  <si>
    <t>1,124,000,000</t>
  </si>
  <si>
    <t>3,346,000,000</t>
  </si>
  <si>
    <t>842,000,000</t>
  </si>
  <si>
    <t>902,000,000</t>
  </si>
  <si>
    <t xml:space="preserve">            Cash Receipts from Repayment of Advances and Loans Made to Other Parties</t>
  </si>
  <si>
    <t>Cash Flow from Financing Activities</t>
  </si>
  <si>
    <t>-26,924,000,000</t>
  </si>
  <si>
    <t>-28,256,000,000</t>
  </si>
  <si>
    <t>-33,868,000,000</t>
  </si>
  <si>
    <t>-15,476,000,000</t>
  </si>
  <si>
    <t>-17,888,000,000</t>
  </si>
  <si>
    <t>-7,037,000,000</t>
  </si>
  <si>
    <t>-9,293,000,000</t>
  </si>
  <si>
    <t>-15,130,000,000</t>
  </si>
  <si>
    <t>-19,446,000,000</t>
  </si>
  <si>
    <t>-6,618,000,000</t>
  </si>
  <si>
    <t>6,112,000,000</t>
  </si>
  <si>
    <t xml:space="preserve">    Cash Flow from Continuing Financing Activities</t>
  </si>
  <si>
    <t xml:space="preserve">        Issuance of/Payments for Common Stock, Net</t>
  </si>
  <si>
    <t>-12,050,000,000</t>
  </si>
  <si>
    <t>-21,131,000,000</t>
  </si>
  <si>
    <t>-20,875,000,000</t>
  </si>
  <si>
    <t>-15,948,000,000</t>
  </si>
  <si>
    <t>-13,153,000,000</t>
  </si>
  <si>
    <t>-4,034,000,000</t>
  </si>
  <si>
    <t>-971,000,000</t>
  </si>
  <si>
    <t>-747,000,000</t>
  </si>
  <si>
    <t>-626,000,000</t>
  </si>
  <si>
    <t>-594,000,000</t>
  </si>
  <si>
    <t>-478,000,000</t>
  </si>
  <si>
    <t xml:space="preserve">            Payments for Common Stock</t>
  </si>
  <si>
    <t>-13,093,000,000</t>
  </si>
  <si>
    <t>-22,055,000,000</t>
  </si>
  <si>
    <t>-21,068,000,000</t>
  </si>
  <si>
    <t>-15,998,000,000</t>
  </si>
  <si>
    <t>-13,183,000,000</t>
  </si>
  <si>
    <t>-4,039,000,000</t>
  </si>
  <si>
    <t>-977,000,000</t>
  </si>
  <si>
    <t xml:space="preserve">            Proceeds from Issuance of Common Stock</t>
  </si>
  <si>
    <t>1,043,000,000</t>
  </si>
  <si>
    <t>924,000,000</t>
  </si>
  <si>
    <t>193,000,000</t>
  </si>
  <si>
    <t>50,000,000</t>
  </si>
  <si>
    <t>30,000,000</t>
  </si>
  <si>
    <t>5,000,000</t>
  </si>
  <si>
    <t>6,000,000</t>
  </si>
  <si>
    <t xml:space="preserve">        Issuance of/Repayments for Debt, Net</t>
  </si>
  <si>
    <t>-6,210,000,000</t>
  </si>
  <si>
    <t>1,957,000,000</t>
  </si>
  <si>
    <t>-2,908,000,000</t>
  </si>
  <si>
    <t>11,604,000,000</t>
  </si>
  <si>
    <t>6,966,000,000</t>
  </si>
  <si>
    <t>9,255,000,000</t>
  </si>
  <si>
    <t>4,293,000,000</t>
  </si>
  <si>
    <t>-1,048,000,000</t>
  </si>
  <si>
    <t>-4,925,000,000</t>
  </si>
  <si>
    <t>8,662,000,000</t>
  </si>
  <si>
    <t>21,010,000,000</t>
  </si>
  <si>
    <t xml:space="preserve">            Issuance of/Repayments for Short Term Debt, Net</t>
  </si>
  <si>
    <t>-1,129,000,000</t>
  </si>
  <si>
    <t>1,521,000,000</t>
  </si>
  <si>
    <t>-3,756,000,000</t>
  </si>
  <si>
    <t>11,272,000,000</t>
  </si>
  <si>
    <t>1,304,000,000</t>
  </si>
  <si>
    <t>1,253,000,000</t>
  </si>
  <si>
    <t>-7,773,000,000</t>
  </si>
  <si>
    <t>-1,108,000,000</t>
  </si>
  <si>
    <t>-4,971,000,000</t>
  </si>
  <si>
    <t>1,611,000,000</t>
  </si>
  <si>
    <t>-2,204,000,000</t>
  </si>
  <si>
    <t xml:space="preserve">                Proceeds from Issuance of Short Term Debt</t>
  </si>
  <si>
    <t>1,307,000,000</t>
  </si>
  <si>
    <t>2,624,000,000</t>
  </si>
  <si>
    <t>958,000,000</t>
  </si>
  <si>
    <t>12,028,000,000</t>
  </si>
  <si>
    <t>2,049,000,000</t>
  </si>
  <si>
    <t>1,759,000,000</t>
  </si>
  <si>
    <t>3,916,000,000</t>
  </si>
  <si>
    <t>5,654,000,000</t>
  </si>
  <si>
    <t>-346,000,000</t>
  </si>
  <si>
    <t xml:space="preserve">                Repayments for Short Term Debt</t>
  </si>
  <si>
    <t>-2,436,000,000</t>
  </si>
  <si>
    <t>-1,103,000,000</t>
  </si>
  <si>
    <t>-4,714,000,000</t>
  </si>
  <si>
    <t>-756,000,000</t>
  </si>
  <si>
    <t>-745,000,000</t>
  </si>
  <si>
    <t>-506,000,000</t>
  </si>
  <si>
    <t>-5,024,000,000</t>
  </si>
  <si>
    <t>-4,043,000,000</t>
  </si>
  <si>
    <t>-1,858,000,000</t>
  </si>
  <si>
    <t xml:space="preserve">            Issuance of/Repayments for Long Term Debt, Net</t>
  </si>
  <si>
    <t>-5,081,000,000</t>
  </si>
  <si>
    <t>436,000,000</t>
  </si>
  <si>
    <t>848,000,000</t>
  </si>
  <si>
    <t>332,000,000</t>
  </si>
  <si>
    <t>5,662,000,000</t>
  </si>
  <si>
    <t>8,002,000,000</t>
  </si>
  <si>
    <t>12,066,000,000</t>
  </si>
  <si>
    <t>60,000,000</t>
  </si>
  <si>
    <t>46,000,000</t>
  </si>
  <si>
    <t>7,051,000,000</t>
  </si>
  <si>
    <t>23,214,000,000</t>
  </si>
  <si>
    <t xml:space="preserve">                Proceeds from Issuance of Long Term Debt</t>
  </si>
  <si>
    <t>1,143,000,000</t>
  </si>
  <si>
    <t>702,000,000</t>
  </si>
  <si>
    <t>995,000,000</t>
  </si>
  <si>
    <t>345,000,000</t>
  </si>
  <si>
    <t>5,731,000,000</t>
  </si>
  <si>
    <t>8,028,000,000</t>
  </si>
  <si>
    <t>7,052,000,000</t>
  </si>
  <si>
    <t>23,219,000,000</t>
  </si>
  <si>
    <t xml:space="preserve">                Repayments for Long Term Debt</t>
  </si>
  <si>
    <t>-6,224,000,000</t>
  </si>
  <si>
    <t>-266,000,000</t>
  </si>
  <si>
    <t>-147,000,000</t>
  </si>
  <si>
    <t>-13,000,000</t>
  </si>
  <si>
    <t>-69,000,000</t>
  </si>
  <si>
    <t>-26,000,000</t>
  </si>
  <si>
    <t>-1,000,000</t>
  </si>
  <si>
    <t xml:space="preserve">        Net Movement in Non-Controlling/Minority Interest</t>
  </si>
  <si>
    <t>-7,000,000</t>
  </si>
  <si>
    <t>-16,000,000</t>
  </si>
  <si>
    <t>204,000,000</t>
  </si>
  <si>
    <t>-150,000,000</t>
  </si>
  <si>
    <t>146,000,000</t>
  </si>
  <si>
    <t>158,000,000</t>
  </si>
  <si>
    <t>639,000,000</t>
  </si>
  <si>
    <t xml:space="preserve">        Cash Dividends and Interest Paid</t>
  </si>
  <si>
    <t>-8,498,000,000</t>
  </si>
  <si>
    <t>-9,020,000,000</t>
  </si>
  <si>
    <t>-10,092,000,000</t>
  </si>
  <si>
    <t>-10,875,000,000</t>
  </si>
  <si>
    <t>-11,568,000,000</t>
  </si>
  <si>
    <t>-12,090,000,000</t>
  </si>
  <si>
    <t>-12,453,000,000</t>
  </si>
  <si>
    <t>-13,001,000,000</t>
  </si>
  <si>
    <t>-13,798,000,000</t>
  </si>
  <si>
    <t>-14,652,000,000</t>
  </si>
  <si>
    <t>-14,866,000,000</t>
  </si>
  <si>
    <t xml:space="preserve">            Cash Dividends Paid</t>
  </si>
  <si>
    <t xml:space="preserve">                Common Stock Dividends Paid</t>
  </si>
  <si>
    <t xml:space="preserve">        Cash Dividends Paid to Non-Controlling/Minority Interests</t>
  </si>
  <si>
    <t>-281,000,000</t>
  </si>
  <si>
    <t>-306,000,000</t>
  </si>
  <si>
    <t>-304,000,000</t>
  </si>
  <si>
    <t>-248,000,000</t>
  </si>
  <si>
    <t>-170,000,000</t>
  </si>
  <si>
    <t>-162,000,000</t>
  </si>
  <si>
    <t>-184,000,000</t>
  </si>
  <si>
    <t>-243,000,000</t>
  </si>
  <si>
    <t>-192,000,000</t>
  </si>
  <si>
    <t>-172,000,000</t>
  </si>
  <si>
    <t xml:space="preserve">        Excess Tax Benefit from Share-Based Compensation, Financing Activities</t>
  </si>
  <si>
    <t>122,000,000</t>
  </si>
  <si>
    <t>260,000,000</t>
  </si>
  <si>
    <t>130,000,000</t>
  </si>
  <si>
    <t>48,000,000</t>
  </si>
  <si>
    <t>Cash and Cash Equivalents, End of Period</t>
  </si>
  <si>
    <t>8,832,000,000</t>
  </si>
  <si>
    <t xml:space="preserve">    Change in Cash</t>
  </si>
  <si>
    <t>-2,715,000,000</t>
  </si>
  <si>
    <t>4,924,000,000</t>
  </si>
  <si>
    <t>-3,299,000,000</t>
  </si>
  <si>
    <t>-4,763,000,000</t>
  </si>
  <si>
    <t>253,000,000</t>
  </si>
  <si>
    <t>-517,000,000</t>
  </si>
  <si>
    <t>386,000,000</t>
  </si>
  <si>
    <t>-794,000,000</t>
  </si>
  <si>
    <t>14,000,000</t>
  </si>
  <si>
    <t xml:space="preserve">    Effect of Exchange Rate Changes</t>
  </si>
  <si>
    <t>-153,000,000</t>
  </si>
  <si>
    <t>-85,000,000</t>
  </si>
  <si>
    <t>217,000,000</t>
  </si>
  <si>
    <t>-175,000,000</t>
  </si>
  <si>
    <t>-394,000,000</t>
  </si>
  <si>
    <t>314,000,000</t>
  </si>
  <si>
    <t>-257,000,000</t>
  </si>
  <si>
    <t>33,000,000</t>
  </si>
  <si>
    <t>-225,000,000</t>
  </si>
  <si>
    <t xml:space="preserve">    Cash and Cash Equivalents, Beginning of Period</t>
  </si>
  <si>
    <t>10,693,000,000</t>
  </si>
  <si>
    <t>5,351,000,000</t>
  </si>
  <si>
    <t>Change in Cash As Reported, Supplemental</t>
  </si>
  <si>
    <t>-2,868,000,000</t>
  </si>
  <si>
    <t>4,839,000,000</t>
  </si>
  <si>
    <t>-3,082,000,000</t>
  </si>
  <si>
    <t>-4,938,000,000</t>
  </si>
  <si>
    <t>-28,000,000</t>
  </si>
  <si>
    <t>-911,000,000</t>
  </si>
  <si>
    <t>-48,000,000</t>
  </si>
  <si>
    <t>-480,000,000</t>
  </si>
  <si>
    <t>-135,000,000</t>
  </si>
  <si>
    <t>47,000,000</t>
  </si>
  <si>
    <t>3,481,000,000</t>
  </si>
  <si>
    <t>Total Net Change in Cash</t>
  </si>
  <si>
    <t>Financial Liabilities Current</t>
  </si>
  <si>
    <t>Financial Liabilities Non-Current</t>
  </si>
  <si>
    <t>Cash Dividends</t>
  </si>
  <si>
    <t>Equity Attributable to Parent Stockholders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</si>
</sst>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&quot;$&quot;#,##0.00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_(&quot;$&quot;* #,##0.0_);_(&quot;$&quot;* \(#,##0.0\);_(&quot;$&quot;* &quot;-&quot;??_);_(@_)"/>
    <numFmt numFmtId="169" formatCode="0.000%"/>
    <numFmt numFmtId="170" formatCode="&quot;$&quot;#,##0.0000_);[Red]\(&quot;$&quot;#,##0.0000\)"/>
    <numFmt numFmtId="171" formatCode="#.##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 val="singleAccounting"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8"/>
      <color theme="1"/>
      <name val="Verdana"/>
      <family val="2"/>
    </font>
    <font>
      <sz val="9"/>
      <color theme="1"/>
      <name val="Verdana"/>
      <family val="2"/>
    </font>
    <font>
      <sz val="11"/>
      <color rgb="FF666666"/>
      <name val="Verdana"/>
      <family val="2"/>
    </font>
    <font>
      <b/>
      <sz val="11"/>
      <color rgb="FF000000"/>
      <name val="Verdana"/>
      <family val="2"/>
    </font>
    <font>
      <b/>
      <sz val="10"/>
      <name val="Arial"/>
    </font>
    <font>
      <sz val="10"/>
      <name val="Arial"/>
    </font>
    <font>
      <sz val="12"/>
      <color theme="1"/>
      <name val="Calibri"/>
      <family val="2"/>
      <scheme val="minor"/>
    </font>
    <font xmlns:main="http://schemas.openxmlformats.org/spreadsheetml/2006/main">
      <main:sz val="12"/>
      <main:color theme="1"/>
      <main:name val="Calibri"/>
      <main:family val="2"/>
      <main:scheme val="minor"/>
    </font>
    <font xmlns:main="http://schemas.openxmlformats.org/spreadsheetml/2006/main">
      <main:sz val="12"/>
      <main:color theme="1"/>
      <main:name val="Calibri"/>
      <main:family val="2"/>
      <main: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7AAAF"/>
      </left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 style="medium">
        <color rgb="FFA7AAAF"/>
      </left>
      <right/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/>
      <bottom/>
      <diagonal/>
    </border>
    <border>
      <left style="medium">
        <color rgb="FFA7AAAF"/>
      </left>
      <right/>
      <top style="medium">
        <color rgb="FFA7AAAF"/>
      </top>
      <bottom style="medium">
        <color rgb="FFA7AAAF"/>
      </bottom>
      <diagonal/>
    </border>
    <border>
      <left/>
      <right/>
      <top style="medium">
        <color rgb="FFA7AAAF"/>
      </top>
      <bottom style="medium">
        <color rgb="FFA7AAAF"/>
      </bottom>
      <diagonal/>
    </border>
    <border>
      <left/>
      <right style="medium">
        <color rgb="FFA7AAAF"/>
      </right>
      <top style="medium">
        <color rgb="FFA7AAAF"/>
      </top>
      <bottom style="medium">
        <color rgb="FFA7AAAF"/>
      </bottom>
      <diagonal/>
    </border>
    <border>
      <left style="medium">
        <color rgb="FFA7AAAF"/>
      </left>
      <right/>
      <top/>
      <bottom style="medium">
        <color rgb="FFA7AAAF"/>
      </bottom>
      <diagonal/>
    </border>
    <border>
      <left/>
      <right/>
      <top/>
      <bottom style="medium">
        <color rgb="FFA7AAAF"/>
      </bottom>
      <diagonal/>
    </border>
    <border>
      <left/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8" fillId="0" borderId="0" applyNumberFormat="0" applyFont="0" applyFill="0" applyBorder="0" applyAlignment="0" applyProtection="0"/>
  </cellStyleXfs>
  <cellXfs count="18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2" applyNumberFormat="1" applyFont="1" applyFill="1" applyBorder="1" applyAlignment="1">
      <alignment horizontal="center"/>
    </xf>
    <xf numFmtId="165" fontId="0" fillId="3" borderId="1" xfId="1" applyNumberFormat="1" applyFont="1" applyFill="1" applyBorder="1"/>
    <xf numFmtId="44" fontId="0" fillId="3" borderId="1" xfId="2" applyFont="1" applyFill="1" applyBorder="1"/>
    <xf numFmtId="2" fontId="0" fillId="3" borderId="1" xfId="2" applyNumberFormat="1" applyFont="1" applyFill="1" applyBorder="1" applyAlignment="1">
      <alignment horizontal="center"/>
    </xf>
    <xf numFmtId="2" fontId="0" fillId="3" borderId="1" xfId="2" applyNumberFormat="1" applyFont="1" applyFill="1" applyBorder="1"/>
    <xf numFmtId="44" fontId="0" fillId="3" borderId="1" xfId="0" applyNumberFormat="1" applyFill="1" applyBorder="1"/>
    <xf numFmtId="44" fontId="0" fillId="4" borderId="1" xfId="0" applyNumberFormat="1" applyFill="1" applyBorder="1"/>
    <xf numFmtId="166" fontId="0" fillId="4" borderId="1" xfId="3" applyNumberFormat="1" applyFont="1" applyFill="1" applyBorder="1"/>
    <xf numFmtId="165" fontId="0" fillId="0" borderId="0" xfId="1" applyNumberFormat="1" applyFont="1"/>
    <xf numFmtId="167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4" fontId="2" fillId="0" borderId="0" xfId="2" applyFont="1" applyAlignment="1">
      <alignment horizontal="center"/>
    </xf>
    <xf numFmtId="44" fontId="0" fillId="0" borderId="0" xfId="0" applyNumberFormat="1"/>
    <xf numFmtId="2" fontId="2" fillId="0" borderId="0" xfId="2" applyNumberFormat="1" applyFont="1" applyAlignment="1">
      <alignment horizontal="center"/>
    </xf>
    <xf numFmtId="166" fontId="2" fillId="0" borderId="0" xfId="2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3" applyFont="1"/>
    <xf numFmtId="0" fontId="6" fillId="0" borderId="0" xfId="0" applyFont="1"/>
    <xf numFmtId="10" fontId="2" fillId="0" borderId="0" xfId="3" applyNumberFormat="1" applyFont="1" applyFill="1"/>
    <xf numFmtId="2" fontId="2" fillId="0" borderId="0" xfId="3" applyNumberFormat="1" applyFont="1"/>
    <xf numFmtId="43" fontId="0" fillId="0" borderId="0" xfId="1" applyFont="1"/>
    <xf numFmtId="165" fontId="0" fillId="0" borderId="0" xfId="0" applyNumberFormat="1"/>
    <xf numFmtId="43" fontId="0" fillId="0" borderId="0" xfId="0" applyNumberFormat="1"/>
    <xf numFmtId="44" fontId="0" fillId="2" borderId="0" xfId="2" applyFont="1" applyFill="1"/>
    <xf numFmtId="166" fontId="0" fillId="0" borderId="0" xfId="3" applyNumberFormat="1" applyFont="1"/>
    <xf numFmtId="166" fontId="1" fillId="0" borderId="0" xfId="3" applyNumberFormat="1" applyFont="1"/>
    <xf numFmtId="166" fontId="1" fillId="0" borderId="0" xfId="3" applyNumberFormat="1" applyFont="1" applyFill="1"/>
    <xf numFmtId="166" fontId="0" fillId="0" borderId="0" xfId="0" applyNumberFormat="1"/>
    <xf numFmtId="10" fontId="0" fillId="2" borderId="0" xfId="3" applyNumberFormat="1" applyFont="1" applyFill="1" applyAlignment="1">
      <alignment horizontal="right"/>
    </xf>
    <xf numFmtId="10" fontId="0" fillId="0" borderId="0" xfId="3" applyNumberFormat="1" applyFont="1" applyFill="1" applyAlignment="1">
      <alignment horizontal="center"/>
    </xf>
    <xf numFmtId="0" fontId="7" fillId="0" borderId="0" xfId="4"/>
    <xf numFmtId="44" fontId="2" fillId="0" borderId="0" xfId="0" applyNumberFormat="1" applyFont="1"/>
    <xf numFmtId="10" fontId="0" fillId="4" borderId="0" xfId="0" applyNumberFormat="1" applyFill="1"/>
    <xf numFmtId="166" fontId="1" fillId="4" borderId="0" xfId="3" applyNumberFormat="1" applyFont="1" applyFill="1"/>
    <xf numFmtId="44" fontId="0" fillId="4" borderId="0" xfId="0" applyNumberFormat="1" applyFill="1"/>
    <xf numFmtId="44" fontId="1" fillId="4" borderId="0" xfId="2" applyFont="1" applyFill="1"/>
    <xf numFmtId="2" fontId="0" fillId="4" borderId="0" xfId="0" applyNumberFormat="1" applyFill="1"/>
    <xf numFmtId="168" fontId="8" fillId="4" borderId="0" xfId="0" applyNumberFormat="1" applyFont="1" applyFill="1"/>
    <xf numFmtId="10" fontId="2" fillId="4" borderId="0" xfId="3" applyNumberFormat="1" applyFont="1" applyFill="1"/>
    <xf numFmtId="164" fontId="0" fillId="4" borderId="0" xfId="0" applyNumberFormat="1" applyFill="1"/>
    <xf numFmtId="164" fontId="9" fillId="4" borderId="0" xfId="0" applyNumberFormat="1" applyFont="1" applyFill="1"/>
    <xf numFmtId="10" fontId="1" fillId="4" borderId="0" xfId="3" applyNumberFormat="1" applyFont="1" applyFill="1"/>
    <xf numFmtId="166" fontId="2" fillId="4" borderId="0" xfId="3" applyNumberFormat="1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44" fontId="0" fillId="5" borderId="0" xfId="2" applyFont="1" applyFill="1" applyAlignment="1">
      <alignment horizontal="center"/>
    </xf>
    <xf numFmtId="164" fontId="0" fillId="5" borderId="0" xfId="2" applyNumberFormat="1" applyFont="1" applyFill="1"/>
    <xf numFmtId="44" fontId="0" fillId="6" borderId="0" xfId="2" applyFont="1" applyFill="1"/>
    <xf numFmtId="44" fontId="0" fillId="0" borderId="0" xfId="0" applyNumberFormat="1" applyAlignment="1">
      <alignment horizontal="right"/>
    </xf>
    <xf numFmtId="164" fontId="0" fillId="5" borderId="0" xfId="0" applyNumberFormat="1" applyFill="1"/>
    <xf numFmtId="44" fontId="2" fillId="0" borderId="0" xfId="0" applyNumberFormat="1" applyFont="1" applyAlignment="1">
      <alignment horizontal="center"/>
    </xf>
    <xf numFmtId="44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7" fontId="0" fillId="0" borderId="0" xfId="2" applyNumberFormat="1" applyFont="1"/>
    <xf numFmtId="0" fontId="0" fillId="5" borderId="0" xfId="0" applyFill="1"/>
    <xf numFmtId="164" fontId="10" fillId="6" borderId="0" xfId="0" applyNumberFormat="1" applyFont="1" applyFill="1" applyAlignment="1">
      <alignment horizontal="left"/>
    </xf>
    <xf numFmtId="0" fontId="0" fillId="6" borderId="0" xfId="0" applyFill="1"/>
    <xf numFmtId="9" fontId="0" fillId="0" borderId="0" xfId="3" applyFont="1" applyFill="1"/>
    <xf numFmtId="0" fontId="10" fillId="6" borderId="0" xfId="0" applyFont="1" applyFill="1" applyAlignment="1">
      <alignment horizontal="left"/>
    </xf>
    <xf numFmtId="164" fontId="0" fillId="8" borderId="1" xfId="2" applyNumberFormat="1" applyFont="1" applyFill="1" applyBorder="1" applyAlignment="1">
      <alignment horizontal="center"/>
    </xf>
    <xf numFmtId="2" fontId="0" fillId="9" borderId="1" xfId="2" applyNumberFormat="1" applyFont="1" applyFill="1" applyBorder="1" applyAlignment="1">
      <alignment horizontal="center"/>
    </xf>
    <xf numFmtId="164" fontId="0" fillId="10" borderId="1" xfId="2" applyNumberFormat="1" applyFont="1" applyFill="1" applyBorder="1" applyAlignment="1">
      <alignment horizontal="center"/>
    </xf>
    <xf numFmtId="164" fontId="0" fillId="11" borderId="1" xfId="2" applyNumberFormat="1" applyFont="1" applyFill="1" applyBorder="1" applyAlignment="1">
      <alignment horizontal="center"/>
    </xf>
    <xf numFmtId="164" fontId="0" fillId="12" borderId="1" xfId="2" applyNumberFormat="1" applyFont="1" applyFill="1" applyBorder="1" applyAlignment="1">
      <alignment horizontal="center"/>
    </xf>
    <xf numFmtId="164" fontId="0" fillId="13" borderId="1" xfId="2" applyNumberFormat="1" applyFont="1" applyFill="1" applyBorder="1" applyAlignment="1">
      <alignment horizontal="center"/>
    </xf>
    <xf numFmtId="169" fontId="0" fillId="4" borderId="0" xfId="3" applyNumberFormat="1" applyFont="1" applyFill="1"/>
    <xf numFmtId="3" fontId="0" fillId="0" borderId="0" xfId="0" applyNumberFormat="1"/>
    <xf numFmtId="8" fontId="0" fillId="0" borderId="0" xfId="0" applyNumberFormat="1"/>
    <xf numFmtId="166" fontId="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2" fillId="0" borderId="0" xfId="2" applyNumberFormat="1" applyFont="1" applyAlignment="1">
      <alignment horizontal="center"/>
    </xf>
    <xf numFmtId="10" fontId="0" fillId="0" borderId="0" xfId="3" applyNumberFormat="1" applyFont="1" applyFill="1" applyAlignment="1"/>
    <xf numFmtId="44" fontId="0" fillId="0" borderId="0" xfId="0" applyNumberFormat="1" applyAlignment="1">
      <alignment horizontal="center"/>
    </xf>
    <xf numFmtId="166" fontId="9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10" fontId="13" fillId="0" borderId="0" xfId="3" applyNumberFormat="1" applyFont="1" applyFill="1"/>
    <xf numFmtId="44" fontId="13" fillId="0" borderId="0" xfId="0" applyNumberFormat="1" applyFont="1"/>
    <xf numFmtId="44" fontId="0" fillId="3" borderId="1" xfId="2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10" fontId="1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3" applyNumberFormat="1" applyFont="1"/>
    <xf numFmtId="164" fontId="0" fillId="5" borderId="1" xfId="2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166" fontId="0" fillId="0" borderId="0" xfId="3" applyNumberFormat="1" applyFont="1" applyFill="1" applyBorder="1" applyAlignment="1">
      <alignment horizontal="center" vertical="center" wrapText="1"/>
    </xf>
    <xf numFmtId="2" fontId="0" fillId="4" borderId="1" xfId="2" applyNumberFormat="1" applyFont="1" applyFill="1" applyBorder="1" applyAlignment="1">
      <alignment horizontal="center"/>
    </xf>
    <xf numFmtId="166" fontId="0" fillId="4" borderId="1" xfId="3" applyNumberFormat="1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9" fontId="0" fillId="0" borderId="0" xfId="0" applyNumberFormat="1"/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9" fontId="0" fillId="0" borderId="0" xfId="3" applyFont="1" applyAlignment="1">
      <alignment horizontal="center"/>
    </xf>
    <xf numFmtId="166" fontId="0" fillId="0" borderId="0" xfId="3" applyNumberFormat="1" applyFont="1" applyAlignment="1">
      <alignment horizontal="center"/>
    </xf>
    <xf numFmtId="2" fontId="0" fillId="0" borderId="0" xfId="3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17" fillId="0" borderId="0" xfId="0" applyFont="1"/>
    <xf numFmtId="164" fontId="0" fillId="17" borderId="1" xfId="2" applyNumberFormat="1" applyFont="1" applyFill="1" applyBorder="1" applyAlignment="1">
      <alignment horizontal="center"/>
    </xf>
    <xf numFmtId="164" fontId="0" fillId="16" borderId="1" xfId="2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20" fillId="18" borderId="2" xfId="0" applyFont="1" applyFill="1" applyBorder="1" applyAlignment="1">
      <alignment horizontal="left" vertical="center" wrapText="1"/>
    </xf>
    <xf numFmtId="0" fontId="21" fillId="18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" fontId="17" fillId="2" borderId="1" xfId="1" applyNumberFormat="1" applyFont="1" applyFill="1" applyBorder="1" applyAlignment="1">
      <alignment horizontal="center"/>
    </xf>
    <xf numFmtId="0" fontId="0" fillId="19" borderId="0" xfId="0" applyFill="1"/>
    <xf numFmtId="1" fontId="0" fillId="0" borderId="0" xfId="0" applyNumberFormat="1"/>
    <xf numFmtId="167" fontId="2" fillId="0" borderId="0" xfId="2" applyNumberFormat="1" applyFont="1"/>
    <xf numFmtId="1" fontId="0" fillId="19" borderId="0" xfId="0" applyNumberFormat="1" applyFill="1"/>
    <xf numFmtId="14" fontId="0" fillId="19" borderId="1" xfId="0" applyNumberFormat="1" applyFill="1" applyBorder="1" applyAlignment="1">
      <alignment horizontal="center"/>
    </xf>
    <xf numFmtId="164" fontId="0" fillId="7" borderId="0" xfId="0" applyNumberFormat="1" applyFill="1"/>
    <xf numFmtId="0" fontId="15" fillId="19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0" fillId="18" borderId="0" xfId="0" applyFill="1"/>
    <xf numFmtId="0" fontId="23" fillId="18" borderId="3" xfId="0" applyFont="1" applyFill="1" applyBorder="1" applyAlignment="1">
      <alignment vertical="center" wrapText="1" indent="2"/>
    </xf>
    <xf numFmtId="0" fontId="24" fillId="18" borderId="3" xfId="0" applyFont="1" applyFill="1" applyBorder="1" applyAlignment="1">
      <alignment vertical="center" wrapText="1" indent="2"/>
    </xf>
    <xf numFmtId="0" fontId="23" fillId="18" borderId="2" xfId="0" applyFont="1" applyFill="1" applyBorder="1" applyAlignment="1">
      <alignment vertical="center" wrapText="1" indent="2"/>
    </xf>
    <xf numFmtId="0" fontId="0" fillId="18" borderId="6" xfId="0" applyFill="1" applyBorder="1"/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18" borderId="3" xfId="0" applyFont="1" applyFill="1" applyBorder="1" applyAlignment="1">
      <alignment vertical="center" wrapText="1" indent="2"/>
    </xf>
    <xf numFmtId="0" fontId="22" fillId="18" borderId="13" xfId="0" applyFont="1" applyFill="1" applyBorder="1" applyAlignment="1">
      <alignment vertical="center" wrapText="1"/>
    </xf>
    <xf numFmtId="0" fontId="22" fillId="18" borderId="6" xfId="0" applyFont="1" applyFill="1" applyBorder="1" applyAlignment="1">
      <alignment vertical="center" wrapText="1"/>
    </xf>
    <xf numFmtId="164" fontId="2" fillId="19" borderId="0" xfId="0" quotePrefix="1" applyNumberFormat="1" applyFont="1" applyFill="1" applyAlignment="1">
      <alignment horizontal="right"/>
    </xf>
    <xf numFmtId="0" fontId="2" fillId="19" borderId="0" xfId="0" applyFont="1" applyFill="1" applyAlignment="1">
      <alignment horizontal="right"/>
    </xf>
    <xf numFmtId="170" fontId="0" fillId="19" borderId="0" xfId="0" applyNumberFormat="1" applyFill="1"/>
    <xf numFmtId="8" fontId="0" fillId="19" borderId="0" xfId="0" applyNumberFormat="1" applyFill="1"/>
    <xf numFmtId="164" fontId="0" fillId="19" borderId="0" xfId="2" applyNumberFormat="1" applyFont="1" applyFill="1"/>
    <xf numFmtId="0" fontId="0" fillId="19" borderId="0" xfId="0" applyFill="1" applyAlignment="1">
      <alignment horizontal="center"/>
    </xf>
    <xf numFmtId="0" fontId="4" fillId="19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171" fontId="0" fillId="0" borderId="0" xfId="0" applyNumberFormat="1" applyAlignment="1">
      <alignment horizontal="right"/>
    </xf>
    <xf numFmtId="0" fontId="28" fillId="0" borderId="0" xfId="5" applyNumberFormat="1" applyFont="1" applyFill="1" applyBorder="1" applyAlignment="1"/>
    <xf numFmtId="0" fontId="27" fillId="0" borderId="0" xfId="5" applyNumberFormat="1" applyFont="1" applyFill="1" applyBorder="1" applyAlignment="1">
      <alignment horizontal="center"/>
    </xf>
    <xf numFmtId="171" fontId="28" fillId="0" borderId="0" xfId="5" applyNumberFormat="1" applyFont="1" applyFill="1" applyBorder="1" applyAlignment="1">
      <alignment horizontal="right"/>
    </xf>
    <xf numFmtId="0" fontId="0" fillId="0" borderId="14" xfId="0" applyBorder="1"/>
    <xf numFmtId="1" fontId="29" fillId="0" borderId="0" xfId="0" applyNumberFormat="1" applyFont="1"/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 wrapText="1"/>
    </xf>
    <xf numFmtId="0" fontId="2" fillId="15" borderId="0" xfId="0" applyFont="1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25" fillId="18" borderId="7" xfId="0" applyFont="1" applyFill="1" applyBorder="1" applyAlignment="1">
      <alignment vertical="center" wrapText="1" indent="2"/>
    </xf>
    <xf numFmtId="0" fontId="25" fillId="18" borderId="9" xfId="0" applyFont="1" applyFill="1" applyBorder="1" applyAlignment="1">
      <alignment vertical="center" wrapText="1" indent="2"/>
    </xf>
    <xf numFmtId="0" fontId="23" fillId="18" borderId="4" xfId="0" applyFont="1" applyFill="1" applyBorder="1" applyAlignment="1">
      <alignment vertical="center" wrapText="1" indent="2"/>
    </xf>
    <xf numFmtId="0" fontId="23" fillId="18" borderId="5" xfId="0" applyFont="1" applyFill="1" applyBorder="1" applyAlignment="1">
      <alignment vertical="center" wrapText="1" indent="2"/>
    </xf>
    <xf numFmtId="0" fontId="22" fillId="20" borderId="7" xfId="0" applyFont="1" applyFill="1" applyBorder="1" applyAlignment="1">
      <alignment vertical="center" wrapText="1" indent="2"/>
    </xf>
    <xf numFmtId="0" fontId="22" fillId="20" borderId="9" xfId="0" applyFont="1" applyFill="1" applyBorder="1" applyAlignment="1">
      <alignment vertical="center" wrapText="1" indent="2"/>
    </xf>
    <xf numFmtId="0" fontId="22" fillId="20" borderId="8" xfId="0" applyFont="1" applyFill="1" applyBorder="1" applyAlignment="1">
      <alignment vertical="center" wrapText="1" indent="2"/>
    </xf>
    <xf numFmtId="0" fontId="0" fillId="0" borderId="0" xfId="0"/>
    <xf numFmtId="0" fontId="24" fillId="18" borderId="7" xfId="0" applyFont="1" applyFill="1" applyBorder="1" applyAlignment="1">
      <alignment vertical="center" wrapText="1" indent="2"/>
    </xf>
    <xf numFmtId="0" fontId="24" fillId="18" borderId="8" xfId="0" applyFont="1" applyFill="1" applyBorder="1" applyAlignment="1">
      <alignment vertical="center" wrapText="1" indent="2"/>
    </xf>
    <xf numFmtId="0" fontId="24" fillId="18" borderId="9" xfId="0" applyFont="1" applyFill="1" applyBorder="1" applyAlignment="1">
      <alignment vertical="center" wrapText="1" indent="2"/>
    </xf>
    <xf numFmtId="0" fontId="22" fillId="20" borderId="10" xfId="0" applyFont="1" applyFill="1" applyBorder="1" applyAlignment="1">
      <alignment vertical="center" wrapText="1" indent="2"/>
    </xf>
    <xf numFmtId="0" fontId="22" fillId="20" borderId="11" xfId="0" applyFont="1" applyFill="1" applyBorder="1" applyAlignment="1">
      <alignment vertical="center" wrapText="1" indent="2"/>
    </xf>
    <xf numFmtId="0" fontId="22" fillId="20" borderId="12" xfId="0" applyFont="1" applyFill="1" applyBorder="1" applyAlignment="1">
      <alignment vertical="center" wrapText="1" indent="2"/>
    </xf>
    <xf numFmtId="1" fontId="30" fillId="0" borderId="0" xfId="0" applyNumberFormat="true" applyFill="true" applyBorder="true" applyFont="true"/>
    <xf numFmtId="1" fontId="31" fillId="0" borderId="0" xfId="0" applyNumberFormat="true" applyFill="true" applyBorder="true" applyFont="true"/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 xr:uid="{00000000-0005-0000-0000-000004000000}"/>
    <cellStyle name="Percent" xfId="3" builtinId="5"/>
  </cellStyles>
  <dxfs count="65"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</dxf>
    <dxf>
      <font>
        <b val="0"/>
        <i/>
        <strike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 val="0"/>
        <i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/>
        <strike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strike val="0"/>
      </font>
      <fill>
        <patternFill patternType="solid">
          <bgColor rgb="FFC00000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yes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Earnings</a:t>
            </a:r>
            <a:r>
              <a:rPr lang="en-US" baseline="0"/>
              <a:t> Per Share Trend</a:t>
            </a:r>
            <a:endParaRPr lang="en-US"/>
          </a:p>
        </c:rich>
      </c:tx>
      <c:layout>
        <c:manualLayout>
          <c:xMode val="edge"/>
          <c:yMode val="edge"/>
          <c:x val="0.307821914440355"/>
          <c:y val="1.5482744663939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Summary!$Q$33:$Q$42</c:f>
              <c:numCache>
                <c:formatCode>_("$"* #,##0.00_);_("$"* \(#,##0.00\);_("$"* "-"??_);_(@_)</c:formatCode>
                <c:ptCount val="10"/>
                <c:pt idx="0">
                  <c:v>6.22013477639371</c:v>
                </c:pt>
                <c:pt idx="1">
                  <c:v>8.4225641025641025</c:v>
                </c:pt>
                <c:pt idx="2">
                  <c:v>9.697493517718236</c:v>
                </c:pt>
                <c:pt idx="3">
                  <c:v>7.3727087576374748</c:v>
                </c:pt>
                <c:pt idx="4">
                  <c:v>7.5945819710415696</c:v>
                </c:pt>
                <c:pt idx="5">
                  <c:v>3.8489037178265013</c:v>
                </c:pt>
                <c:pt idx="6">
                  <c:v>1.8769451759636102</c:v>
                </c:pt>
                <c:pt idx="7">
                  <c:v>4.6311090225563909</c:v>
                </c:pt>
                <c:pt idx="8">
                  <c:v>4.8805620608899298</c:v>
                </c:pt>
                <c:pt idx="9">
                  <c:v>3.3583138173302109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80-481D-9499-1464DE6AF776}"/>
            </c:ext>
          </c:extLst>
        </c:ser>
        <c:ser>
          <c:idx val="2"/>
          <c:order val="2"/>
          <c:tx>
            <c:v>Book Value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Summary!$AA$33:$AA$42</c:f>
              <c:numCache>
                <c:formatCode>_("$"* #,##0.00_);_("$"* \(#,##0.00\);_("$"* "-"??_);_(@_)</c:formatCode>
                <c:ptCount val="10"/>
                <c:pt idx="0">
                  <c:v>29.985501327343272</c:v>
                </c:pt>
                <c:pt idx="1">
                  <c:v>31.670974358974359</c:v>
                </c:pt>
                <c:pt idx="2">
                  <c:v>35.839023336214346</c:v>
                </c:pt>
                <c:pt idx="3">
                  <c:v>39.376103190767139</c:v>
                </c:pt>
                <c:pt idx="4">
                  <c:v>40.728397944885565</c:v>
                </c:pt>
                <c:pt idx="5">
                  <c:v>40.708055290753101</c:v>
                </c:pt>
                <c:pt idx="6">
                  <c:v>40.058654536748861</c:v>
                </c:pt>
                <c:pt idx="7">
                  <c:v>44.099624060150376</c:v>
                </c:pt>
                <c:pt idx="8">
                  <c:v>44.916627634660422</c:v>
                </c:pt>
                <c:pt idx="9">
                  <c:v>44.88290398126464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80-481D-9499-1464DE6A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1592"/>
        <c:axId val="530198256"/>
      </c:scatterChart>
      <c:scatterChart>
        <c:scatterStyle val="smoothMarker"/>
        <c:varyColors val="0"/>
        <c:ser>
          <c:idx val="1"/>
          <c:order val="1"/>
          <c:tx>
            <c:v>Earnings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Summary!$E$33:$E$42</c:f>
              <c:numCache>
                <c:formatCode>"$"#,##0.00</c:formatCode>
                <c:ptCount val="10"/>
                <c:pt idx="0">
                  <c:v>30460</c:v>
                </c:pt>
                <c:pt idx="1">
                  <c:v>41060</c:v>
                </c:pt>
                <c:pt idx="2">
                  <c:v>44880</c:v>
                </c:pt>
                <c:pt idx="3">
                  <c:v>32580</c:v>
                </c:pt>
                <c:pt idx="4">
                  <c:v>32520</c:v>
                </c:pt>
                <c:pt idx="5">
                  <c:v>16150</c:v>
                </c:pt>
                <c:pt idx="6">
                  <c:v>7840</c:v>
                </c:pt>
                <c:pt idx="7">
                  <c:v>19710</c:v>
                </c:pt>
                <c:pt idx="8">
                  <c:v>20840</c:v>
                </c:pt>
                <c:pt idx="9">
                  <c:v>14340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80-481D-9499-1464DE6A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552"/>
        <c:axId val="530188848"/>
      </c:scatterChart>
      <c:valAx>
        <c:axId val="53019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8256"/>
        <c:crosses val="autoZero"/>
        <c:crossBetween val="midCat"/>
      </c:valAx>
      <c:valAx>
        <c:axId val="5301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</a:t>
                </a:r>
                <a:r>
                  <a:rPr lang="en-US" baseline="0"/>
                  <a:t> &amp; Book/Share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1592"/>
        <c:crosses val="autoZero"/>
        <c:crossBetween val="midCat"/>
      </c:valAx>
      <c:valAx>
        <c:axId val="530188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Earnings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552"/>
        <c:crosses val="max"/>
        <c:crossBetween val="midCat"/>
      </c:valAx>
      <c:valAx>
        <c:axId val="53019355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53018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ROSE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Summary!$AD$33:$AD$42</c:f>
              <c:numCache>
                <c:formatCode>0.0%</c:formatCode>
                <c:ptCount val="10"/>
                <c:pt idx="0">
                  <c:v>0.20743807843965156</c:v>
                </c:pt>
                <c:pt idx="1">
                  <c:v>0.26593953211223087</c:v>
                </c:pt>
                <c:pt idx="2">
                  <c:v>0.270584759711328</c:v>
                </c:pt>
                <c:pt idx="3">
                  <c:v>0.18723815106636094</c:v>
                </c:pt>
                <c:pt idx="4">
                  <c:v>0.18646895911100408</c:v>
                </c:pt>
                <c:pt idx="5">
                  <c:v>9.4548945910977622E-2</c:v>
                </c:pt>
                <c:pt idx="6">
                  <c:v>4.6854923053936952E-2</c:v>
                </c:pt>
                <c:pt idx="7">
                  <c:v>0.10501470525553046</c:v>
                </c:pt>
                <c:pt idx="8">
                  <c:v>0.10865824791182206</c:v>
                </c:pt>
                <c:pt idx="9">
                  <c:v>7.4823897730237413E-2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93-4940-BC6E-CBE241086DEA}"/>
            </c:ext>
          </c:extLst>
        </c:ser>
        <c:ser>
          <c:idx val="2"/>
          <c:order val="1"/>
          <c:tx>
            <c:v>ROTC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Summary!$AE$33:$AE$42</c:f>
              <c:numCache>
                <c:formatCode>0.0%</c:formatCode>
                <c:ptCount val="10"/>
                <c:pt idx="0">
                  <c:v>0.18819546131366116</c:v>
                </c:pt>
                <c:pt idx="1">
                  <c:v>0.23951606787649699</c:v>
                </c:pt>
                <c:pt idx="2">
                  <c:v>0.25292486643673495</c:v>
                </c:pt>
                <c:pt idx="3">
                  <c:v>0.16563125946863785</c:v>
                </c:pt>
                <c:pt idx="4">
                  <c:v>0.15978773584905662</c:v>
                </c:pt>
                <c:pt idx="5">
                  <c:v>7.708904142282981E-2</c:v>
                </c:pt>
                <c:pt idx="6">
                  <c:v>3.7317873071632229E-2</c:v>
                </c:pt>
                <c:pt idx="7">
                  <c:v>8.5686710951900669E-2</c:v>
                </c:pt>
                <c:pt idx="8">
                  <c:v>9.0770503941809313E-2</c:v>
                </c:pt>
                <c:pt idx="9">
                  <c:v>6.0108144360145874E-2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93-4940-BC6E-CBE241086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944"/>
        <c:axId val="530186888"/>
      </c:scatterChart>
      <c:valAx>
        <c:axId val="53019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86888"/>
        <c:crosses val="autoZero"/>
        <c:crossBetween val="midCat"/>
      </c:valAx>
      <c:valAx>
        <c:axId val="53018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586410</xdr:colOff>
      <xdr:row>44</xdr:row>
      <xdr:rowOff>11969</xdr:rowOff>
    </xdr:from>
    <xdr:to>
      <xdr:col>11</xdr:col>
      <xdr:colOff>863048</xdr:colOff>
      <xdr:row>56</xdr:row>
      <xdr:rowOff>170208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327162</xdr:colOff>
      <xdr:row>58</xdr:row>
      <xdr:rowOff>139972</xdr:rowOff>
    </xdr:from>
    <xdr:to>
      <xdr:col>11</xdr:col>
      <xdr:colOff>803413</xdr:colOff>
      <xdr:row>71</xdr:row>
      <xdr:rowOff>41412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www.treasury.gov/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K155"/>
  <sheetViews>
    <sheetView topLeftCell="A2" zoomScaleNormal="100" workbookViewId="0">
      <selection activeCell="C42" sqref="C42"/>
    </sheetView>
  </sheetViews>
  <sheetFormatPr defaultRowHeight="14.4" x14ac:dyDescent="0.3"/>
  <cols>
    <col min="1" max="1" customWidth="true" style="3" width="3.6640625"/>
    <col min="2" max="2" customWidth="true" width="16.5546875"/>
    <col min="3" max="3" bestFit="true" customWidth="true" width="10.6640625"/>
    <col min="4" max="4" customWidth="true" width="12.6640625"/>
    <col min="5" max="5" bestFit="true" customWidth="true" width="93.5546875"/>
    <col min="6" max="6" customWidth="true" width="16.109375"/>
    <col min="7" max="7" bestFit="true" customWidth="true" width="10.109375"/>
    <col min="8" max="8" customWidth="true" width="12.0"/>
    <col min="9" max="9" bestFit="true" customWidth="true" width="27.109375"/>
    <col min="10" max="10" bestFit="true" customWidth="true" width="22.6640625"/>
    <col min="11" max="11" customWidth="true" width="18.6640625"/>
    <col min="12" max="13" customWidth="true" width="15.0"/>
    <col min="14" max="15" customWidth="true" width="12.5546875"/>
    <col min="16" max="16" customWidth="true" width="17.109375"/>
    <col min="17" max="17" customWidth="true" width="17.33203125"/>
    <col min="18" max="18" customWidth="true" width="17.44140625"/>
    <col min="19" max="26" customWidth="true" width="12.5546875"/>
    <col min="27" max="32" customWidth="true" width="10.33203125"/>
    <col min="33" max="33" customWidth="true" width="11.0"/>
    <col min="34" max="34" bestFit="true" customWidth="true" width="18.6640625"/>
    <col min="36" max="36" bestFit="true" customWidth="true" width="17.44140625"/>
    <col min="37" max="37" bestFit="true" customWidth="true" width="12.88671875"/>
  </cols>
  <sheetData>
    <row r="1" spans="1:35" x14ac:dyDescent="0.3">
      <c r="A1" s="28"/>
      <c r="B1" s="28"/>
      <c r="C1" s="165" t="s">
        <v>226</v>
      </c>
      <c r="D1" s="165"/>
      <c r="E1" s="165"/>
      <c r="F1" s="165"/>
      <c r="G1" s="166" t="s">
        <v>227</v>
      </c>
      <c r="H1" s="166"/>
      <c r="I1" s="110" t="s">
        <v>228</v>
      </c>
      <c r="J1" s="167" t="s">
        <v>229</v>
      </c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</row>
    <row r="2" spans="1:35" x14ac:dyDescent="0.3">
      <c r="A2" s="28"/>
      <c r="B2" s="28"/>
      <c r="C2" s="111" t="s">
        <v>230</v>
      </c>
      <c r="D2" s="111" t="s">
        <v>231</v>
      </c>
      <c r="E2" s="111" t="s">
        <v>231</v>
      </c>
      <c r="F2" s="111" t="s">
        <v>133</v>
      </c>
      <c r="G2" s="166"/>
      <c r="H2" s="166"/>
      <c r="I2" s="111" t="s">
        <v>232</v>
      </c>
      <c r="J2" s="112" t="s">
        <v>34</v>
      </c>
      <c r="K2" s="112"/>
      <c r="L2" s="112"/>
      <c r="M2" s="112"/>
      <c r="N2" s="112"/>
      <c r="O2" s="112" t="s">
        <v>233</v>
      </c>
      <c r="P2" s="112" t="s">
        <v>234</v>
      </c>
      <c r="Q2" s="112" t="s">
        <v>235</v>
      </c>
      <c r="R2" s="112" t="s">
        <v>235</v>
      </c>
      <c r="S2" s="112"/>
      <c r="T2" s="112"/>
      <c r="U2" s="112"/>
      <c r="V2" s="112"/>
    </row>
    <row r="3" spans="1:35" x14ac:dyDescent="0.3">
      <c r="A3" s="28" t="s">
        <v>219</v>
      </c>
      <c r="B3" s="28" t="s">
        <v>236</v>
      </c>
      <c r="C3" s="111" t="s">
        <v>237</v>
      </c>
      <c r="D3" s="111" t="s">
        <v>238</v>
      </c>
      <c r="E3" s="111" t="s">
        <v>127</v>
      </c>
      <c r="F3" s="111" t="s">
        <v>239</v>
      </c>
      <c r="G3" s="112" t="s">
        <v>240</v>
      </c>
      <c r="H3" s="112" t="s">
        <v>241</v>
      </c>
      <c r="I3" s="111" t="s">
        <v>242</v>
      </c>
      <c r="J3" s="112" t="s">
        <v>243</v>
      </c>
      <c r="K3" s="112" t="s">
        <v>43</v>
      </c>
      <c r="L3" s="112" t="s">
        <v>45</v>
      </c>
      <c r="M3" s="112" t="s">
        <v>44</v>
      </c>
      <c r="N3" s="112" t="s">
        <v>244</v>
      </c>
      <c r="O3" s="112" t="s">
        <v>245</v>
      </c>
      <c r="P3" s="112" t="s">
        <v>246</v>
      </c>
      <c r="Q3" s="28" t="s">
        <v>247</v>
      </c>
      <c r="R3" s="28" t="s">
        <v>248</v>
      </c>
      <c r="S3" s="28"/>
      <c r="T3" s="112"/>
      <c r="U3" s="112"/>
      <c r="V3" s="112"/>
    </row>
    <row r="4" spans="1:35" x14ac:dyDescent="0.3">
      <c r="A4" s="28" t="str">
        <f ca="1">B30</f>
        <v>MASTER COPY_copy</v>
      </c>
      <c r="B4" s="28" t="e">
        <f>B28</f>
        <v>#VALUE!</v>
      </c>
      <c r="C4" s="113" t="e">
        <f>C142</f>
        <v>#VALUE!</v>
      </c>
      <c r="D4" s="116" t="str">
        <f>F90</f>
        <v>INPUT</v>
      </c>
      <c r="E4" s="116" t="e">
        <f>G139</f>
        <v>#VALUE!</v>
      </c>
      <c r="F4" s="117" t="str">
        <f>K129</f>
        <v>N/A</v>
      </c>
      <c r="G4" s="28" t="s">
        <v>249</v>
      </c>
      <c r="H4" s="28" t="s">
        <v>255</v>
      </c>
      <c r="I4" s="28" t="str">
        <f>E57</f>
        <v>Nonfinancial</v>
      </c>
      <c r="J4" s="28" t="str">
        <f>D47</f>
        <v>SLOWING DOWN</v>
      </c>
      <c r="K4" s="114">
        <f>E56</f>
        <v>0.15475702003030797</v>
      </c>
      <c r="L4" s="114">
        <f>E58</f>
        <v>-9.1157006186255357E-2</v>
      </c>
      <c r="M4" s="114">
        <f>D65</f>
        <v>0.13570276646929053</v>
      </c>
      <c r="N4" s="114">
        <f>C67</f>
        <v>7.7412818693427102E-2</v>
      </c>
      <c r="O4" s="115">
        <f>I69</f>
        <v>1.8369595536959553</v>
      </c>
      <c r="P4" s="115" t="str">
        <f>H72</f>
        <v>YES</v>
      </c>
      <c r="Q4" s="113" t="e">
        <f>H114</f>
        <v>#VALUE!</v>
      </c>
      <c r="R4" s="113" t="e">
        <f>H124</f>
        <v>#VALUE!</v>
      </c>
      <c r="S4" s="28"/>
      <c r="T4" s="28"/>
      <c r="U4" s="28"/>
      <c r="V4" s="28"/>
    </row>
    <row r="8" spans="1:35" s="2" customFormat="1" hidden="1" x14ac:dyDescent="0.3">
      <c r="A8" s="1" t="s">
        <v>3</v>
      </c>
      <c r="B8" s="2" t="s">
        <v>4</v>
      </c>
      <c r="AG8" t="s" s="0">
        <v>5</v>
      </c>
      <c r="AI8" s="2" t="s">
        <v>221</v>
      </c>
    </row>
    <row r="9" spans="1:35" hidden="1" x14ac:dyDescent="0.3">
      <c r="B9" s="168"/>
      <c r="C9" s="168"/>
      <c r="D9" s="168"/>
      <c r="E9" s="168"/>
      <c r="F9" s="168"/>
      <c r="G9" s="168"/>
      <c r="H9" s="168"/>
      <c r="I9" s="16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t="s" s="0">
        <v>6</v>
      </c>
      <c r="AI9" s="2" t="s">
        <v>222</v>
      </c>
    </row>
    <row r="10" spans="1:35" hidden="1" x14ac:dyDescent="0.3">
      <c r="B10" s="168"/>
      <c r="C10" s="168"/>
      <c r="D10" s="168"/>
      <c r="E10" s="168"/>
      <c r="F10" s="168"/>
      <c r="G10" s="168"/>
      <c r="H10" s="168"/>
      <c r="I10" s="16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t="s" s="0">
        <v>7</v>
      </c>
    </row>
    <row r="11" spans="1:35" s="2" customFormat="1" hidden="1" x14ac:dyDescent="0.3">
      <c r="A11" s="1" t="s">
        <v>8</v>
      </c>
      <c r="B11" s="2" t="s">
        <v>9</v>
      </c>
      <c r="AG11" t="s" s="0">
        <v>10</v>
      </c>
    </row>
    <row r="12" spans="1:35" hidden="1" x14ac:dyDescent="0.3">
      <c r="B12" s="168"/>
      <c r="C12" s="168"/>
      <c r="D12" s="168"/>
      <c r="E12" s="168"/>
      <c r="F12" s="168"/>
      <c r="G12" s="168"/>
      <c r="H12" s="168"/>
      <c r="I12" s="16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t="s" s="0">
        <v>11</v>
      </c>
      <c r="AI12" t="s" s="0">
        <v>232</v>
      </c>
    </row>
    <row r="13" spans="1:35" hidden="1" x14ac:dyDescent="0.3">
      <c r="B13" s="168"/>
      <c r="C13" s="168"/>
      <c r="D13" s="168"/>
      <c r="E13" s="168"/>
      <c r="F13" s="168"/>
      <c r="G13" s="168"/>
      <c r="H13" s="168"/>
      <c r="I13" s="16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I13" t="s" s="0">
        <v>242</v>
      </c>
    </row>
    <row r="14" spans="1:35" s="2" customFormat="1" hidden="1" x14ac:dyDescent="0.3">
      <c r="A14" s="1" t="s">
        <v>12</v>
      </c>
      <c r="B14" s="2" t="s">
        <v>13</v>
      </c>
    </row>
    <row r="15" spans="1:35" hidden="1" x14ac:dyDescent="0.3">
      <c r="B15" s="168"/>
      <c r="C15" s="168"/>
      <c r="D15" s="168"/>
      <c r="E15" s="168"/>
      <c r="F15" s="168"/>
      <c r="G15" s="168"/>
      <c r="H15" s="168"/>
      <c r="I15" s="16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5" hidden="1" x14ac:dyDescent="0.3">
      <c r="B16" s="168"/>
      <c r="C16" s="168"/>
      <c r="D16" s="168"/>
      <c r="E16" s="168"/>
      <c r="F16" s="168"/>
      <c r="G16" s="168"/>
      <c r="H16" s="168"/>
      <c r="I16" s="16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6" s="2" customFormat="1" hidden="1" x14ac:dyDescent="0.3">
      <c r="A17" s="1" t="s">
        <v>14</v>
      </c>
      <c r="B17" s="2" t="s">
        <v>15</v>
      </c>
    </row>
    <row r="18" spans="1:36" hidden="1" x14ac:dyDescent="0.3">
      <c r="C18" t="s" s="0">
        <v>16</v>
      </c>
    </row>
    <row r="19" spans="1:36" hidden="1" x14ac:dyDescent="0.3">
      <c r="C19" t="s" s="0">
        <v>17</v>
      </c>
      <c r="D19" t="s" s="0">
        <v>18</v>
      </c>
    </row>
    <row r="20" spans="1:36" hidden="1" x14ac:dyDescent="0.3">
      <c r="B20" s="0">
        <v>1</v>
      </c>
      <c r="C20" s="5"/>
      <c r="D20" s="5"/>
      <c r="E20" s="5"/>
      <c r="F20" s="5"/>
      <c r="G20" s="5"/>
      <c r="H20" s="5"/>
      <c r="I20" s="5"/>
    </row>
    <row r="21" spans="1:36" hidden="1" x14ac:dyDescent="0.3">
      <c r="B21" s="0">
        <v>2</v>
      </c>
      <c r="C21" s="5"/>
      <c r="D21" s="5"/>
      <c r="E21" s="5"/>
      <c r="F21" s="5"/>
      <c r="G21" s="5"/>
      <c r="H21" s="5"/>
      <c r="I21" s="5"/>
    </row>
    <row r="22" spans="1:36" hidden="1" x14ac:dyDescent="0.3">
      <c r="B22" s="0">
        <v>3</v>
      </c>
      <c r="C22" s="5"/>
      <c r="D22" s="5"/>
      <c r="E22" s="5"/>
      <c r="F22" s="5"/>
      <c r="G22" s="5"/>
      <c r="H22" s="5"/>
      <c r="I22" s="5"/>
    </row>
    <row r="23" spans="1:36" hidden="1" x14ac:dyDescent="0.3">
      <c r="B23" s="0">
        <v>4</v>
      </c>
      <c r="C23" s="5"/>
      <c r="D23" s="5"/>
      <c r="E23" s="5"/>
      <c r="F23" s="5"/>
      <c r="G23" s="5"/>
      <c r="H23" s="5"/>
      <c r="I23" s="5"/>
    </row>
    <row r="24" spans="1:36" hidden="1" x14ac:dyDescent="0.3">
      <c r="B24" s="0">
        <v>5</v>
      </c>
      <c r="C24" s="5"/>
      <c r="D24" s="5"/>
      <c r="E24" s="5"/>
      <c r="F24" s="5"/>
      <c r="G24" s="5"/>
      <c r="H24" s="5"/>
      <c r="I24" s="5"/>
    </row>
    <row r="25" spans="1:36" hidden="1" x14ac:dyDescent="0.3"/>
    <row r="26" spans="1:36" s="2" customFormat="1" x14ac:dyDescent="0.3">
      <c r="A26" s="1" t="s">
        <v>19</v>
      </c>
      <c r="B26" s="2" t="s">
        <v>20</v>
      </c>
    </row>
    <row r="27" spans="1:36" ht="15" customHeight="1" x14ac:dyDescent="0.3">
      <c r="C27" t="s" s="0">
        <v>21</v>
      </c>
    </row>
    <row r="28" spans="1:36" ht="15" customHeight="1" x14ac:dyDescent="0.3">
      <c r="B28" s="139" t="e">
        <f>LEFT(CashFlow!A1,FIND("(",CashFlow!A1)-1)</f>
        <v>#VALUE!</v>
      </c>
      <c r="D28" s="1" t="s">
        <v>129</v>
      </c>
      <c r="E28" t="s" s="0">
        <v>130</v>
      </c>
      <c r="F28" t="s" s="0">
        <v>130</v>
      </c>
      <c r="G28" t="s" s="0">
        <v>253</v>
      </c>
      <c r="H28" t="s" s="0">
        <v>253</v>
      </c>
      <c r="I28" t="s" s="0">
        <v>131</v>
      </c>
      <c r="J28" t="s" s="0">
        <v>131</v>
      </c>
      <c r="K28" t="s" s="0">
        <v>132</v>
      </c>
      <c r="L28" t="s" s="0">
        <v>131</v>
      </c>
      <c r="O28" t="s" s="0">
        <v>131</v>
      </c>
    </row>
    <row r="29" spans="1:36" ht="15" customHeight="1" x14ac:dyDescent="0.3">
      <c r="B29" t="s" s="0">
        <v>219</v>
      </c>
      <c r="D29" s="1" t="s">
        <v>128</v>
      </c>
      <c r="E29" t="s" s="0">
        <v>539</v>
      </c>
      <c r="F29" t="s" s="0">
        <v>589</v>
      </c>
      <c r="G29" s="28" t="s">
        <v>251</v>
      </c>
      <c r="H29" s="28" t="s">
        <v>252</v>
      </c>
      <c r="I29" s="132" t="str">
        <f>IF(COUNTIF(BalanceSheet!A1:A408,"SHORT-TERM DEBT")&gt;0,"SHORT-TERM DEBT",IF(COUNTIF(BalanceSheet!A1:A408,"SHORT-TERM BORROWING")&gt;0,"SHORT-TERM BORROWING",IF(COUNTIF(BalanceSheet!A1:A408,"        Financial Liabilities, Current")&gt;0,"        Financial Liabilities, Current","ACCRUED LIABILITIES")))</f>
        <v xml:space="preserve">        Financial Liabilities, Current</v>
      </c>
      <c r="J29" s="132" t="str">
        <f>IF(COUNTIF(BalanceSheet!A1:A408,"LONG-TERM DEBT")&gt;0,"LONG-TERM DEBT",IF(COUNTIF(BalanceSheet!A1:A408,"OTHER LONG-TERM LIABILITIES")&gt;0,"OTHER LONG-TERM LIABILITIES",IF(COUNTIF(BalanceSheet!A1:A408,"        Financial Liabilities, Non-Current")&gt;0,"        Financial Liabilities, Non-Current","TOTAL NON-CURRENT LIABILITIES")))</f>
        <v xml:space="preserve">        Financial Liabilities, Non-Current</v>
      </c>
      <c r="K29" s="132" t="str">
        <f>IF(COUNTIF(CashFlow!A1:A349,"CASH DIVIDENDS PAID")&gt;0,"CASH DIVIDENDS PAID",IF(COUNTIF(CashFlow!A1:A349,"            Cash Dividends Paid")&gt;0,"            Cash Dividends Paid","DIVIDEND PAID"))</f>
        <v xml:space="preserve">            Cash Dividends Paid</v>
      </c>
      <c r="L29" t="str" s="0">
        <f>IF(COUNTIF(BalanceSheet!A1:A408,"    Equity Attributable to Parent Stockholders")&gt;0,"    Equity Attributable to Parent Stockholders","Total stockholders' equity")</f>
        <v xml:space="preserve">    Equity Attributable to Parent Stockholders</v>
      </c>
      <c r="O29" t="s" s="0">
        <v>192</v>
      </c>
      <c r="AA29" t="s" s="0">
        <v>135</v>
      </c>
    </row>
    <row r="30" spans="1:36" s="6" customFormat="1" ht="40.5" customHeight="1" x14ac:dyDescent="0.3">
      <c r="B30" s="138" t="str">
        <f ca="1">MID(CELL("filename",A1),SEARCH("[",CELL("filename",A1))+1,SEARCH(".",CELL("filename",A1))-1-SEARCH("[",CELL("filename",A1)))</f>
        <v>MASTER COPY_copy</v>
      </c>
      <c r="C30" s="7" t="s">
        <v>22</v>
      </c>
      <c r="D30" s="7" t="s">
        <v>23</v>
      </c>
      <c r="E30" s="7" t="s">
        <v>24</v>
      </c>
      <c r="F30" s="7" t="s">
        <v>25</v>
      </c>
      <c r="G30" s="7" t="s">
        <v>26</v>
      </c>
      <c r="H30" s="7" t="s">
        <v>27</v>
      </c>
      <c r="I30" s="7" t="s">
        <v>28</v>
      </c>
      <c r="J30" s="7" t="s">
        <v>29</v>
      </c>
      <c r="K30" s="7" t="s">
        <v>30</v>
      </c>
      <c r="L30" s="7" t="s">
        <v>31</v>
      </c>
      <c r="M30" s="7" t="s">
        <v>32</v>
      </c>
      <c r="N30" s="7" t="s">
        <v>0</v>
      </c>
      <c r="O30" s="7" t="s">
        <v>192</v>
      </c>
      <c r="P30" s="7" t="s">
        <v>33</v>
      </c>
      <c r="Q30" s="98" t="s">
        <v>34</v>
      </c>
      <c r="R30" s="7" t="s">
        <v>30</v>
      </c>
      <c r="S30" s="7" t="s">
        <v>35</v>
      </c>
      <c r="T30" s="7" t="s">
        <v>36</v>
      </c>
      <c r="U30" s="7" t="s">
        <v>37</v>
      </c>
      <c r="V30" s="7" t="s">
        <v>28</v>
      </c>
      <c r="W30" s="7" t="s">
        <v>29</v>
      </c>
      <c r="X30" s="7" t="s">
        <v>38</v>
      </c>
      <c r="Y30" s="7" t="s">
        <v>39</v>
      </c>
      <c r="Z30" s="7" t="s">
        <v>40</v>
      </c>
      <c r="AA30" s="98" t="s">
        <v>41</v>
      </c>
      <c r="AB30" s="104" t="s">
        <v>192</v>
      </c>
      <c r="AC30" s="7" t="s">
        <v>42</v>
      </c>
      <c r="AD30" s="7" t="s">
        <v>43</v>
      </c>
      <c r="AE30" s="7" t="s">
        <v>44</v>
      </c>
      <c r="AF30" s="7" t="s">
        <v>45</v>
      </c>
      <c r="AG30" s="7" t="s">
        <v>46</v>
      </c>
      <c r="AH30" s="7" t="s">
        <v>224</v>
      </c>
    </row>
    <row r="31" spans="1:36" s="6" customFormat="1" ht="21" customHeight="1" x14ac:dyDescent="0.3">
      <c r="B31" s="6" t="s">
        <v>220</v>
      </c>
      <c r="C31" s="7"/>
      <c r="D31" s="7"/>
      <c r="E31" s="8" t="s">
        <v>6</v>
      </c>
      <c r="F31" s="8" t="s">
        <v>6</v>
      </c>
      <c r="G31" s="8" t="s">
        <v>10</v>
      </c>
      <c r="H31" s="8" t="s">
        <v>10</v>
      </c>
      <c r="I31" s="8" t="s">
        <v>6</v>
      </c>
      <c r="J31" s="8" t="s">
        <v>6</v>
      </c>
      <c r="K31" s="8" t="s">
        <v>6</v>
      </c>
      <c r="L31" s="8" t="s">
        <v>6</v>
      </c>
      <c r="M31" s="8" t="s">
        <v>6</v>
      </c>
      <c r="N31" s="8" t="s">
        <v>6</v>
      </c>
      <c r="O31" s="8" t="s">
        <v>6</v>
      </c>
      <c r="P31" s="7" t="s">
        <v>11</v>
      </c>
      <c r="Q31" s="7" t="s">
        <v>10</v>
      </c>
      <c r="R31" s="7" t="s">
        <v>10</v>
      </c>
      <c r="S31" s="7" t="s">
        <v>10</v>
      </c>
      <c r="T31" s="7" t="s">
        <v>10</v>
      </c>
      <c r="U31" s="7"/>
      <c r="V31" s="7" t="s">
        <v>10</v>
      </c>
      <c r="W31" s="7" t="s">
        <v>10</v>
      </c>
      <c r="X31" s="7" t="s">
        <v>11</v>
      </c>
      <c r="Y31" s="7" t="s">
        <v>10</v>
      </c>
      <c r="Z31" s="7" t="s">
        <v>10</v>
      </c>
      <c r="AA31" s="7" t="s">
        <v>10</v>
      </c>
      <c r="AB31" s="7" t="s">
        <v>10</v>
      </c>
      <c r="AC31" s="7"/>
      <c r="AD31" s="7"/>
      <c r="AE31" s="7"/>
      <c r="AF31" s="7"/>
    </row>
    <row r="32" spans="1:36" s="6" customFormat="1" ht="20.25" customHeight="1" x14ac:dyDescent="0.3">
      <c r="A32" s="3"/>
      <c r="B32" s="89" t="s">
        <v>222</v>
      </c>
      <c r="C32" s="10">
        <f t="shared" ref="C32:C40" si="0">C33-1</f>
        <v>2009</v>
      </c>
      <c r="D32" s="11">
        <v>0</v>
      </c>
      <c r="E32" s="12"/>
      <c r="F32" s="131"/>
      <c r="G32" s="119">
        <f>VLOOKUP(C32,'Historical Prices'!$N$3:$U$20,MATCH(Summary!$G$29,'Historical Prices'!$N$2:$U$2,0),0)</f>
        <v>61.86</v>
      </c>
      <c r="H32" s="120">
        <f>VLOOKUP(C32,'Historical Prices'!$N$3:$U$20,MATCH(Summary!$H$29,'Historical Prices'!$N$2:$U$2,0),0)</f>
        <v>82.73</v>
      </c>
      <c r="I32" s="12"/>
      <c r="J32" s="12"/>
      <c r="K32" s="12"/>
      <c r="L32" s="12"/>
      <c r="M32" s="12"/>
      <c r="N32" s="12"/>
      <c r="O32" s="12"/>
      <c r="P32" s="13" t="str">
        <f>IF(B32="No","No",IF(F32=0,"No",IF(F$31="thousands",F32*1000,IF(F$31="Millions",F32*1000000,IF(F$31="Billions",F32*1000000000,IF(F$31="Total",F32,IF(F$31="per Share",F32,Error)))))))</f>
        <v>No</v>
      </c>
      <c r="Q32" s="97" t="str">
        <f>IF(B32="No","No",IF(E$31="thousands",E32*1000/$P32,IF(E$31="Millions",E32*1000000/$P32,IF(E$31="Billions",E32*1000000000/$P32,IF(E$31="Total",E32/$P32,IF(E$31="per Share",E32,Error))))))</f>
        <v>No</v>
      </c>
      <c r="R32" s="14" t="e">
        <f>IF(K$31="thousands",K32*1000/$P32,IF(K$31="Millions",K32*1000000/$P32,IF(K$31="Billions",K32*1000000000/$P32,IF(K$31="Total",K32/$P32,IF(K$31="per Share",K32,Error)))))</f>
        <v>#VALUE!</v>
      </c>
      <c r="S32" s="14" t="e">
        <f>Q32-R32</f>
        <v>#VALUE!</v>
      </c>
      <c r="T32" s="14">
        <f>IF(OR(G32="",H32=""),G32+H32,(G32+H32)/2)</f>
        <v>72.295000000000002</v>
      </c>
      <c r="U32" s="15" t="e">
        <f t="shared" ref="U32:U41" si="1">T32/(Q32*$G$141)</f>
        <v>#VALUE!</v>
      </c>
      <c r="V32" s="14" t="e">
        <f>IF(I$31="thousands",I32*1000/$P32,IF(I$31="Millions",I32*1000000/$P32,IF(I$31="Billions",I32*1000000000/$P32,IF(I$31="Total",I32/$P32,IF(I$31="per Share",I32,Error)))))</f>
        <v>#VALUE!</v>
      </c>
      <c r="W32" s="14" t="e">
        <f>IF(J$31="thousands",J32*1000/$P32,IF(J$31="Millions",J32*1000000/$P32,IF(J$31="Billions",J32*1000000000/$P32,IF(J$31="Total",J32/$P32,IF(J$31="per Share",J32,Error)))))</f>
        <v>#VALUE!</v>
      </c>
      <c r="X32" s="16" t="e">
        <f>W32/Q32</f>
        <v>#VALUE!</v>
      </c>
      <c r="Y32" s="14" t="e">
        <f>IF(L$31="thousands",L32*1000/$P32,IF(L$31="Millions",L32*1000000/$P32,IF(L$31="Billions",L32*1000000000/$P32,IF(L$31="Total",L32/$P32,IF(L$31="per Share",L32,Error)))))</f>
        <v>#VALUE!</v>
      </c>
      <c r="Z32" s="14" t="e">
        <f>IF(M$31="thousands",M32*1000/$P32,IF(M$31="Millions",M32*1000000/$P32,IF(M$31="Billions",M32*1000000000/$P32,IF(M$31="Total",M32/$P32,IF(M$31="per Share",M32,Error)))))+IF(N$31="thousands",N32*1000/$P32,IF(N$31="Millions",N32*1000000/$P32,IF(N$31="Billions",N32*1000000000/$P32,IF(N$31="Total",N32/$P32,IF(N$31="per Share",N32,Error)))))</f>
        <v>#VALUE!</v>
      </c>
      <c r="AA32" s="17" t="str">
        <f>IF(B32="No","No",Y32-Z32)</f>
        <v>No</v>
      </c>
      <c r="AB32" s="17" t="e">
        <f>IF(O$31="thousands",O32*1000/$P32,IF(O$31="Millions",O32*1000000/$P32,IF(O$31="Billions",O32*1000000000/$P32,IF(O$31="Total",O32/$P32,IF(O$31="per Share",O32,Error)))))</f>
        <v>#VALUE!</v>
      </c>
      <c r="AC32" s="18"/>
      <c r="AD32" s="19" t="e">
        <f>Q32/Y32</f>
        <v>#VALUE!</v>
      </c>
      <c r="AE32" s="19" t="e">
        <f t="shared" ref="AE32:AE42" si="2">Q32/(V32+W32+Y32)</f>
        <v>#VALUE!</v>
      </c>
      <c r="AF32" s="19"/>
      <c r="AG32" s="106" t="e">
        <f t="shared" ref="AG32:AG41" si="3">T32/AA32</f>
        <v>#VALUE!</v>
      </c>
      <c r="AH32" s="107" t="e">
        <f>Q32/AB32</f>
        <v>#VALUE!</v>
      </c>
      <c r="AJ32" s="20"/>
    </row>
    <row r="33" spans="1:37" x14ac:dyDescent="0.3">
      <c r="B33" s="136" t="str">
        <f>IF(ISNUMBER(G33),"Yes","No")</f>
        <v>Yes</v>
      </c>
      <c r="C33" s="10">
        <f t="shared" si="0"/>
        <v>2010</v>
      </c>
      <c r="D33" s="11">
        <f>D32+1</f>
        <v>1</v>
      </c>
      <c r="E33" s="78">
        <f>VLOOKUP(E$29,IncomeStatement!$A$1:$K$204,$D33+1,FALSE)/1000000</f>
        <v>30460</v>
      </c>
      <c r="F33" s="79">
        <f>VLOOKUP(F$29,IncomeStatement!$O$2:$Y$225,$D33+1,FALSE)/1000000</f>
        <v>4897</v>
      </c>
      <c r="G33" s="119">
        <f>VLOOKUP(C33,'Historical Prices'!$N$3:$U$20,MATCH(Summary!$G$29,'Historical Prices'!$N$2:$U$2,0),0)</f>
        <v>55.94</v>
      </c>
      <c r="H33" s="120">
        <f>VLOOKUP(C33,'Historical Prices'!$N$3:$U$20,MATCH(Summary!$H$29,'Historical Prices'!$N$2:$U$2,0),0)</f>
        <v>73.69</v>
      </c>
      <c r="I33" s="80">
        <f>VLOOKUP(I$29,BalanceSheet!$A$1:$K$225,$D33+1,FALSE)/1000000</f>
        <v>2787</v>
      </c>
      <c r="J33" s="82">
        <f>VLOOKUP(J$29,BalanceSheet!$A$1:$L$225,$D33+1,FALSE)/1000000</f>
        <v>12227</v>
      </c>
      <c r="K33" s="81">
        <f>-VLOOKUP(K$29,CashFlow!$A$1:$K$225,$D33+1,FALSE)/1000000</f>
        <v>8498</v>
      </c>
      <c r="L33" s="83">
        <f>VLOOKUP(L$29,BalanceSheet!$A$1:$Y$225,$D33+1,FALSE)/1000000</f>
        <v>146839</v>
      </c>
      <c r="M33" s="12"/>
      <c r="N33" s="12"/>
      <c r="O33" s="103">
        <f>VLOOKUP(O$29,BalanceSheet!$A$1:$Y$225,$D33+1,FALSE)/1000000</f>
        <v>302510</v>
      </c>
      <c r="P33" s="13">
        <f>IF(F$31="thousands",F33*1000,IF(F$31="Millions",F33*1000000,IF(F$31="Billions",F33*1000000000,IF(F$31="Total",F33,IF(F$31="per Share",F33,Error)))))</f>
        <v>4897000000</v>
      </c>
      <c r="Q33" s="97">
        <f>IF(B33="No","No",IF(E$31="thousands",E33*1000/$P33,IF(E$31="Millions",E33*1000000/$P33,IF(E$31="Billions",E33*1000000000/$P33,IF(E$31="Total",E33/$P33,IF(E$31="per Share",E33,Error))))))</f>
        <v>6.22013477639371</v>
      </c>
      <c r="R33" s="14">
        <f>IF(K$31="thousands",K33*1000/$P33,IF(K$31="Millions",K33*1000000/$P33,IF(K$31="Billions",K33*1000000000/$P33,IF(K$31="Total",K33/$P33,IF(K$31="per Share",K33,Error)))))</f>
        <v>1.7353481723504187</v>
      </c>
      <c r="S33" s="14">
        <f t="shared" ref="S33:S42" si="4">Q33-R33</f>
        <v>4.4847866040432915</v>
      </c>
      <c r="T33" s="14">
        <f t="shared" ref="T33:T42" si="5">IF(OR(G33="",H33=""),G33+H33,(G33+H33)/2)</f>
        <v>64.814999999999998</v>
      </c>
      <c r="U33" s="15" t="e">
        <f t="shared" si="1"/>
        <v>#VALUE!</v>
      </c>
      <c r="V33" s="14">
        <f>IF(I$31="thousands",I33*1000/$P33,IF(I$31="Millions",I33*1000000/$P33,IF(I$31="Billions",I33*1000000000/$P33,IF(I$31="Total",I33/$P33,IF(I$31="per Share",I33,Error)))))</f>
        <v>0.56912395344088218</v>
      </c>
      <c r="W33" s="14">
        <f>IF(J$31="thousands",J33*1000/$P33,IF(J$31="Millions",J33*1000000/$P33,IF(J$31="Billions",J33*1000000000/$P33,IF(J$31="Total",J33/$P33,IF(J$31="per Share",J33,Error)))))</f>
        <v>2.496834796814376</v>
      </c>
      <c r="X33" s="16">
        <f t="shared" ref="X33:X42" si="6">W33/Q33</f>
        <v>0.40141168745896261</v>
      </c>
      <c r="Y33" s="14">
        <f>IF(L$31="thousands",L33*1000/$P33,IF(L$31="Millions",L33*1000000/$P33,IF(L$31="Billions",L33*1000000000/$P33,IF(L$31="Total",L33/$P33,IF(L$31="per Share",L33,Error)))))</f>
        <v>29.985501327343272</v>
      </c>
      <c r="Z33" s="14">
        <f>IF(M$31="thousands",M33*1000/$P33,IF(M$31="Millions",M33*1000000/$P33,IF(M$31="Billions",M33*1000000000/$P33,IF(M$31="Total",M33/$P33,IF(M$31="per Share",M33,Error)))))+IF(N$31="thousands",N33*1000/$P33,IF(N$31="Millions",N33*1000000/$P33,IF(N$31="Billions",N33*1000000000/$P33,IF(N$31="Total",N33/$P33,IF(N$31="per Share",N33,Error)))))</f>
        <v>0</v>
      </c>
      <c r="AA33" s="17">
        <f t="shared" ref="AA33:AA42" si="7">IF(B33="No","No",Y33-Z33)</f>
        <v>29.985501327343272</v>
      </c>
      <c r="AB33" s="17">
        <f>IF(O$31="thousands",O33*1000/$P33,IF(O$31="Millions",O33*1000000/$P33,IF(O$31="Billions",O33*1000000000/$P33,IF(O$31="Total",O33/$P33,IF(O$31="per Share",O33,Error)))))</f>
        <v>61.774555850520727</v>
      </c>
      <c r="AC33" s="19" t="e">
        <f>IF(Q33="","",(Q33-Q32)/Q32)</f>
        <v>#VALUE!</v>
      </c>
      <c r="AD33" s="19">
        <f>Q33/Y33</f>
        <v>0.20743807843965156</v>
      </c>
      <c r="AE33" s="19">
        <f t="shared" si="2"/>
        <v>0.18819546131366116</v>
      </c>
      <c r="AF33" s="19" t="str">
        <f>IF(AND(ISNUMBER(Q32),B33="YES"),(Q33-Q32)/S32,"NO")</f>
        <v>NO</v>
      </c>
      <c r="AG33" s="106">
        <f t="shared" si="3"/>
        <v>2.1615446509442315</v>
      </c>
      <c r="AH33" s="107">
        <f t="shared" ref="AH33:AH41" si="8">Q33/AB33</f>
        <v>0.10069088625169416</v>
      </c>
      <c r="AJ33" s="20"/>
      <c r="AK33" s="6"/>
    </row>
    <row r="34" spans="1:37" x14ac:dyDescent="0.3">
      <c r="B34" s="136" t="str">
        <f t="shared" ref="B34:B41" si="9">IF(ISNUMBER(G34),"Yes","No")</f>
        <v>Yes</v>
      </c>
      <c r="C34" s="10">
        <f t="shared" si="0"/>
        <v>2011</v>
      </c>
      <c r="D34" s="11">
        <f t="shared" ref="D34:D42" si="10">D33+1</f>
        <v>2</v>
      </c>
      <c r="E34" s="78">
        <f>VLOOKUP(E$29,IncomeStatement!$A$1:$K$204,$D34+1,FALSE)/1000000</f>
        <v>41060</v>
      </c>
      <c r="F34" s="79">
        <f>VLOOKUP(F$29,IncomeStatement!$O$2:$Y$225,$D34+1,FALSE)/1000000</f>
        <v>4875</v>
      </c>
      <c r="G34" s="119">
        <f>VLOOKUP(C34,'Historical Prices'!$N$3:$U$20,MATCH(Summary!$G$29,'Historical Prices'!$N$2:$U$2,0),0)</f>
        <v>67.03</v>
      </c>
      <c r="H34" s="120">
        <f>VLOOKUP(C34,'Historical Prices'!$N$3:$U$20,MATCH(Summary!$H$29,'Historical Prices'!$N$2:$U$2,0),0)</f>
        <v>88.23</v>
      </c>
      <c r="I34" s="80">
        <f>VLOOKUP(I$29,BalanceSheet!$A$1:$K$225,$D34+1,FALSE)/1000000</f>
        <v>7711</v>
      </c>
      <c r="J34" s="82">
        <f>VLOOKUP(J$29,BalanceSheet!$A$1:$L$225,$D34+1,FALSE)/1000000</f>
        <v>9322</v>
      </c>
      <c r="K34" s="81">
        <f>-VLOOKUP(K$29,CashFlow!$A$1:$K$225,$D34+1,FALSE)/1000000</f>
        <v>9020</v>
      </c>
      <c r="L34" s="83">
        <f>VLOOKUP(L$29,BalanceSheet!$A$1:$Y$225,$D34+1,FALSE)/1000000</f>
        <v>154396</v>
      </c>
      <c r="M34" s="12"/>
      <c r="N34" s="12"/>
      <c r="O34" s="103">
        <f>VLOOKUP(O$29,BalanceSheet!$A$1:$Y$225,$D34+1,FALSE)/1000000</f>
        <v>331052</v>
      </c>
      <c r="P34" s="13">
        <f>IF(F$31="thousands",F34*1000,IF(F$31="Millions",F34*1000000,IF(F$31="Billions",F34*1000000000,IF(F$31="Total",F34,IF(F$31="per Share",F34,Error)))))</f>
        <v>4875000000</v>
      </c>
      <c r="Q34" s="97">
        <f>IF(B34="No","No",IF(E$31="thousands",E34*1000/$P34,IF(E$31="Millions",E34*1000000/$P34,IF(E$31="Billions",E34*1000000000/$P34,IF(E$31="Total",E34/$P34,IF(E$31="per Share",E34,Error))))))</f>
        <v>8.4225641025641025</v>
      </c>
      <c r="R34" s="14">
        <f>IF(K$31="thousands",K34*1000/$P34,IF(K$31="Millions",K34*1000000/$P34,IF(K$31="Billions",K34*1000000000/$P34,IF(K$31="Total",K34/$P34,IF(K$31="per Share",K34,Error)))))</f>
        <v>1.8502564102564103</v>
      </c>
      <c r="S34" s="14">
        <f t="shared" si="4"/>
        <v>6.5723076923076924</v>
      </c>
      <c r="T34" s="14">
        <f t="shared" si="5"/>
        <v>77.63</v>
      </c>
      <c r="U34" s="15" t="e">
        <f t="shared" si="1"/>
        <v>#VALUE!</v>
      </c>
      <c r="V34" s="14">
        <f>IF(I$31="thousands",I34*1000/$P34,IF(I$31="Millions",I34*1000000/$P34,IF(I$31="Billions",I34*1000000000/$P34,IF(I$31="Total",I34/$P34,IF(I$31="per Share",I34,Error)))))</f>
        <v>1.5817435897435896</v>
      </c>
      <c r="W34" s="14">
        <f>IF(J$31="thousands",J34*1000/$P34,IF(J$31="Millions",J34*1000000/$P34,IF(J$31="Billions",J34*1000000000/$P34,IF(J$31="Total",J34/$P34,IF(J$31="per Share",J34,Error)))))</f>
        <v>1.9122051282051282</v>
      </c>
      <c r="X34" s="16">
        <f t="shared" si="6"/>
        <v>0.22703360935216757</v>
      </c>
      <c r="Y34" s="14">
        <f>IF(L$31="thousands",L34*1000/$P34,IF(L$31="Millions",L34*1000000/$P34,IF(L$31="Billions",L34*1000000000/$P34,IF(L$31="Total",L34/$P34,IF(L$31="per Share",L34,Error)))))</f>
        <v>31.670974358974359</v>
      </c>
      <c r="Z34" s="14">
        <f>IF(M$31="thousands",M34*1000/$P34,IF(M$31="Millions",M34*1000000/$P34,IF(M$31="Billions",M34*1000000000/$P34,IF(M$31="Total",M34/$P34,IF(M$31="per Share",M34,Error)))))+IF(N$31="thousands",N34*1000/$P34,IF(N$31="Millions",N34*1000000/$P34,IF(N$31="Billions",N34*1000000000/$P34,IF(N$31="Total",N34/$P34,IF(N$31="per Share",N34,Error)))))</f>
        <v>0</v>
      </c>
      <c r="AA34" s="17">
        <f t="shared" si="7"/>
        <v>31.670974358974359</v>
      </c>
      <c r="AB34" s="17">
        <f>IF(O$31="thousands",O34*1000/$P34,IF(O$31="Millions",O34*1000000/$P34,IF(O$31="Billions",O34*1000000000/$P34,IF(O$31="Total",O34/$P34,IF(O$31="per Share",O34,Error)))))</f>
        <v>67.908102564102563</v>
      </c>
      <c r="AC34" s="19">
        <f t="shared" ref="AC34:AC42" si="11">IF(Q34="","",(Q34-Q33)/Q33)</f>
        <v>0.35408064380355919</v>
      </c>
      <c r="AD34" s="19">
        <f t="shared" ref="AD34:AD42" si="12">Q34/Y34</f>
        <v>0.26593953211223087</v>
      </c>
      <c r="AE34" s="19">
        <f t="shared" si="2"/>
        <v>0.23951606787649699</v>
      </c>
      <c r="AF34" s="19">
        <f t="shared" ref="AF34:AF42" si="13">IF(AND(ISNUMBER(Q33),B34="YES"),(Q34-Q33)/S33,"NO")</f>
        <v>0.49108899054077099</v>
      </c>
      <c r="AG34" s="106">
        <f t="shared" si="3"/>
        <v>2.4511402497474029</v>
      </c>
      <c r="AH34" s="107">
        <f t="shared" si="8"/>
        <v>0.12402885347317037</v>
      </c>
      <c r="AJ34" s="20"/>
      <c r="AK34" s="6"/>
    </row>
    <row r="35" spans="1:37" x14ac:dyDescent="0.3">
      <c r="B35" s="136" t="str">
        <f t="shared" si="9"/>
        <v>Yes</v>
      </c>
      <c r="C35" s="10">
        <f t="shared" si="0"/>
        <v>2012</v>
      </c>
      <c r="D35" s="11">
        <f t="shared" si="10"/>
        <v>3</v>
      </c>
      <c r="E35" s="78">
        <f>VLOOKUP(E$29,IncomeStatement!$A$1:$K$204,$D35+1,FALSE)/1000000</f>
        <v>44880</v>
      </c>
      <c r="F35" s="79">
        <f>VLOOKUP(F$29,IncomeStatement!$O$2:$Y$225,$D35+1,FALSE)/1000000</f>
        <v>4628</v>
      </c>
      <c r="G35" s="119">
        <f>VLOOKUP(C35,'Historical Prices'!$N$3:$U$20,MATCH(Summary!$G$29,'Historical Prices'!$N$2:$U$2,0),0)</f>
        <v>77.13</v>
      </c>
      <c r="H35" s="120">
        <f>VLOOKUP(C35,'Historical Prices'!$N$3:$U$20,MATCH(Summary!$H$29,'Historical Prices'!$N$2:$U$2,0),0)</f>
        <v>93.67</v>
      </c>
      <c r="I35" s="80">
        <f>VLOOKUP(I$29,BalanceSheet!$A$1:$K$225,$D35+1,FALSE)/1000000</f>
        <v>3653</v>
      </c>
      <c r="J35" s="82">
        <f>VLOOKUP(J$29,BalanceSheet!$A$1:$L$225,$D35+1,FALSE)/1000000</f>
        <v>7928</v>
      </c>
      <c r="K35" s="81">
        <f>-VLOOKUP(K$29,CashFlow!$A$1:$K$225,$D35+1,FALSE)/1000000</f>
        <v>10092</v>
      </c>
      <c r="L35" s="83">
        <f>VLOOKUP(L$29,BalanceSheet!$A$1:$Y$225,$D35+1,FALSE)/1000000</f>
        <v>165863</v>
      </c>
      <c r="M35" s="12"/>
      <c r="N35" s="12"/>
      <c r="O35" s="103">
        <f>VLOOKUP(O$29,BalanceSheet!$A$1:$Y$225,$D35+1,FALSE)/1000000</f>
        <v>333795</v>
      </c>
      <c r="P35" s="13">
        <f>IF(F$31="thousands",F35*1000,IF(F$31="Millions",F35*1000000,IF(F$31="Billions",F35*1000000000,IF(F$31="Total",F35,IF(F$31="per Share",F35,Error)))))</f>
        <v>4628000000</v>
      </c>
      <c r="Q35" s="97">
        <f>IF(B35="No","No",IF(E$31="thousands",E35*1000/$P35,IF(E$31="Millions",E35*1000000/$P35,IF(E$31="Billions",E35*1000000000/$P35,IF(E$31="Total",E35/$P35,IF(E$31="per Share",E35,Error))))))</f>
        <v>9.697493517718236</v>
      </c>
      <c r="R35" s="14">
        <f>IF(K$31="thousands",K35*1000/$P35,IF(K$31="Millions",K35*1000000/$P35,IF(K$31="Billions",K35*1000000000/$P35,IF(K$31="Total",K35/$P35,IF(K$31="per Share",K35,Error)))))</f>
        <v>2.1806395851339673</v>
      </c>
      <c r="S35" s="14">
        <f t="shared" si="4"/>
        <v>7.5168539325842687</v>
      </c>
      <c r="T35" s="14">
        <f t="shared" si="5"/>
        <v>85.4</v>
      </c>
      <c r="U35" s="15" t="e">
        <f t="shared" si="1"/>
        <v>#VALUE!</v>
      </c>
      <c r="V35" s="14">
        <f>IF(I$31="thousands",I35*1000/$P35,IF(I$31="Millions",I35*1000000/$P35,IF(I$31="Billions",I35*1000000000/$P35,IF(I$31="Total",I35/$P35,IF(I$31="per Share",I35,Error)))))</f>
        <v>0.7893258426966292</v>
      </c>
      <c r="W35" s="14">
        <f>IF(J$31="thousands",J35*1000/$P35,IF(J$31="Millions",J35*1000000/$P35,IF(J$31="Billions",J35*1000000000/$P35,IF(J$31="Total",J35/$P35,IF(J$31="per Share",J35,Error)))))</f>
        <v>1.7130509939498704</v>
      </c>
      <c r="X35" s="16">
        <f t="shared" si="6"/>
        <v>0.17664884135472372</v>
      </c>
      <c r="Y35" s="14">
        <f>IF(L$31="thousands",L35*1000/$P35,IF(L$31="Millions",L35*1000000/$P35,IF(L$31="Billions",L35*1000000000/$P35,IF(L$31="Total",L35/$P35,IF(L$31="per Share",L35,Error)))))</f>
        <v>35.839023336214346</v>
      </c>
      <c r="Z35" s="14">
        <f>IF(M$31="thousands",M35*1000/$P35,IF(M$31="Millions",M35*1000000/$P35,IF(M$31="Billions",M35*1000000000/$P35,IF(M$31="Total",M35/$P35,IF(M$31="per Share",M35,Error)))))+IF(N$31="thousands",N35*1000/$P35,IF(N$31="Millions",N35*1000000/$P35,IF(N$31="Billions",N35*1000000000/$P35,IF(N$31="Total",N35/$P35,IF(N$31="per Share",N35,Error)))))</f>
        <v>0</v>
      </c>
      <c r="AA35" s="17">
        <f t="shared" si="7"/>
        <v>35.839023336214346</v>
      </c>
      <c r="AB35" s="17">
        <f>IF(O$31="thousands",O35*1000/$P35,IF(O$31="Millions",O35*1000000/$P35,IF(O$31="Billions",O35*1000000000/$P35,IF(O$31="Total",O35/$P35,IF(O$31="per Share",O35,Error)))))</f>
        <v>72.125108038029381</v>
      </c>
      <c r="AC35" s="19">
        <f t="shared" si="11"/>
        <v>0.15137069894974187</v>
      </c>
      <c r="AD35" s="19">
        <f t="shared" si="12"/>
        <v>0.270584759711328</v>
      </c>
      <c r="AE35" s="19">
        <f t="shared" si="2"/>
        <v>0.25292486643673495</v>
      </c>
      <c r="AF35" s="19">
        <f t="shared" si="13"/>
        <v>0.19398504678141076</v>
      </c>
      <c r="AG35" s="106">
        <f t="shared" si="3"/>
        <v>2.3828774349915296</v>
      </c>
      <c r="AH35" s="107">
        <f t="shared" si="8"/>
        <v>0.13445378151260504</v>
      </c>
      <c r="AJ35" s="20"/>
      <c r="AK35" s="6"/>
    </row>
    <row r="36" spans="1:37" x14ac:dyDescent="0.3">
      <c r="A36" s="21"/>
      <c r="B36" s="136" t="str">
        <f t="shared" si="9"/>
        <v>Yes</v>
      </c>
      <c r="C36" s="10">
        <f t="shared" si="0"/>
        <v>2013</v>
      </c>
      <c r="D36" s="11">
        <f t="shared" si="10"/>
        <v>4</v>
      </c>
      <c r="E36" s="78">
        <f>VLOOKUP(E$29,IncomeStatement!$A$1:$K$204,$D36+1,FALSE)/1000000</f>
        <v>32580</v>
      </c>
      <c r="F36" s="79">
        <f>VLOOKUP(F$29,IncomeStatement!$O$2:$Y$225,$D36+1,FALSE)/1000000</f>
        <v>4419</v>
      </c>
      <c r="G36" s="119">
        <f>VLOOKUP(C36,'Historical Prices'!$N$3:$U$20,MATCH(Summary!$G$29,'Historical Prices'!$N$2:$U$2,0),0)</f>
        <v>84.79</v>
      </c>
      <c r="H36" s="120">
        <f>VLOOKUP(C36,'Historical Prices'!$N$3:$U$20,MATCH(Summary!$H$29,'Historical Prices'!$N$2:$U$2,0),0)</f>
        <v>101.74</v>
      </c>
      <c r="I36" s="80">
        <f>VLOOKUP(I$29,BalanceSheet!$A$1:$K$225,$D36+1,FALSE)/1000000</f>
        <v>15808</v>
      </c>
      <c r="J36" s="82">
        <f>VLOOKUP(J$29,BalanceSheet!$A$1:$L$225,$D36+1,FALSE)/1000000</f>
        <v>6891</v>
      </c>
      <c r="K36" s="81">
        <f>-VLOOKUP(K$29,CashFlow!$A$1:$K$225,$D36+1,FALSE)/1000000</f>
        <v>10875</v>
      </c>
      <c r="L36" s="83">
        <f>VLOOKUP(L$29,BalanceSheet!$A$1:$Y$225,$D36+1,FALSE)/1000000</f>
        <v>174003</v>
      </c>
      <c r="M36" s="12"/>
      <c r="N36" s="12"/>
      <c r="O36" s="103">
        <f>VLOOKUP(O$29,BalanceSheet!$A$1:$Y$225,$D36+1,FALSE)/1000000</f>
        <v>346808</v>
      </c>
      <c r="P36" s="13">
        <f>IF(F$31="thousands",F36*1000,IF(F$31="Millions",F36*1000000,IF(F$31="Billions",F36*1000000000,IF(F$31="Total",F36,IF(F$31="per Share",F36,Error)))))</f>
        <v>4419000000</v>
      </c>
      <c r="Q36" s="97">
        <f>IF(B36="No","No",IF(E$31="thousands",E36*1000/$P36,IF(E$31="Millions",E36*1000000/$P36,IF(E$31="Billions",E36*1000000000/$P36,IF(E$31="Total",E36/$P36,IF(E$31="per Share",E36,Error))))))</f>
        <v>7.3727087576374748</v>
      </c>
      <c r="R36" s="14">
        <f>IF(K$31="thousands",K36*1000/$P36,IF(K$31="Millions",K36*1000000/$P36,IF(K$31="Billions",K36*1000000000/$P36,IF(K$31="Total",K36/$P36,IF(K$31="per Share",K36,Error)))))</f>
        <v>2.4609640190088253</v>
      </c>
      <c r="S36" s="14">
        <f t="shared" si="4"/>
        <v>4.9117447386286495</v>
      </c>
      <c r="T36" s="14">
        <f t="shared" si="5"/>
        <v>93.265000000000001</v>
      </c>
      <c r="U36" s="15" t="e">
        <f t="shared" si="1"/>
        <v>#VALUE!</v>
      </c>
      <c r="V36" s="14">
        <f>IF(I$31="thousands",I36*1000/$P36,IF(I$31="Millions",I36*1000000/$P36,IF(I$31="Billions",I36*1000000000/$P36,IF(I$31="Total",I36/$P36,IF(I$31="per Share",I36,Error)))))</f>
        <v>3.5772799275854266</v>
      </c>
      <c r="W36" s="14">
        <f>IF(J$31="thousands",J36*1000/$P36,IF(J$31="Millions",J36*1000000/$P36,IF(J$31="Billions",J36*1000000000/$P36,IF(J$31="Total",J36/$P36,IF(J$31="per Share",J36,Error)))))</f>
        <v>1.5594025797691786</v>
      </c>
      <c r="X36" s="16">
        <f t="shared" si="6"/>
        <v>0.21151012891344384</v>
      </c>
      <c r="Y36" s="14">
        <f>IF(L$31="thousands",L36*1000/$P36,IF(L$31="Millions",L36*1000000/$P36,IF(L$31="Billions",L36*1000000000/$P36,IF(L$31="Total",L36/$P36,IF(L$31="per Share",L36,Error)))))</f>
        <v>39.376103190767139</v>
      </c>
      <c r="Z36" s="14">
        <f>IF(M$31="thousands",M36*1000/$P36,IF(M$31="Millions",M36*1000000/$P36,IF(M$31="Billions",M36*1000000000/$P36,IF(M$31="Total",M36/$P36,IF(M$31="per Share",M36,Error)))))+IF(N$31="thousands",N36*1000/$P36,IF(N$31="Millions",N36*1000000/$P36,IF(N$31="Billions",N36*1000000000/$P36,IF(N$31="Total",N36/$P36,IF(N$31="per Share",N36,Error)))))</f>
        <v>0</v>
      </c>
      <c r="AA36" s="17">
        <f t="shared" si="7"/>
        <v>39.376103190767139</v>
      </c>
      <c r="AB36" s="17">
        <f>IF(O$31="thousands",O36*1000/$P36,IF(O$31="Millions",O36*1000000/$P36,IF(O$31="Billions",O36*1000000000/$P36,IF(O$31="Total",O36/$P36,IF(O$31="per Share",O36,Error)))))</f>
        <v>78.481104322244846</v>
      </c>
      <c r="AC36" s="19">
        <f t="shared" si="11"/>
        <v>-0.23973047837909456</v>
      </c>
      <c r="AD36" s="19">
        <f t="shared" si="12"/>
        <v>0.18723815106636094</v>
      </c>
      <c r="AE36" s="19">
        <f t="shared" si="2"/>
        <v>0.16563125946863785</v>
      </c>
      <c r="AF36" s="19">
        <f t="shared" si="13"/>
        <v>-0.30927629842628962</v>
      </c>
      <c r="AG36" s="106">
        <f t="shared" si="3"/>
        <v>2.3685685591627732</v>
      </c>
      <c r="AH36" s="107">
        <f t="shared" si="8"/>
        <v>9.3942469608544216E-2</v>
      </c>
      <c r="AJ36" s="20"/>
      <c r="AK36" s="6"/>
    </row>
    <row r="37" spans="1:37" x14ac:dyDescent="0.3">
      <c r="A37" s="21"/>
      <c r="B37" s="136" t="str">
        <f t="shared" si="9"/>
        <v>Yes</v>
      </c>
      <c r="C37" s="10">
        <f t="shared" si="0"/>
        <v>2014</v>
      </c>
      <c r="D37" s="11">
        <f t="shared" si="10"/>
        <v>5</v>
      </c>
      <c r="E37" s="78">
        <f>VLOOKUP(E$29,IncomeStatement!$A$1:$K$204,$D37+1,FALSE)/1000000</f>
        <v>32520</v>
      </c>
      <c r="F37" s="79">
        <f>VLOOKUP(F$29,IncomeStatement!$O$2:$Y$225,$D37+1,FALSE)/1000000</f>
        <v>4282</v>
      </c>
      <c r="G37" s="119">
        <f>VLOOKUP(C37,'Historical Prices'!$N$3:$U$20,MATCH(Summary!$G$29,'Historical Prices'!$N$2:$U$2,0),0)</f>
        <v>86.19</v>
      </c>
      <c r="H37" s="120">
        <f>VLOOKUP(C37,'Historical Prices'!$N$3:$U$20,MATCH(Summary!$H$29,'Historical Prices'!$N$2:$U$2,0),0)</f>
        <v>104.76</v>
      </c>
      <c r="I37" s="80">
        <f>VLOOKUP(I$29,BalanceSheet!$A$1:$K$225,$D37+1,FALSE)/1000000</f>
        <v>17468</v>
      </c>
      <c r="J37" s="82">
        <f>VLOOKUP(J$29,BalanceSheet!$A$1:$L$225,$D37+1,FALSE)/1000000</f>
        <v>11653</v>
      </c>
      <c r="K37" s="81">
        <f>-VLOOKUP(K$29,CashFlow!$A$1:$K$225,$D37+1,FALSE)/1000000</f>
        <v>11568</v>
      </c>
      <c r="L37" s="83">
        <f>VLOOKUP(L$29,BalanceSheet!$A$1:$Y$225,$D37+1,FALSE)/1000000</f>
        <v>174399</v>
      </c>
      <c r="M37" s="12"/>
      <c r="N37" s="12"/>
      <c r="O37" s="103">
        <f>VLOOKUP(O$29,BalanceSheet!$A$1:$Y$225,$D37+1,FALSE)/1000000</f>
        <v>349493</v>
      </c>
      <c r="P37" s="13">
        <f>IF(F$31="thousands",F37*1000,IF(F$31="Millions",F37*1000000,IF(F$31="Billions",F37*1000000000,IF(F$31="Total",F37,IF(F$31="per Share",F37,Error)))))</f>
        <v>4282000000</v>
      </c>
      <c r="Q37" s="97">
        <f>IF(B37="No","No",IF(E$31="thousands",E37*1000/$P37,IF(E$31="Millions",E37*1000000/$P37,IF(E$31="Billions",E37*1000000000/$P37,IF(E$31="Total",E37/$P37,IF(E$31="per Share",E37,Error))))))</f>
        <v>7.5945819710415696</v>
      </c>
      <c r="R37" s="14">
        <f>IF(K$31="thousands",K37*1000/$P37,IF(K$31="Millions",K37*1000000/$P37,IF(K$31="Billions",K37*1000000000/$P37,IF(K$31="Total",K37/$P37,IF(K$31="per Share",K37,Error)))))</f>
        <v>2.7015413358243809</v>
      </c>
      <c r="S37" s="14">
        <f t="shared" si="4"/>
        <v>4.8930406352171882</v>
      </c>
      <c r="T37" s="14">
        <f t="shared" si="5"/>
        <v>95.474999999999994</v>
      </c>
      <c r="U37" s="15" t="e">
        <f t="shared" si="1"/>
        <v>#VALUE!</v>
      </c>
      <c r="V37" s="14">
        <f>IF(I$31="thousands",I37*1000/$P37,IF(I$31="Millions",I37*1000000/$P37,IF(I$31="Billions",I37*1000000000/$P37,IF(I$31="Total",I37/$P37,IF(I$31="per Share",I37,Error)))))</f>
        <v>4.0794021485287253</v>
      </c>
      <c r="W37" s="14">
        <f>IF(J$31="thousands",J37*1000/$P37,IF(J$31="Millions",J37*1000000/$P37,IF(J$31="Billions",J37*1000000000/$P37,IF(J$31="Total",J37/$P37,IF(J$31="per Share",J37,Error)))))</f>
        <v>2.7213918729565623</v>
      </c>
      <c r="X37" s="16">
        <f t="shared" si="6"/>
        <v>0.35833333333333328</v>
      </c>
      <c r="Y37" s="14">
        <f>IF(L$31="thousands",L37*1000/$P37,IF(L$31="Millions",L37*1000000/$P37,IF(L$31="Billions",L37*1000000000/$P37,IF(L$31="Total",L37/$P37,IF(L$31="per Share",L37,Error)))))</f>
        <v>40.728397944885565</v>
      </c>
      <c r="Z37" s="14">
        <f>IF(M$31="thousands",M37*1000/$P37,IF(M$31="Millions",M37*1000000/$P37,IF(M$31="Billions",M37*1000000000/$P37,IF(M$31="Total",M37/$P37,IF(M$31="per Share",M37,Error)))))+IF(N$31="thousands",N37*1000/$P37,IF(N$31="Millions",N37*1000000/$P37,IF(N$31="Billions",N37*1000000000/$P37,IF(N$31="Total",N37/$P37,IF(N$31="per Share",N37,Error)))))</f>
        <v>0</v>
      </c>
      <c r="AA37" s="17">
        <f t="shared" si="7"/>
        <v>40.728397944885565</v>
      </c>
      <c r="AB37" s="17">
        <f>IF(O$31="thousands",O37*1000/$P37,IF(O$31="Millions",O37*1000000/$P37,IF(O$31="Billions",O37*1000000000/$P37,IF(O$31="Total",O37/$P37,IF(O$31="per Share",O37,Error)))))</f>
        <v>81.619103222793086</v>
      </c>
      <c r="AC37" s="19">
        <f t="shared" si="11"/>
        <v>3.009385297829021E-2</v>
      </c>
      <c r="AD37" s="19">
        <f t="shared" si="12"/>
        <v>0.18646895911100408</v>
      </c>
      <c r="AE37" s="19">
        <f t="shared" si="2"/>
        <v>0.15978773584905662</v>
      </c>
      <c r="AF37" s="19">
        <f t="shared" si="13"/>
        <v>4.5171975583169544E-2</v>
      </c>
      <c r="AG37" s="106">
        <f t="shared" si="3"/>
        <v>2.3441874666712539</v>
      </c>
      <c r="AH37" s="107">
        <f t="shared" si="8"/>
        <v>9.3049073944256405E-2</v>
      </c>
      <c r="AJ37" s="20"/>
      <c r="AK37" s="6"/>
    </row>
    <row r="38" spans="1:37" x14ac:dyDescent="0.3">
      <c r="A38" s="21"/>
      <c r="B38" s="136" t="str">
        <f t="shared" si="9"/>
        <v>Yes</v>
      </c>
      <c r="C38" s="10">
        <f t="shared" si="0"/>
        <v>2015</v>
      </c>
      <c r="D38" s="11">
        <f t="shared" si="10"/>
        <v>6</v>
      </c>
      <c r="E38" s="78">
        <f>VLOOKUP(E$29,IncomeStatement!$A$1:$K$204,$D38+1,FALSE)/1000000</f>
        <v>16150</v>
      </c>
      <c r="F38" s="79">
        <f>VLOOKUP(F$29,IncomeStatement!$O$2:$Y$225,$D38+1,FALSE)/1000000</f>
        <v>4196</v>
      </c>
      <c r="G38" s="119">
        <f>VLOOKUP(C38,'Historical Prices'!$N$3:$U$20,MATCH(Summary!$G$29,'Historical Prices'!$N$2:$U$2,0),0)</f>
        <v>66.55</v>
      </c>
      <c r="H38" s="120">
        <f>VLOOKUP(C38,'Historical Prices'!$N$3:$U$20,MATCH(Summary!$H$29,'Historical Prices'!$N$2:$U$2,0),0)</f>
        <v>93.45</v>
      </c>
      <c r="I38" s="80">
        <f>VLOOKUP(I$29,BalanceSheet!$A$1:$K$225,$D38+1,FALSE)/1000000</f>
        <v>18762</v>
      </c>
      <c r="J38" s="82">
        <f>VLOOKUP(J$29,BalanceSheet!$A$1:$L$225,$D38+1,FALSE)/1000000</f>
        <v>19925</v>
      </c>
      <c r="K38" s="81">
        <f>-VLOOKUP(K$29,CashFlow!$A$1:$K$225,$D38+1,FALSE)/1000000</f>
        <v>12090</v>
      </c>
      <c r="L38" s="83">
        <f>VLOOKUP(L$29,BalanceSheet!$A$1:$Y$225,$D38+1,FALSE)/1000000</f>
        <v>170811</v>
      </c>
      <c r="M38" s="12"/>
      <c r="N38" s="12"/>
      <c r="O38" s="103">
        <f>VLOOKUP(O$29,BalanceSheet!$A$1:$Y$225,$D38+1,FALSE)/1000000</f>
        <v>336758</v>
      </c>
      <c r="P38" s="13">
        <f>IF(F$31="thousands",F38*1000,IF(F$31="Millions",F38*1000000,IF(F$31="Billions",F38*1000000000,IF(F$31="Total",F38,IF(F$31="per Share",F38,Error)))))</f>
        <v>4196000000</v>
      </c>
      <c r="Q38" s="97">
        <f>IF(B38="No","No",IF(E$31="thousands",E38*1000/$P38,IF(E$31="Millions",E38*1000000/$P38,IF(E$31="Billions",E38*1000000000/$P38,IF(E$31="Total",E38/$P38,IF(E$31="per Share",E38,Error))))))</f>
        <v>3.8489037178265013</v>
      </c>
      <c r="R38" s="14">
        <f>IF(K$31="thousands",K38*1000/$P38,IF(K$31="Millions",K38*1000000/$P38,IF(K$31="Billions",K38*1000000000/$P38,IF(K$31="Total",K38/$P38,IF(K$31="per Share",K38,Error)))))</f>
        <v>2.8813155386081983</v>
      </c>
      <c r="S38" s="14">
        <f t="shared" si="4"/>
        <v>0.96758817921830298</v>
      </c>
      <c r="T38" s="14">
        <f t="shared" si="5"/>
        <v>80</v>
      </c>
      <c r="U38" s="15" t="e">
        <f t="shared" si="1"/>
        <v>#VALUE!</v>
      </c>
      <c r="V38" s="14">
        <f>IF(I$31="thousands",I38*1000/$P38,IF(I$31="Millions",I38*1000000/$P38,IF(I$31="Billions",I38*1000000000/$P38,IF(I$31="Total",I38/$P38,IF(I$31="per Share",I38,Error)))))</f>
        <v>4.4714013346043853</v>
      </c>
      <c r="W38" s="14">
        <f>IF(J$31="thousands",J38*1000/$P38,IF(J$31="Millions",J38*1000000/$P38,IF(J$31="Billions",J38*1000000000/$P38,IF(J$31="Total",J38/$P38,IF(J$31="per Share",J38,Error)))))</f>
        <v>4.7485700667302195</v>
      </c>
      <c r="X38" s="16">
        <f t="shared" si="6"/>
        <v>1.2337461300309598</v>
      </c>
      <c r="Y38" s="14">
        <f>IF(L$31="thousands",L38*1000/$P38,IF(L$31="Millions",L38*1000000/$P38,IF(L$31="Billions",L38*1000000000/$P38,IF(L$31="Total",L38/$P38,IF(L$31="per Share",L38,Error)))))</f>
        <v>40.708055290753101</v>
      </c>
      <c r="Z38" s="14">
        <f>IF(M$31="thousands",M38*1000/$P38,IF(M$31="Millions",M38*1000000/$P38,IF(M$31="Billions",M38*1000000000/$P38,IF(M$31="Total",M38/$P38,IF(M$31="per Share",M38,Error)))))+IF(N$31="thousands",N38*1000/$P38,IF(N$31="Millions",N38*1000000/$P38,IF(N$31="Billions",N38*1000000000/$P38,IF(N$31="Total",N38/$P38,IF(N$31="per Share",N38,Error)))))</f>
        <v>0</v>
      </c>
      <c r="AA38" s="17">
        <f t="shared" si="7"/>
        <v>40.708055290753101</v>
      </c>
      <c r="AB38" s="17">
        <f>IF(O$31="thousands",O38*1000/$P38,IF(O$31="Millions",O38*1000000/$P38,IF(O$31="Billions",O38*1000000000/$P38,IF(O$31="Total",O38/$P38,IF(O$31="per Share",O38,Error)))))</f>
        <v>80.256911344137279</v>
      </c>
      <c r="AC38" s="19">
        <f t="shared" si="11"/>
        <v>-0.49320400615826943</v>
      </c>
      <c r="AD38" s="19">
        <f t="shared" si="12"/>
        <v>9.4548945910977622E-2</v>
      </c>
      <c r="AE38" s="19">
        <f t="shared" si="2"/>
        <v>7.708904142282981E-2</v>
      </c>
      <c r="AF38" s="19">
        <f t="shared" si="13"/>
        <v>-0.76551137267406077</v>
      </c>
      <c r="AG38" s="106">
        <f t="shared" si="3"/>
        <v>1.9652130132134347</v>
      </c>
      <c r="AH38" s="107">
        <f t="shared" si="8"/>
        <v>4.7957286835056623E-2</v>
      </c>
      <c r="AJ38" s="20"/>
      <c r="AK38" s="6"/>
    </row>
    <row r="39" spans="1:37" x14ac:dyDescent="0.3">
      <c r="B39" s="136" t="str">
        <f t="shared" si="9"/>
        <v>Yes</v>
      </c>
      <c r="C39" s="10">
        <f t="shared" si="0"/>
        <v>2016</v>
      </c>
      <c r="D39" s="11">
        <f t="shared" si="10"/>
        <v>7</v>
      </c>
      <c r="E39" s="78">
        <f>VLOOKUP(E$29,IncomeStatement!$A$1:$K$204,$D39+1,FALSE)/1000000</f>
        <v>7840</v>
      </c>
      <c r="F39" s="79">
        <f>VLOOKUP(F$29,IncomeStatement!$O$2:$Y$225,$D39+1,FALSE)/1000000</f>
        <v>4177</v>
      </c>
      <c r="G39" s="119">
        <f>VLOOKUP(C39,'Historical Prices'!$N$3:$U$20,MATCH(Summary!$G$29,'Historical Prices'!$N$2:$U$2,0),0)</f>
        <v>71.55</v>
      </c>
      <c r="H39" s="120">
        <f>VLOOKUP(C39,'Historical Prices'!$N$3:$U$20,MATCH(Summary!$H$29,'Historical Prices'!$N$2:$U$2,0),0)</f>
        <v>95.55</v>
      </c>
      <c r="I39" s="80">
        <f>VLOOKUP(I$29,BalanceSheet!$A$1:$K$225,$D39+1,FALSE)/1000000</f>
        <v>13830</v>
      </c>
      <c r="J39" s="82">
        <f>VLOOKUP(J$29,BalanceSheet!$A$1:$L$225,$D39+1,FALSE)/1000000</f>
        <v>28932</v>
      </c>
      <c r="K39" s="81">
        <f>-VLOOKUP(K$29,CashFlow!$A$1:$K$225,$D39+1,FALSE)/1000000</f>
        <v>12453</v>
      </c>
      <c r="L39" s="83">
        <f>VLOOKUP(L$29,BalanceSheet!$A$1:$Y$225,$D39+1,FALSE)/1000000</f>
        <v>167325</v>
      </c>
      <c r="M39" s="12"/>
      <c r="N39" s="12"/>
      <c r="O39" s="103">
        <f>VLOOKUP(O$29,BalanceSheet!$A$1:$Y$225,$D39+1,FALSE)/1000000</f>
        <v>330314</v>
      </c>
      <c r="P39" s="13">
        <f>IF(F$31="thousands",F39*1000,IF(F$31="Millions",F39*1000000,IF(F$31="Billions",F39*1000000000,IF(F$31="Total",F39,IF(F$31="per Share",F39,Error)))))</f>
        <v>4177000000</v>
      </c>
      <c r="Q39" s="97">
        <f>IF(B39="No","No",IF(E$31="thousands",E39*1000/$P39,IF(E$31="Millions",E39*1000000/$P39,IF(E$31="Billions",E39*1000000000/$P39,IF(E$31="Total",E39/$P39,IF(E$31="per Share",E39,Error))))))</f>
        <v>1.8769451759636102</v>
      </c>
      <c r="R39" s="14">
        <f>IF(K$31="thousands",K39*1000/$P39,IF(K$31="Millions",K39*1000000/$P39,IF(K$31="Billions",K39*1000000000/$P39,IF(K$31="Total",K39/$P39,IF(K$31="per Share",K39,Error)))))</f>
        <v>2.9813263107493415</v>
      </c>
      <c r="S39" s="14">
        <f t="shared" si="4"/>
        <v>-1.1043811347857313</v>
      </c>
      <c r="T39" s="14">
        <f t="shared" si="5"/>
        <v>83.55</v>
      </c>
      <c r="U39" s="15" t="e">
        <f t="shared" si="1"/>
        <v>#VALUE!</v>
      </c>
      <c r="V39" s="14">
        <f>IF(I$31="thousands",I39*1000/$P39,IF(I$31="Millions",I39*1000000/$P39,IF(I$31="Billions",I39*1000000000/$P39,IF(I$31="Total",I39/$P39,IF(I$31="per Share",I39,Error)))))</f>
        <v>3.3109887479051952</v>
      </c>
      <c r="W39" s="14">
        <f>IF(J$31="thousands",J39*1000/$P39,IF(J$31="Millions",J39*1000000/$P39,IF(J$31="Billions",J39*1000000000/$P39,IF(J$31="Total",J39/$P39,IF(J$31="per Share",J39,Error)))))</f>
        <v>6.9265022743595885</v>
      </c>
      <c r="X39" s="16">
        <f t="shared" si="6"/>
        <v>3.6903061224489799</v>
      </c>
      <c r="Y39" s="14">
        <f>IF(L$31="thousands",L39*1000/$P39,IF(L$31="Millions",L39*1000000/$P39,IF(L$31="Billions",L39*1000000000/$P39,IF(L$31="Total",L39/$P39,IF(L$31="per Share",L39,Error)))))</f>
        <v>40.058654536748861</v>
      </c>
      <c r="Z39" s="14">
        <f>IF(M$31="thousands",M39*1000/$P39,IF(M$31="Millions",M39*1000000/$P39,IF(M$31="Billions",M39*1000000000/$P39,IF(M$31="Total",M39/$P39,IF(M$31="per Share",M39,Error)))))+IF(N$31="thousands",N39*1000/$P39,IF(N$31="Millions",N39*1000000/$P39,IF(N$31="Billions",N39*1000000000/$P39,IF(N$31="Total",N39/$P39,IF(N$31="per Share",N39,Error)))))</f>
        <v>0</v>
      </c>
      <c r="AA39" s="17">
        <f t="shared" si="7"/>
        <v>40.058654536748861</v>
      </c>
      <c r="AB39" s="17">
        <f>IF(O$31="thousands",O39*1000/$P39,IF(O$31="Millions",O39*1000000/$P39,IF(O$31="Billions",O39*1000000000/$P39,IF(O$31="Total",O39/$P39,IF(O$31="per Share",O39,Error)))))</f>
        <v>79.079243476179073</v>
      </c>
      <c r="AC39" s="19">
        <f t="shared" si="11"/>
        <v>-0.51234291279607991</v>
      </c>
      <c r="AD39" s="19">
        <f t="shared" si="12"/>
        <v>4.6854923053936952E-2</v>
      </c>
      <c r="AE39" s="19">
        <f t="shared" si="2"/>
        <v>3.7317873071632229E-2</v>
      </c>
      <c r="AF39" s="19">
        <f t="shared" si="13"/>
        <v>-2.0380142959745546</v>
      </c>
      <c r="AG39" s="106">
        <f t="shared" si="3"/>
        <v>2.0856916181084717</v>
      </c>
      <c r="AH39" s="107">
        <f t="shared" si="8"/>
        <v>2.3734991553491527E-2</v>
      </c>
      <c r="AJ39" s="20"/>
      <c r="AK39" s="6"/>
    </row>
    <row r="40" spans="1:37" x14ac:dyDescent="0.3">
      <c r="B40" s="136" t="str">
        <f t="shared" si="9"/>
        <v>Yes</v>
      </c>
      <c r="C40" s="10">
        <f t="shared" si="0"/>
        <v>2017</v>
      </c>
      <c r="D40" s="11">
        <f t="shared" si="10"/>
        <v>8</v>
      </c>
      <c r="E40" s="78">
        <f>VLOOKUP(E$29,IncomeStatement!$A$1:$K$204,$D40+1,FALSE)/1000000</f>
        <v>19710</v>
      </c>
      <c r="F40" s="79">
        <f>VLOOKUP(F$29,IncomeStatement!$O$2:$Y$225,$D40+1,FALSE)/1000000</f>
        <v>4256</v>
      </c>
      <c r="G40" s="119">
        <f>VLOOKUP(C40,'Historical Prices'!$N$3:$U$20,MATCH(Summary!$G$29,'Historical Prices'!$N$2:$U$2,0),0)</f>
        <v>76.05</v>
      </c>
      <c r="H40" s="120">
        <f>VLOOKUP(C40,'Historical Prices'!$N$3:$U$20,MATCH(Summary!$H$29,'Historical Prices'!$N$2:$U$2,0),0)</f>
        <v>91.34</v>
      </c>
      <c r="I40" s="80">
        <f>VLOOKUP(I$29,BalanceSheet!$A$1:$K$225,$D40+1,FALSE)/1000000</f>
        <v>17930</v>
      </c>
      <c r="J40" s="82">
        <f>VLOOKUP(J$29,BalanceSheet!$A$1:$L$225,$D40+1,FALSE)/1000000</f>
        <v>24406</v>
      </c>
      <c r="K40" s="81">
        <f>-VLOOKUP(K$29,CashFlow!$A$1:$K$225,$D40+1,FALSE)/1000000</f>
        <v>13001</v>
      </c>
      <c r="L40" s="83">
        <f>VLOOKUP(L$29,BalanceSheet!$A$1:$Y$225,$D40+1,FALSE)/1000000</f>
        <v>187688</v>
      </c>
      <c r="M40" s="12"/>
      <c r="N40" s="12"/>
      <c r="O40" s="103">
        <f>VLOOKUP(O$29,BalanceSheet!$A$1:$Y$225,$D40+1,FALSE)/1000000</f>
        <v>348691</v>
      </c>
      <c r="P40" s="13">
        <f>IF(F$31="thousands",F40*1000,IF(F$31="Millions",F40*1000000,IF(F$31="Billions",F40*1000000000,IF(F$31="Total",F40,IF(F$31="per Share",F40,Error)))))</f>
        <v>4256000000</v>
      </c>
      <c r="Q40" s="97">
        <f>IF(B40="No","No",IF(E$31="thousands",E40*1000/$P40,IF(E$31="Millions",E40*1000000/$P40,IF(E$31="Billions",E40*1000000000/$P40,IF(E$31="Total",E40/$P40,IF(E$31="per Share",E40,Error))))))</f>
        <v>4.6311090225563909</v>
      </c>
      <c r="R40" s="14">
        <f>IF(K$31="thousands",K40*1000/$P40,IF(K$31="Millions",K40*1000000/$P40,IF(K$31="Billions",K40*1000000000/$P40,IF(K$31="Total",K40/$P40,IF(K$31="per Share",K40,Error)))))</f>
        <v>3.0547462406015038</v>
      </c>
      <c r="S40" s="14">
        <f t="shared" si="4"/>
        <v>1.5763627819548871</v>
      </c>
      <c r="T40" s="14">
        <f t="shared" si="5"/>
        <v>83.694999999999993</v>
      </c>
      <c r="U40" s="15" t="e">
        <f t="shared" si="1"/>
        <v>#VALUE!</v>
      </c>
      <c r="V40" s="14">
        <f>IF(I$31="thousands",I40*1000/$P40,IF(I$31="Millions",I40*1000000/$P40,IF(I$31="Billions",I40*1000000000/$P40,IF(I$31="Total",I40/$P40,IF(I$31="per Share",I40,Error)))))</f>
        <v>4.2128759398496243</v>
      </c>
      <c r="W40" s="14">
        <f>IF(J$31="thousands",J40*1000/$P40,IF(J$31="Millions",J40*1000000/$P40,IF(J$31="Billions",J40*1000000000/$P40,IF(J$31="Total",J40/$P40,IF(J$31="per Share",J40,Error)))))</f>
        <v>5.7344924812030076</v>
      </c>
      <c r="X40" s="16">
        <f t="shared" si="6"/>
        <v>1.2382546930492135</v>
      </c>
      <c r="Y40" s="14">
        <f>IF(L$31="thousands",L40*1000/$P40,IF(L$31="Millions",L40*1000000/$P40,IF(L$31="Billions",L40*1000000000/$P40,IF(L$31="Total",L40/$P40,IF(L$31="per Share",L40,Error)))))</f>
        <v>44.099624060150376</v>
      </c>
      <c r="Z40" s="14">
        <f>IF(M$31="thousands",M40*1000/$P40,IF(M$31="Millions",M40*1000000/$P40,IF(M$31="Billions",M40*1000000000/$P40,IF(M$31="Total",M40/$P40,IF(M$31="per Share",M40,Error)))))+IF(N$31="thousands",N40*1000/$P40,IF(N$31="Millions",N40*1000000/$P40,IF(N$31="Billions",N40*1000000000/$P40,IF(N$31="Total",N40/$P40,IF(N$31="per Share",N40,Error)))))</f>
        <v>0</v>
      </c>
      <c r="AA40" s="17">
        <f t="shared" si="7"/>
        <v>44.099624060150376</v>
      </c>
      <c r="AB40" s="17">
        <f>IF(O$31="thousands",O40*1000/$P40,IF(O$31="Millions",O40*1000000/$P40,IF(O$31="Billions",O40*1000000000/$P40,IF(O$31="Total",O40/$P40,IF(O$31="per Share",O40,Error)))))</f>
        <v>81.92927631578948</v>
      </c>
      <c r="AC40" s="19">
        <f t="shared" si="11"/>
        <v>1.4673651004104651</v>
      </c>
      <c r="AD40" s="19">
        <f t="shared" si="12"/>
        <v>0.10501470525553046</v>
      </c>
      <c r="AE40" s="19">
        <f t="shared" si="2"/>
        <v>8.5686710951900669E-2</v>
      </c>
      <c r="AF40" s="19">
        <f t="shared" si="13"/>
        <v>-2.4938526744457072</v>
      </c>
      <c r="AG40" s="106">
        <f t="shared" si="3"/>
        <v>1.8978619837176589</v>
      </c>
      <c r="AH40" s="107">
        <f t="shared" si="8"/>
        <v>5.6525691801623784E-2</v>
      </c>
      <c r="AJ40" s="20"/>
      <c r="AK40" s="6"/>
    </row>
    <row r="41" spans="1:37" x14ac:dyDescent="0.3">
      <c r="B41" s="136" t="str">
        <f t="shared" si="9"/>
        <v>Yes</v>
      </c>
      <c r="C41" s="10">
        <f>C42-1</f>
        <v>2018</v>
      </c>
      <c r="D41" s="11">
        <f t="shared" si="10"/>
        <v>9</v>
      </c>
      <c r="E41" s="78">
        <f>VLOOKUP(E$29,IncomeStatement!$A$1:$K$204,$D41+1,FALSE)/1000000</f>
        <v>20840</v>
      </c>
      <c r="F41" s="79">
        <f>VLOOKUP(F$29,IncomeStatement!$O$2:$Y$225,$D41+1,FALSE)/1000000</f>
        <v>4270</v>
      </c>
      <c r="G41" s="119">
        <f>VLOOKUP(C41,'Historical Prices'!$N$3:$U$20,MATCH(Summary!$G$29,'Historical Prices'!$N$2:$U$2,0),0)</f>
        <v>73.900000000000006</v>
      </c>
      <c r="H41" s="120">
        <f>VLOOKUP(C41,'Historical Prices'!$N$3:$U$20,MATCH(Summary!$H$29,'Historical Prices'!$N$2:$U$2,0),0)</f>
        <v>89.3</v>
      </c>
      <c r="I41" s="80">
        <f>VLOOKUP(I$29,BalanceSheet!$A$1:$K$225,$D41+1,FALSE)/1000000</f>
        <v>17258</v>
      </c>
      <c r="J41" s="82">
        <f>VLOOKUP(J$29,BalanceSheet!$A$1:$L$225,$D41+1,FALSE)/1000000</f>
        <v>20538</v>
      </c>
      <c r="K41" s="81">
        <f>-VLOOKUP(K$29,CashFlow!$A$1:$K$225,$D41+1,FALSE)/1000000</f>
        <v>13798</v>
      </c>
      <c r="L41" s="83">
        <f>VLOOKUP(L$29,BalanceSheet!$A$1:$Y$225,$D41+1,FALSE)/1000000</f>
        <v>191794</v>
      </c>
      <c r="M41" s="12"/>
      <c r="N41" s="12"/>
      <c r="O41" s="103">
        <f>VLOOKUP(O$29,BalanceSheet!$A$1:$Y$225,$D41+1,FALSE)/1000000</f>
        <v>346196</v>
      </c>
      <c r="P41" s="13">
        <f>IF(F$31="thousands",F41*1000,IF(F$31="Millions",F41*1000000,IF(F$31="Billions",F41*1000000000,IF(F$31="Total",F41,IF(F$31="per Share",F41,Error)))))</f>
        <v>4270000000</v>
      </c>
      <c r="Q41" s="97">
        <f>IF(B41="No","No",IF(E$31="thousands",E41*1000/$P41,IF(E$31="Millions",E41*1000000/$P41,IF(E$31="Billions",E41*1000000000/$P41,IF(E$31="Total",E41/$P41,IF(E$31="per Share",E41,Error))))))</f>
        <v>4.8805620608899298</v>
      </c>
      <c r="R41" s="14">
        <f>IF(K$31="thousands",K41*1000/$P41,IF(K$31="Millions",K41*1000000/$P41,IF(K$31="Billions",K41*1000000000/$P41,IF(K$31="Total",K41/$P41,IF(K$31="per Share",K41,Error)))))</f>
        <v>3.2313817330210775</v>
      </c>
      <c r="S41" s="14">
        <f t="shared" si="4"/>
        <v>1.6491803278688524</v>
      </c>
      <c r="T41" s="14">
        <f t="shared" si="5"/>
        <v>81.599999999999994</v>
      </c>
      <c r="U41" s="15" t="e">
        <f t="shared" si="1"/>
        <v>#VALUE!</v>
      </c>
      <c r="V41" s="14">
        <f>IF(I$31="thousands",I41*1000/$P41,IF(I$31="Millions",I41*1000000/$P41,IF(I$31="Billions",I41*1000000000/$P41,IF(I$31="Total",I41/$P41,IF(I$31="per Share",I41,Error)))))</f>
        <v>4.041686182669789</v>
      </c>
      <c r="W41" s="14">
        <f>IF(J$31="thousands",J41*1000/$P41,IF(J$31="Millions",J41*1000000/$P41,IF(J$31="Billions",J41*1000000000/$P41,IF(J$31="Total",J41/$P41,IF(J$31="per Share",J41,Error)))))</f>
        <v>4.8098360655737702</v>
      </c>
      <c r="X41" s="16">
        <f t="shared" si="6"/>
        <v>0.98550863723608439</v>
      </c>
      <c r="Y41" s="14">
        <f>IF(L$31="thousands",L41*1000/$P41,IF(L$31="Millions",L41*1000000/$P41,IF(L$31="Billions",L41*1000000000/$P41,IF(L$31="Total",L41/$P41,IF(L$31="per Share",L41,Error)))))</f>
        <v>44.916627634660422</v>
      </c>
      <c r="Z41" s="14">
        <f>IF(M$31="thousands",M41*1000/$P41,IF(M$31="Millions",M41*1000000/$P41,IF(M$31="Billions",M41*1000000000/$P41,IF(M$31="Total",M41/$P41,IF(M$31="per Share",M41,Error)))))+IF(N$31="thousands",N41*1000/$P41,IF(N$31="Millions",N41*1000000/$P41,IF(N$31="Billions",N41*1000000000/$P41,IF(N$31="Total",N41/$P41,IF(N$31="per Share",N41,Error)))))</f>
        <v>0</v>
      </c>
      <c r="AA41" s="17">
        <f t="shared" si="7"/>
        <v>44.916627634660422</v>
      </c>
      <c r="AB41" s="17">
        <f>IF(O$31="thousands",O41*1000/$P41,IF(O$31="Millions",O41*1000000/$P41,IF(O$31="Billions",O41*1000000000/$P41,IF(O$31="Total",O41/$P41,IF(O$31="per Share",O41,Error)))))</f>
        <v>81.076346604215459</v>
      </c>
      <c r="AC41" s="19">
        <f t="shared" si="11"/>
        <v>5.3864643893837737E-2</v>
      </c>
      <c r="AD41" s="19">
        <f t="shared" si="12"/>
        <v>0.10865824791182206</v>
      </c>
      <c r="AE41" s="19">
        <f t="shared" si="2"/>
        <v>9.0770503941809313E-2</v>
      </c>
      <c r="AF41" s="19">
        <f t="shared" si="13"/>
        <v>0.15824595783984824</v>
      </c>
      <c r="AG41" s="106">
        <f t="shared" si="3"/>
        <v>1.8166991668143944</v>
      </c>
      <c r="AH41" s="107">
        <f t="shared" si="8"/>
        <v>6.0197113773700447E-2</v>
      </c>
      <c r="AJ41" s="20"/>
      <c r="AK41" s="6"/>
    </row>
    <row r="42" spans="1:37" x14ac:dyDescent="0.3">
      <c r="B42" s="136" t="s">
        <v>221</v>
      </c>
      <c r="C42" s="10">
        <v>2019</v>
      </c>
      <c r="D42" s="11">
        <f t="shared" si="10"/>
        <v>10</v>
      </c>
      <c r="E42" s="78">
        <f>VLOOKUP(E$29,IncomeStatement!$A$1:$K$204,$D42+1,FALSE)/1000000</f>
        <v>14340</v>
      </c>
      <c r="F42" s="79">
        <f>VLOOKUP(F$29,IncomeStatement!$O$2:$Y$225,$D42+1,FALSE)/1000000</f>
        <v>4270</v>
      </c>
      <c r="G42" s="119" t="e">
        <f>VLOOKUP(C42,'Historical Prices'!$N$3:$U$20,MATCH(Summary!$G$29,'Historical Prices'!$N$2:$U$2,0),0)</f>
        <v>#N/A</v>
      </c>
      <c r="H42" s="120" t="e">
        <f>VLOOKUP(C42,'Historical Prices'!$N$3:$U$20,MATCH(Summary!$H$29,'Historical Prices'!$N$2:$U$2,0),0)</f>
        <v>#N/A</v>
      </c>
      <c r="I42" s="80">
        <f>VLOOKUP(I$29,BalanceSheet!$A$1:$K$225,$D42+1,FALSE)/1000000</f>
        <v>20578</v>
      </c>
      <c r="J42" s="82">
        <f>VLOOKUP(J$29,BalanceSheet!$A$1:$L$225,$D42+1,FALSE)/1000000</f>
        <v>26342</v>
      </c>
      <c r="K42" s="81">
        <f>-VLOOKUP(K$29,CashFlow!$A$1:$K$225,$D42+1,FALSE)/1000000</f>
        <v>14652</v>
      </c>
      <c r="L42" s="83">
        <f>VLOOKUP(L$29,BalanceSheet!$A$1:$Y$225,$D42+1,FALSE)/1000000</f>
        <v>191650</v>
      </c>
      <c r="M42" s="12"/>
      <c r="N42" s="12"/>
      <c r="O42" s="103">
        <f>VLOOKUP(O$29,BalanceSheet!$A$1:$Y$225,$D42+1,FALSE)/1000000</f>
        <v>362597</v>
      </c>
      <c r="P42" s="13">
        <f>IF(F$31="thousands",F42*1000,IF(F$31="Millions",F42*1000000,IF(F$31="Billions",F42*1000000000,IF(F$31="Total",F42,IF(F$31="per Share",F42,Error)))))</f>
        <v>4270000000</v>
      </c>
      <c r="Q42" s="97">
        <f>IF(B42="No","No",IF(E$31="thousands",E42*1000/$P42,IF(E$31="Millions",E42*1000000/$P42,IF(E$31="Billions",E42*1000000000/$P42,IF(E$31="Total",E42/$P42,IF(E$31="per Share",E42,Error))))))</f>
        <v>3.3583138173302109</v>
      </c>
      <c r="R42" s="14">
        <f>IF(K$31="thousands",K42*1000/$P42,IF(K$31="Millions",K42*1000000/$P42,IF(K$31="Billions",K42*1000000000/$P42,IF(K$31="Total",K42/$P42,IF(K$31="per Share",K42,Error)))))</f>
        <v>3.4313817330210772</v>
      </c>
      <c r="S42" s="14">
        <f t="shared" si="4"/>
        <v>-7.3067915690866236E-2</v>
      </c>
      <c r="T42" s="14" t="e">
        <f t="shared" si="5"/>
        <v>#N/A</v>
      </c>
      <c r="U42" s="15" t="e">
        <f>T42/(Q42*$G$141)</f>
        <v>#N/A</v>
      </c>
      <c r="V42" s="14">
        <f>IF(I$31="thousands",I42*1000/$P42,IF(I$31="Millions",I42*1000000/$P42,IF(I$31="Billions",I42*1000000000/$P42,IF(I$31="Total",I42/$P42,IF(I$31="per Share",I42,Error)))))</f>
        <v>4.8192037470725992</v>
      </c>
      <c r="W42" s="14">
        <f>IF(J$31="thousands",J42*1000/$P42,IF(J$31="Millions",J42*1000000/$P42,IF(J$31="Billions",J42*1000000000/$P42,IF(J$31="Total",J42/$P42,IF(J$31="per Share",J42,Error)))))</f>
        <v>6.1690866510538642</v>
      </c>
      <c r="X42" s="16">
        <f t="shared" si="6"/>
        <v>1.8369595536959553</v>
      </c>
      <c r="Y42" s="14">
        <f>IF(L$31="thousands",L42*1000/$P42,IF(L$31="Millions",L42*1000000/$P42,IF(L$31="Billions",L42*1000000000/$P42,IF(L$31="Total",L42/$P42,IF(L$31="per Share",L42,Error)))))</f>
        <v>44.88290398126464</v>
      </c>
      <c r="Z42" s="14">
        <f>IF(M$31="thousands",M42*1000/$P42,IF(M$31="Millions",M42*1000000/$P42,IF(M$31="Billions",M42*1000000000/$P42,IF(M$31="Total",M42/$P42,IF(M$31="per Share",M42,Error)))))+IF(N$31="thousands",N42*1000/$P42,IF(N$31="Millions",N42*1000000/$P42,IF(N$31="Billions",N42*1000000000/$P42,IF(N$31="Total",N42/$P42,IF(N$31="per Share",N42,Error)))))</f>
        <v>0</v>
      </c>
      <c r="AA42" s="17">
        <f t="shared" si="7"/>
        <v>44.88290398126464</v>
      </c>
      <c r="AB42" s="17">
        <f>IF(O$31="thousands",O42*1000/$P42,IF(O$31="Millions",O42*1000000/$P42,IF(O$31="Billions",O42*1000000000/$P42,IF(O$31="Total",O42/$P42,IF(O$31="per Share",O42,Error)))))</f>
        <v>84.917330210772832</v>
      </c>
      <c r="AC42" s="19">
        <f t="shared" si="11"/>
        <v>-0.31190019193857965</v>
      </c>
      <c r="AD42" s="19">
        <f t="shared" si="12"/>
        <v>7.4823897730237413E-2</v>
      </c>
      <c r="AE42" s="19">
        <f t="shared" si="2"/>
        <v>6.0108144360145874E-2</v>
      </c>
      <c r="AF42" s="19">
        <f t="shared" si="13"/>
        <v>-0.92303322919625108</v>
      </c>
      <c r="AG42" s="106" t="e">
        <f>T42/AA42</f>
        <v>#N/A</v>
      </c>
      <c r="AH42" s="107">
        <f>Q42/AB42</f>
        <v>3.9548038180128357E-2</v>
      </c>
      <c r="AJ42" s="20"/>
      <c r="AK42" s="6"/>
    </row>
    <row r="43" spans="1:37" s="2" customFormat="1" x14ac:dyDescent="0.3">
      <c r="A43" s="1"/>
      <c r="B43" s="88">
        <f>COUNTIF(B32:B42,"Yes")-1</f>
        <v>9</v>
      </c>
      <c r="C43" s="22" t="str">
        <f>CONCATENATE(B43," YEAR")</f>
        <v>9 YEAR</v>
      </c>
      <c r="D43" s="101"/>
      <c r="E43" s="90">
        <f>SUMIFS(E33:E42,B33:B42,"Yes")</f>
        <v>260380</v>
      </c>
      <c r="F43" s="23"/>
      <c r="G43" s="23"/>
      <c r="H43" s="38"/>
      <c r="I43" s="23"/>
      <c r="J43" s="23"/>
      <c r="K43" s="24">
        <f>SUMIFS(K33:K42,B33:B42,"Yes")</f>
        <v>116047</v>
      </c>
      <c r="L43" s="23"/>
      <c r="M43" s="23"/>
      <c r="N43" s="23"/>
      <c r="O43" s="23"/>
      <c r="P43" s="23"/>
      <c r="Q43" s="23">
        <f>SUMIFS(Q33:Q42,B33:B42,"Yes")</f>
        <v>57.903316919921735</v>
      </c>
      <c r="R43" s="23">
        <f>SUMIFS(R33:R42,B33:B42,"Yes")</f>
        <v>26.5089010785752</v>
      </c>
      <c r="S43" s="23">
        <f>SUMIFS(S33:S42,B33:B42,"Yes")</f>
        <v>31.394415841346532</v>
      </c>
      <c r="T43" s="23"/>
      <c r="U43" s="25" t="e">
        <f>AVERAGEIFS(U33:U42,B33:B42,"Yes")</f>
        <v>#VALUE!</v>
      </c>
      <c r="V43" s="23"/>
      <c r="W43" s="23"/>
      <c r="X43" s="25">
        <f>AVERAGEIFS(X33:X42,B33:B42,"Yes")</f>
        <v>1.0359712736873823</v>
      </c>
      <c r="Y43" s="0"/>
      <c r="Z43" s="23"/>
      <c r="AA43" s="95">
        <f t="array" ref="AA43">((AA42/(INDEX(AA32:AA42,MATCH(TRUE,ISNUMBER(AA32:AA42),0))))^(1/($B$43))-1)</f>
        <v>4.5835290987135124E-2</v>
      </c>
      <c r="AB43" s="95"/>
      <c r="AD43" s="26">
        <f>AVERAGEIFS(AD33:AD42,B33:B42,"Yes")</f>
        <v>0.15475702003030797</v>
      </c>
      <c r="AE43" s="26">
        <f>AVERAGEIFS(AE33:AE42,B33:B42,"Yes")</f>
        <v>0.13570276646929053</v>
      </c>
      <c r="AF43" s="26">
        <f>AVERAGEIFS(AF33:AF42,B33:B42,"Yes")</f>
        <v>-0.62679954444129593</v>
      </c>
      <c r="AG43" s="101" t="e">
        <f>AVERAGEIFS(AG33:AG42,B33:B42,"Yes")</f>
        <v>#N/A</v>
      </c>
      <c r="AH43" s="108">
        <f>AVERAGEIFS(AH33:AH42,B33:B42,"Yes")</f>
        <v>7.7412818693427102E-2</v>
      </c>
    </row>
    <row r="44" spans="1:37" x14ac:dyDescent="0.3">
      <c r="B44" s="100" t="s">
        <v>223</v>
      </c>
      <c r="C44" s="27" t="s">
        <v>47</v>
      </c>
      <c r="D44" s="28"/>
      <c r="E44" s="28"/>
      <c r="F44" s="28"/>
      <c r="G44" s="28"/>
      <c r="H44" s="28"/>
      <c r="I44" s="28"/>
      <c r="J44" s="28"/>
      <c r="K44" s="28" t="str">
        <f>CONCATENATE("Total ",COUNTIF(B33:B42,"Yes"), " Year")</f>
        <v>Total 10 Year</v>
      </c>
      <c r="L44" s="28"/>
      <c r="M44" s="28"/>
      <c r="N44" s="28"/>
      <c r="O44" s="28"/>
      <c r="P44" s="28"/>
      <c r="Q44" s="28" t="str">
        <f>CONCATENATE(COUNTIF(B33:B42,"Yes"), " Year Sum")</f>
        <v>10 Year Sum</v>
      </c>
      <c r="R44" s="28" t="str">
        <f>CONCATENATE(COUNTIF(B33:B42,"Yes"), " Year Sum")</f>
        <v>10 Year Sum</v>
      </c>
      <c r="S44" s="28" t="str">
        <f>CONCATENATE(COUNTIF(B33:B42,"Yes"), " Year Sum")</f>
        <v>10 Year Sum</v>
      </c>
      <c r="T44" s="28"/>
      <c r="U44" s="28" t="str">
        <f>CONCATENATE(COUNTIF(B33:B42,"Yes"), " Year Avg")</f>
        <v>10 Year Avg</v>
      </c>
      <c r="V44" s="28"/>
      <c r="W44" s="28"/>
      <c r="X44" s="28" t="str">
        <f>CONCATENATE(COUNTIF(B33:B42,"Yes"), " Year Avg")</f>
        <v>10 Year Avg</v>
      </c>
      <c r="Y44" s="92"/>
      <c r="Z44" s="28"/>
      <c r="AA44" s="96" t="str">
        <f>CONCATENATE(B43, " yr CMPD Avg")</f>
        <v>9 yr CMPD Avg</v>
      </c>
      <c r="AB44" s="96"/>
      <c r="AD44" s="28" t="str">
        <f>CONCATENATE(COUNTIF(B33:B42,"Yes"), " Year Avg")</f>
        <v>10 Year Avg</v>
      </c>
      <c r="AE44" s="28" t="str">
        <f>CONCATENATE(COUNTIF(B33:B42,"Yes"), " Year Avg")</f>
        <v>10 Year Avg</v>
      </c>
      <c r="AF44" s="28" t="str">
        <f>CONCATENATE(COUNTIF(B33:B42,"Yes"), " Year Avg")</f>
        <v>10 Year Avg</v>
      </c>
      <c r="AG44" s="28" t="str">
        <f>CONCATENATE(COUNTIF(B33:B42,"Yes"), " Year Avg")</f>
        <v>10 Year Avg</v>
      </c>
      <c r="AH44" s="105" t="str">
        <f>CONCATENATE(COUNTIF(B33:B42,"Yes"), " Year Avg")</f>
        <v>10 Year Avg</v>
      </c>
    </row>
    <row r="45" spans="1:37" ht="15.6" x14ac:dyDescent="0.3">
      <c r="C45" s="3"/>
      <c r="D45" s="99">
        <f t="array" ref="D45">((Q42/(INDEX(Q32:Q42,MATCH(TRUE,ISNUMBER(Q32:Q42),0))))^(1/($B$43))-1)</f>
        <v>-6.6191242866392552E-2</v>
      </c>
      <c r="E45" s="29" t="str">
        <f>CONCATENATE("Avg Compound ",B43," yr EPS Growth Rate")</f>
        <v>Avg Compound 9 yr EPS Growth Rate</v>
      </c>
      <c r="F45" s="3"/>
      <c r="G45" s="3"/>
      <c r="H45" s="30"/>
      <c r="R45" s="93">
        <f>R43/Q43</f>
        <v>0.45781317010277811</v>
      </c>
      <c r="Y45" s="24"/>
    </row>
    <row r="46" spans="1:37" ht="15.6" x14ac:dyDescent="0.3">
      <c r="C46" s="3"/>
      <c r="D46" s="87">
        <f>IF(B37="Yes",(Q42/Q37)^(1/5)-1,IF(B38="Yes",(Q42/Q38)^(1/4)-1,IF(B39="Yes",(Q42/Q39)^(1/3)-1,IF(B40="Yes",(Q42/Q40)^(1/2)-1,"No Data"))))</f>
        <v>-0.15057804800389074</v>
      </c>
      <c r="E46" s="29" t="str">
        <f>IF(B37="Yes","Avg Compound 5yr EPS Growth Rate",IF(B38="Yes","Avg Compound 4yr EPS Growth Rate",IF(B39="Yes","Avg Compound 3yr EPS Growth Rate",IF(B40="Yes","Avg Compound 2yr EPS Growth Rate","NO DATA"))))</f>
        <v>Avg Compound 5yr EPS Growth Rate</v>
      </c>
      <c r="R46" s="94" t="str">
        <f>CONCATENATE(COUNTIF(B33:B42,"Yes"), " Year Avg Yield")</f>
        <v>10 Year Avg Yield</v>
      </c>
      <c r="AA46" s="0">
        <f>((AA42/AA33)^(1/9))-1</f>
        <v>4.5835290987135124E-2</v>
      </c>
    </row>
    <row r="47" spans="1:37" x14ac:dyDescent="0.3">
      <c r="C47" s="3" t="s">
        <v>48</v>
      </c>
      <c r="D47" t="str" s="0">
        <f>IF(D46&lt;D45,"SLOWING DOWN","SPEEDING UP")</f>
        <v>SLOWING DOWN</v>
      </c>
      <c r="E47" s="31"/>
      <c r="F47" s="31"/>
      <c r="G47" s="31"/>
      <c r="H47" s="31"/>
      <c r="I47" s="31"/>
      <c r="J47" s="31"/>
      <c r="AA47" s="0">
        <f>_xlfn.RRI(9,AA33,AA42)</f>
        <v>4.5835290987135124E-2</v>
      </c>
      <c r="AF47" s="41">
        <f>AVERAGE(AF33:AF42)</f>
        <v>-0.62679954444129593</v>
      </c>
    </row>
    <row r="48" spans="1:37" ht="15" customHeight="1" x14ac:dyDescent="0.3">
      <c r="C48" s="2" t="s">
        <v>49</v>
      </c>
      <c r="D48" s="2"/>
      <c r="E48" s="2"/>
      <c r="F48" s="2"/>
      <c r="G48" s="2"/>
      <c r="AA48" s="91"/>
      <c r="AB48" s="91"/>
    </row>
    <row r="49" spans="1:6" x14ac:dyDescent="0.3">
      <c r="C49" s="170"/>
      <c r="D49" s="170"/>
      <c r="E49" s="170"/>
      <c r="F49" s="170"/>
    </row>
    <row r="50" spans="1:6" x14ac:dyDescent="0.3">
      <c r="C50" s="2" t="s">
        <v>50</v>
      </c>
    </row>
    <row r="51" spans="1:6" x14ac:dyDescent="0.3">
      <c r="C51" s="168"/>
      <c r="D51" s="168"/>
      <c r="E51" s="168"/>
      <c r="F51" s="168"/>
    </row>
    <row r="52" spans="1:6" x14ac:dyDescent="0.3">
      <c r="C52" s="168"/>
      <c r="D52" s="168"/>
      <c r="E52" s="168"/>
      <c r="F52" s="168"/>
    </row>
    <row r="53" spans="1:6" s="2" customFormat="1" x14ac:dyDescent="0.3">
      <c r="A53" s="1" t="s">
        <v>51</v>
      </c>
      <c r="B53" s="2" t="s">
        <v>52</v>
      </c>
    </row>
    <row r="54" spans="1:6" x14ac:dyDescent="0.3">
      <c r="C54" t="s" s="0">
        <v>53</v>
      </c>
    </row>
    <row r="55" spans="1:6" x14ac:dyDescent="0.3">
      <c r="C55" t="s" s="0">
        <v>54</v>
      </c>
    </row>
    <row r="56" spans="1:6" x14ac:dyDescent="0.3">
      <c r="D56" s="1" t="s">
        <v>55</v>
      </c>
      <c r="E56" s="32">
        <f>AD43</f>
        <v>0.15475702003030797</v>
      </c>
      <c r="F56" t="str" s="0">
        <f>AD44</f>
        <v>10 Year Avg</v>
      </c>
    </row>
    <row r="57" spans="1:6" x14ac:dyDescent="0.3">
      <c r="D57" s="3" t="s">
        <v>250</v>
      </c>
      <c r="E57" s="5" t="s">
        <v>242</v>
      </c>
    </row>
    <row r="58" spans="1:6" x14ac:dyDescent="0.3">
      <c r="D58" s="1" t="s">
        <v>56</v>
      </c>
      <c r="E58" s="32">
        <f t="array" ref="E58">(Q42-(INDEX(Q32:Q42,MATCH(TRUE,ISNUMBER(Q32:Q42),0))))/S43</f>
        <v>-9.1157006186255357E-2</v>
      </c>
      <c r="F58" t="str" s="0">
        <f>F56</f>
        <v>10 Year Avg</v>
      </c>
    </row>
    <row r="59" spans="1:6" x14ac:dyDescent="0.3">
      <c r="E59" s="3" t="s">
        <v>57</v>
      </c>
    </row>
    <row r="62" spans="1:6" s="2" customFormat="1" x14ac:dyDescent="0.3">
      <c r="A62" s="1" t="s">
        <v>58</v>
      </c>
      <c r="B62" s="2" t="s">
        <v>59</v>
      </c>
    </row>
    <row r="63" spans="1:6" x14ac:dyDescent="0.3">
      <c r="C63" t="s" s="0">
        <v>60</v>
      </c>
    </row>
    <row r="64" spans="1:6" x14ac:dyDescent="0.3">
      <c r="C64" t="s" s="0">
        <v>61</v>
      </c>
    </row>
    <row r="65" spans="1:11" x14ac:dyDescent="0.3">
      <c r="C65" t="str" s="0">
        <f>AE44</f>
        <v>10 Year Avg</v>
      </c>
      <c r="D65" s="102">
        <f>AE43</f>
        <v>0.13570276646929053</v>
      </c>
    </row>
    <row r="66" spans="1:11" x14ac:dyDescent="0.3">
      <c r="C66" t="s" s="0">
        <v>62</v>
      </c>
    </row>
    <row r="67" spans="1:11" x14ac:dyDescent="0.3">
      <c r="C67" s="109">
        <f>AH43</f>
        <v>7.7412818693427102E-2</v>
      </c>
      <c r="D67" s="41" t="str">
        <f>CONCATENATE(AH44," Return on Total Assets")</f>
        <v>10 Year Avg Return on Total Assets</v>
      </c>
    </row>
    <row r="68" spans="1:11" s="2" customFormat="1" x14ac:dyDescent="0.3">
      <c r="A68" s="1" t="s">
        <v>63</v>
      </c>
      <c r="B68" s="2" t="s">
        <v>64</v>
      </c>
    </row>
    <row r="69" spans="1:11" x14ac:dyDescent="0.3">
      <c r="C69" t="s" s="0">
        <v>65</v>
      </c>
      <c r="I69" s="33">
        <f>W42/Q42</f>
        <v>1.8369595536959553</v>
      </c>
      <c r="K69" s="34"/>
    </row>
    <row r="70" spans="1:11" x14ac:dyDescent="0.3">
      <c r="C70" t="s" s="0">
        <v>66</v>
      </c>
      <c r="K70" s="35"/>
    </row>
    <row r="71" spans="1:11" x14ac:dyDescent="0.3">
      <c r="K71" s="36"/>
    </row>
    <row r="72" spans="1:11" x14ac:dyDescent="0.3">
      <c r="A72" s="1" t="s">
        <v>67</v>
      </c>
      <c r="B72" s="2" t="s">
        <v>68</v>
      </c>
      <c r="C72" s="2"/>
      <c r="D72" s="2"/>
      <c r="E72" s="2"/>
      <c r="H72" t="str" s="0">
        <f t="array" ref="H72">IF(P42&gt;=(INDEX(P31:P42,MATCH(TRUE,ISNUMBER(P31:P42),0))),"NO","YES")</f>
        <v>YES</v>
      </c>
    </row>
    <row r="74" spans="1:11" x14ac:dyDescent="0.3">
      <c r="A74" s="1" t="s">
        <v>69</v>
      </c>
      <c r="B74" s="2" t="s">
        <v>70</v>
      </c>
      <c r="C74" s="2"/>
      <c r="D74" s="2"/>
      <c r="E74" s="2"/>
      <c r="F74" s="2"/>
      <c r="G74" s="2"/>
    </row>
    <row r="75" spans="1:11" x14ac:dyDescent="0.3">
      <c r="A75" s="1"/>
      <c r="B75" s="2"/>
      <c r="C75" t="s" s="0">
        <v>71</v>
      </c>
      <c r="D75" s="2"/>
      <c r="E75" s="2"/>
      <c r="F75" s="2"/>
      <c r="G75" s="2"/>
    </row>
    <row r="76" spans="1:11" x14ac:dyDescent="0.3">
      <c r="A76" s="1"/>
      <c r="B76" s="2"/>
      <c r="C76" s="2"/>
      <c r="D76" s="2"/>
      <c r="E76" s="2" t="s">
        <v>72</v>
      </c>
      <c r="F76" s="2" t="s">
        <v>73</v>
      </c>
      <c r="G76" s="2"/>
    </row>
    <row r="77" spans="1:11" x14ac:dyDescent="0.3">
      <c r="D77" s="3" t="s">
        <v>74</v>
      </c>
      <c r="E77" s="37">
        <v>20</v>
      </c>
      <c r="F77" s="9">
        <v>39083</v>
      </c>
      <c r="G77" s="9"/>
    </row>
    <row r="78" spans="1:11" x14ac:dyDescent="0.3">
      <c r="D78" s="3" t="s">
        <v>75</v>
      </c>
      <c r="E78" s="37">
        <v>55</v>
      </c>
      <c r="F78" s="9">
        <v>42736</v>
      </c>
      <c r="G78" s="9"/>
    </row>
    <row r="79" spans="1:11" x14ac:dyDescent="0.3">
      <c r="D79" s="3" t="s">
        <v>76</v>
      </c>
      <c r="E79" s="38">
        <f>(E78/E77)^(1/(YEAR(F78)-YEAR(F77)))-1</f>
        <v>0.10645376106020565</v>
      </c>
    </row>
    <row r="81" spans="1:14" s="2" customFormat="1" x14ac:dyDescent="0.3">
      <c r="A81" s="1" t="s">
        <v>77</v>
      </c>
      <c r="B81" s="2" t="s">
        <v>78</v>
      </c>
    </row>
    <row r="82" spans="1:14" x14ac:dyDescent="0.3">
      <c r="B82" s="168"/>
      <c r="C82" s="168"/>
      <c r="D82" s="168"/>
      <c r="E82" s="168"/>
      <c r="F82" s="168"/>
      <c r="G82" s="168"/>
      <c r="H82" s="168"/>
      <c r="I82" s="168"/>
      <c r="J82" s="168"/>
    </row>
    <row r="83" spans="1:14" x14ac:dyDescent="0.3">
      <c r="B83" s="168"/>
      <c r="C83" s="168"/>
      <c r="D83" s="168"/>
      <c r="E83" s="168"/>
      <c r="F83" s="168"/>
      <c r="G83" s="168"/>
      <c r="H83" s="168"/>
      <c r="I83" s="168"/>
      <c r="J83" s="168"/>
    </row>
    <row r="85" spans="1:14" x14ac:dyDescent="0.3">
      <c r="A85" s="1" t="s">
        <v>79</v>
      </c>
      <c r="B85" s="2" t="s">
        <v>80</v>
      </c>
      <c r="C85" s="2"/>
      <c r="D85" s="2"/>
      <c r="E85" s="2"/>
      <c r="F85" s="2"/>
      <c r="G85" s="2"/>
      <c r="H85" s="2"/>
      <c r="I85" s="2"/>
      <c r="J85" s="2"/>
    </row>
    <row r="86" spans="1:14" x14ac:dyDescent="0.3">
      <c r="B86" s="168"/>
      <c r="C86" s="168"/>
      <c r="D86" s="168"/>
      <c r="E86" s="168"/>
      <c r="F86" s="168"/>
      <c r="G86" s="168"/>
      <c r="H86" s="168"/>
      <c r="I86" s="168"/>
      <c r="J86" s="168"/>
    </row>
    <row r="87" spans="1:14" x14ac:dyDescent="0.3">
      <c r="B87" s="168"/>
      <c r="C87" s="168"/>
      <c r="D87" s="168"/>
      <c r="E87" s="168"/>
      <c r="F87" s="168"/>
      <c r="G87" s="168"/>
      <c r="H87" s="168"/>
      <c r="I87" s="168"/>
      <c r="J87" s="168"/>
    </row>
    <row r="89" spans="1:14" s="2" customFormat="1" x14ac:dyDescent="0.3">
      <c r="A89" s="1" t="s">
        <v>81</v>
      </c>
      <c r="B89" s="2" t="s">
        <v>82</v>
      </c>
    </row>
    <row r="90" spans="1:14" s="2" customFormat="1" x14ac:dyDescent="0.3">
      <c r="A90" s="1"/>
      <c r="C90" s="2" t="s">
        <v>83</v>
      </c>
      <c r="E90" s="152">
        <f>'ANALYST REPORT'!C5</f>
        <v>0</v>
      </c>
      <c r="F90" s="151" t="str">
        <f>IFERROR(LEFT('ANALYST REPORT'!C6,LEN('ANALYST REPORT'!C6)-4),"INPUT")</f>
        <v>INPUT</v>
      </c>
    </row>
    <row r="91" spans="1:14" s="2" customFormat="1" x14ac:dyDescent="0.3">
      <c r="A91" s="1"/>
      <c r="C91" t="s" s="0">
        <v>84</v>
      </c>
      <c r="F91" s="39" t="e">
        <f>Q42/F90</f>
        <v>#VALUE!</v>
      </c>
      <c r="G91" s="40"/>
    </row>
    <row r="92" spans="1:14" s="2" customFormat="1" x14ac:dyDescent="0.3">
      <c r="A92" s="1"/>
      <c r="C92" t="s" s="0">
        <v>85</v>
      </c>
      <c r="F92" s="41">
        <f>D45</f>
        <v>-6.6191242866392552E-2</v>
      </c>
      <c r="G92" s="41"/>
    </row>
    <row r="93" spans="1:14" x14ac:dyDescent="0.3">
      <c r="C93" t="s" s="0">
        <v>86</v>
      </c>
      <c r="F93" s="42">
        <v>0.03</v>
      </c>
      <c r="G93" s="43"/>
      <c r="I93" s="44" t="s">
        <v>87</v>
      </c>
      <c r="L93" s="20"/>
      <c r="M93" s="2"/>
    </row>
    <row r="94" spans="1:14" x14ac:dyDescent="0.3">
      <c r="C94" t="s" s="0">
        <v>88</v>
      </c>
      <c r="F94" s="45">
        <f>Q42/F93</f>
        <v>111.94379391100703</v>
      </c>
      <c r="L94" s="20"/>
      <c r="M94" s="134"/>
    </row>
    <row r="95" spans="1:14" x14ac:dyDescent="0.3">
      <c r="F95" s="45"/>
      <c r="L95" s="20"/>
      <c r="M95" s="134"/>
    </row>
    <row r="96" spans="1:14" s="2" customFormat="1" x14ac:dyDescent="0.3">
      <c r="A96" s="1" t="s">
        <v>89</v>
      </c>
      <c r="B96" s="2" t="s">
        <v>90</v>
      </c>
      <c r="L96" s="20"/>
      <c r="M96" s="134"/>
      <c r="N96" s="0"/>
    </row>
    <row r="97" spans="1:14" s="2" customFormat="1" x14ac:dyDescent="0.3">
      <c r="A97" s="1"/>
      <c r="C97" s="2" t="s">
        <v>91</v>
      </c>
      <c r="H97" s="0"/>
      <c r="L97" s="20"/>
      <c r="M97" s="134"/>
      <c r="N97" s="0"/>
    </row>
    <row r="98" spans="1:14" s="2" customFormat="1" x14ac:dyDescent="0.3">
      <c r="A98" s="1"/>
      <c r="B98" s="0"/>
      <c r="C98" t="s" s="0">
        <v>92</v>
      </c>
      <c r="H98" s="46">
        <f>E56</f>
        <v>0.15475702003030797</v>
      </c>
      <c r="L98" s="20"/>
      <c r="M98" s="134"/>
      <c r="N98" s="0"/>
    </row>
    <row r="99" spans="1:14" s="2" customFormat="1" x14ac:dyDescent="0.3">
      <c r="A99" s="1"/>
      <c r="B99" s="0"/>
      <c r="C99" t="s" s="0">
        <v>93</v>
      </c>
      <c r="H99" s="47">
        <f>R43/Q43</f>
        <v>0.45781317010277811</v>
      </c>
      <c r="L99" s="20"/>
      <c r="M99" s="134"/>
      <c r="N99" s="0"/>
    </row>
    <row r="100" spans="1:14" s="2" customFormat="1" x14ac:dyDescent="0.3">
      <c r="A100" s="1"/>
      <c r="B100" s="0"/>
      <c r="C100" t="s" s="0">
        <v>94</v>
      </c>
      <c r="H100" s="46">
        <f>H98*(1-H99)</f>
        <v>8.3907218094573549E-2</v>
      </c>
      <c r="L100" s="20"/>
      <c r="M100" s="134"/>
      <c r="N100" s="0"/>
    </row>
    <row r="101" spans="1:14" s="2" customFormat="1" x14ac:dyDescent="0.3">
      <c r="A101" s="1"/>
      <c r="B101" s="0"/>
      <c r="C101" s="0"/>
      <c r="H101" s="0"/>
      <c r="L101" s="20"/>
      <c r="M101" s="134"/>
      <c r="N101" s="0"/>
    </row>
    <row r="102" spans="1:14" s="2" customFormat="1" x14ac:dyDescent="0.3">
      <c r="A102" s="1"/>
      <c r="C102" s="2" t="s">
        <v>95</v>
      </c>
      <c r="H102" s="0"/>
      <c r="L102" s="20"/>
      <c r="M102" s="134"/>
      <c r="N102" s="0"/>
    </row>
    <row r="103" spans="1:14" s="2" customFormat="1" x14ac:dyDescent="0.3">
      <c r="A103" s="1"/>
      <c r="C103" t="s" s="0">
        <v>96</v>
      </c>
      <c r="H103" s="48">
        <f>AA42</f>
        <v>44.88290398126464</v>
      </c>
      <c r="L103" s="20"/>
      <c r="M103" s="134"/>
      <c r="N103" s="0"/>
    </row>
    <row r="104" spans="1:14" s="2" customFormat="1" x14ac:dyDescent="0.3">
      <c r="A104" s="1"/>
      <c r="C104" t="s" s="0">
        <v>97</v>
      </c>
      <c r="H104" s="46">
        <f>H100</f>
        <v>8.3907218094573549E-2</v>
      </c>
      <c r="L104" s="20"/>
      <c r="M104" s="134"/>
      <c r="N104" s="0"/>
    </row>
    <row r="105" spans="1:14" s="2" customFormat="1" x14ac:dyDescent="0.3">
      <c r="A105" s="1"/>
      <c r="C105" t="s" s="0">
        <v>98</v>
      </c>
      <c r="H105" s="140">
        <v>10</v>
      </c>
      <c r="L105" s="20"/>
      <c r="M105" s="134"/>
      <c r="N105" s="0"/>
    </row>
    <row r="106" spans="1:14" s="2" customFormat="1" x14ac:dyDescent="0.3">
      <c r="A106" s="1"/>
      <c r="C106" t="s" s="0">
        <v>99</v>
      </c>
      <c r="H106" s="49">
        <f>H103*(1+H104)^H105</f>
        <v>100.46204922103001</v>
      </c>
      <c r="L106" s="20"/>
      <c r="M106" s="134"/>
      <c r="N106" s="0"/>
    </row>
    <row r="107" spans="1:14" s="2" customFormat="1" x14ac:dyDescent="0.3">
      <c r="A107" s="1"/>
      <c r="H107" s="0"/>
      <c r="L107" s="20"/>
      <c r="M107" s="134"/>
      <c r="N107" s="0"/>
    </row>
    <row r="108" spans="1:14" s="2" customFormat="1" x14ac:dyDescent="0.3">
      <c r="A108" s="1"/>
      <c r="C108" t="s" s="0">
        <v>100</v>
      </c>
      <c r="H108" s="46">
        <f>H98</f>
        <v>0.15475702003030797</v>
      </c>
      <c r="L108" s="20"/>
      <c r="M108" s="134"/>
      <c r="N108" s="0"/>
    </row>
    <row r="109" spans="1:14" s="2" customFormat="1" x14ac:dyDescent="0.3">
      <c r="A109" s="1"/>
      <c r="C109" t="s" s="0">
        <v>101</v>
      </c>
      <c r="H109" s="48">
        <f>H108*H106</f>
        <v>15.547207363584727</v>
      </c>
      <c r="L109" s="20"/>
      <c r="M109" s="134"/>
      <c r="N109" s="0"/>
    </row>
    <row r="110" spans="1:14" s="2" customFormat="1" x14ac:dyDescent="0.3">
      <c r="A110" s="1"/>
      <c r="C110" t="s" s="0">
        <v>102</v>
      </c>
      <c r="H110" s="50" t="e">
        <f>U43</f>
        <v>#VALUE!</v>
      </c>
      <c r="L110" s="20"/>
      <c r="M110" s="134"/>
      <c r="N110" s="0"/>
    </row>
    <row r="111" spans="1:14" s="2" customFormat="1" ht="16.2" x14ac:dyDescent="0.45">
      <c r="A111" s="1"/>
      <c r="C111" t="s" s="0">
        <v>103</v>
      </c>
      <c r="H111" s="51" t="e">
        <f>H109*H110*G141</f>
        <v>#VALUE!</v>
      </c>
      <c r="L111" s="20"/>
      <c r="M111" s="134"/>
      <c r="N111" s="0"/>
    </row>
    <row r="112" spans="1:14" s="2" customFormat="1" x14ac:dyDescent="0.3">
      <c r="A112" s="1"/>
      <c r="C112" s="0"/>
      <c r="H112" s="0"/>
      <c r="L112" s="20"/>
      <c r="M112" s="134"/>
      <c r="N112" s="0"/>
    </row>
    <row r="113" spans="1:32" s="2" customFormat="1" x14ac:dyDescent="0.3">
      <c r="A113" s="1"/>
      <c r="C113" t="s" s="0">
        <v>104</v>
      </c>
      <c r="H113" s="48" t="str">
        <f>F90</f>
        <v>INPUT</v>
      </c>
      <c r="L113" s="20"/>
      <c r="M113" s="134"/>
      <c r="N113" s="0"/>
    </row>
    <row r="114" spans="1:32" s="2" customFormat="1" x14ac:dyDescent="0.3">
      <c r="A114" s="1"/>
      <c r="C114" t="s" s="0">
        <v>105</v>
      </c>
      <c r="H114" s="52" t="e">
        <f>(H111/H113)^(1/H105)-1</f>
        <v>#VALUE!</v>
      </c>
      <c r="L114" s="20"/>
      <c r="M114" s="134"/>
      <c r="N114" s="0"/>
    </row>
    <row r="115" spans="1:32" s="2" customFormat="1" x14ac:dyDescent="0.3">
      <c r="A115" s="1"/>
      <c r="C115" s="0"/>
      <c r="H115" s="0"/>
      <c r="L115" s="20"/>
      <c r="M115" s="134"/>
      <c r="N115" s="0"/>
    </row>
    <row r="116" spans="1:32" x14ac:dyDescent="0.3">
      <c r="K116" s="2"/>
      <c r="L116" s="20"/>
      <c r="M116" s="134"/>
    </row>
    <row r="117" spans="1:32" s="2" customFormat="1" x14ac:dyDescent="0.3">
      <c r="A117" s="1" t="s">
        <v>106</v>
      </c>
      <c r="B117" s="2" t="s">
        <v>107</v>
      </c>
      <c r="L117" s="20"/>
      <c r="M117" s="134"/>
      <c r="N117" s="0"/>
    </row>
    <row r="118" spans="1:32" x14ac:dyDescent="0.3">
      <c r="C118" t="s" s="0">
        <v>108</v>
      </c>
      <c r="E118" s="3"/>
      <c r="F118" s="24"/>
      <c r="G118" s="24"/>
      <c r="H118" s="46">
        <f>D45</f>
        <v>-6.6191242866392552E-2</v>
      </c>
      <c r="K118" s="2"/>
      <c r="L118" s="20"/>
      <c r="M118" s="134"/>
    </row>
    <row r="119" spans="1:32" x14ac:dyDescent="0.3">
      <c r="C119" t="s" s="0">
        <v>109</v>
      </c>
      <c r="E119" s="3"/>
      <c r="F119" s="24"/>
      <c r="G119" s="24"/>
      <c r="H119" s="53" t="e">
        <f>((1+H118)^10)*Q42*$G$141</f>
        <v>#VALUE!</v>
      </c>
      <c r="K119" s="2"/>
      <c r="L119" s="20"/>
      <c r="M119" s="134"/>
    </row>
    <row r="120" spans="1:32" x14ac:dyDescent="0.3">
      <c r="C120" t="s" s="0">
        <v>110</v>
      </c>
      <c r="E120" s="3"/>
      <c r="F120" s="24"/>
      <c r="G120" s="24"/>
      <c r="H120" s="50" t="e">
        <f>U43</f>
        <v>#VALUE!</v>
      </c>
      <c r="K120" s="2"/>
      <c r="L120" s="20"/>
      <c r="M120" s="134"/>
      <c r="T120" s="9"/>
      <c r="U120" s="9"/>
      <c r="V120" s="9"/>
      <c r="W120" s="9"/>
      <c r="X120" s="9"/>
      <c r="Y120" s="9"/>
      <c r="Z120" s="9"/>
    </row>
    <row r="121" spans="1:32" x14ac:dyDescent="0.3">
      <c r="C121" t="s" s="0">
        <v>111</v>
      </c>
      <c r="E121" s="3"/>
      <c r="F121" s="30"/>
      <c r="G121" s="30"/>
      <c r="H121" s="54" t="e">
        <f>H120*H119</f>
        <v>#VALUE!</v>
      </c>
      <c r="K121" s="2"/>
      <c r="L121" s="20"/>
      <c r="M121" s="134"/>
      <c r="T121" s="9"/>
      <c r="U121" s="9"/>
      <c r="V121" s="9"/>
      <c r="W121" s="9"/>
      <c r="X121" s="9"/>
      <c r="Y121" s="9"/>
      <c r="Z121" s="9"/>
    </row>
    <row r="122" spans="1:32" x14ac:dyDescent="0.3">
      <c r="C122" t="s" s="0">
        <v>105</v>
      </c>
      <c r="D122" s="2"/>
      <c r="E122" s="2"/>
      <c r="F122" s="2"/>
      <c r="G122" s="2"/>
      <c r="H122" s="55" t="e">
        <f>(H121/F90)^(1/10)-1</f>
        <v>#VALUE!</v>
      </c>
      <c r="K122" s="2"/>
      <c r="L122" s="20"/>
      <c r="M122" s="134"/>
      <c r="T122" s="9"/>
      <c r="U122" s="9"/>
      <c r="V122" s="9"/>
      <c r="W122" s="9"/>
      <c r="X122" s="9"/>
      <c r="Y122" s="9"/>
      <c r="Z122" s="9"/>
    </row>
    <row r="123" spans="1:32" x14ac:dyDescent="0.3">
      <c r="C123" t="s" s="0">
        <v>112</v>
      </c>
      <c r="F123" s="24"/>
      <c r="G123" s="24"/>
      <c r="H123" s="48" t="e">
        <f>D138*$G$141</f>
        <v>#VALUE!</v>
      </c>
      <c r="I123" s="20"/>
      <c r="K123" s="2"/>
      <c r="L123" s="20"/>
      <c r="M123" s="134"/>
    </row>
    <row r="124" spans="1:32" x14ac:dyDescent="0.3">
      <c r="C124" t="s" s="0">
        <v>113</v>
      </c>
      <c r="H124" s="56" t="e">
        <f>((H121+(G141*D138))/F90)^(1/10)-1</f>
        <v>#VALUE!</v>
      </c>
      <c r="K124" s="2"/>
      <c r="L124" s="20"/>
      <c r="M124" s="134"/>
    </row>
    <row r="125" spans="1:32" x14ac:dyDescent="0.3">
      <c r="K125" t="s" s="0">
        <v>281</v>
      </c>
    </row>
    <row r="126" spans="1:32" x14ac:dyDescent="0.3">
      <c r="D126" s="169" t="s">
        <v>114</v>
      </c>
      <c r="E126" s="169"/>
      <c r="G126" s="169" t="s">
        <v>115</v>
      </c>
      <c r="H126" s="169"/>
      <c r="J126" t="s" s="0">
        <v>116</v>
      </c>
      <c r="K126" t="s" s="0">
        <v>282</v>
      </c>
    </row>
    <row r="127" spans="1:32" x14ac:dyDescent="0.3">
      <c r="B127" s="22" t="s">
        <v>22</v>
      </c>
      <c r="C127" s="22" t="s">
        <v>117</v>
      </c>
      <c r="D127" s="57" t="s">
        <v>118</v>
      </c>
      <c r="E127" s="57" t="s">
        <v>41</v>
      </c>
      <c r="F127" s="2"/>
      <c r="G127" s="58" t="s">
        <v>118</v>
      </c>
      <c r="H127" s="59" t="s">
        <v>41</v>
      </c>
      <c r="I127" s="3" t="s">
        <v>119</v>
      </c>
      <c r="J127" s="48">
        <f>AA42</f>
        <v>44.88290398126464</v>
      </c>
      <c r="K127" s="153" t="str">
        <f>IFERROR(LEFT('ANALYST REPORT'!D6,LEN('ANALYST REPORT'!D6)-4),"N/A")</f>
        <v>N/A</v>
      </c>
      <c r="L127" s="132">
        <f>'ANALYST REPORT'!D5</f>
        <v>0</v>
      </c>
    </row>
    <row r="128" spans="1:32" x14ac:dyDescent="0.3">
      <c r="B128" s="60">
        <f>1+C42</f>
        <v>2020</v>
      </c>
      <c r="C128" s="61">
        <f>Q42*(H118+1)</f>
        <v>3.1360228518257451</v>
      </c>
      <c r="D128" s="62">
        <f t="shared" ref="D128:D137" si="14">C128*($R$43/$Q$43)</f>
        <v>1.4357125633090992</v>
      </c>
      <c r="E128" s="63">
        <f>$AA$42*(1+H104)</f>
        <v>48.648903594338414</v>
      </c>
      <c r="F128" s="0">
        <v>1</v>
      </c>
      <c r="G128" s="64">
        <f t="shared" ref="G128:G137" si="15">D128*(1/((1+$F$93)^F128))</f>
        <v>1.3938956925331061</v>
      </c>
      <c r="H128" s="64">
        <f t="shared" ref="H128:H137" si="16">E128*(1/((1+$F$93)^F128))</f>
        <v>47.231945237221758</v>
      </c>
      <c r="I128" s="65" t="s">
        <v>120</v>
      </c>
      <c r="J128" s="48">
        <f>IF(ISNUMBER(AA33),AA33,IF(ISNUMBER(AA34),AA34,IF(ISNUMBER(AA35),AA35,IF(ISNUMBER(AA36),AA36,IF(ISNUMBER(AA37),AA37,IF(ISNUMBER(AA38),AA38,IF(ISNUMBER(AA39),AA39,IF(ISNUMBER(AA40),IF(ISNUMBER(AA41),AA41,AA42)))))))))</f>
        <v>29.985501327343272</v>
      </c>
      <c r="K128" t="s" s="0">
        <v>284</v>
      </c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spans="2:12" x14ac:dyDescent="0.3">
      <c r="B129" s="60">
        <f>B128+1</f>
        <v>2021</v>
      </c>
      <c r="C129" s="61">
        <f>C128*(1+$H$118)</f>
        <v>2.9284456016059903</v>
      </c>
      <c r="D129" s="62">
        <f t="shared" si="14"/>
        <v>1.3406809643447757</v>
      </c>
      <c r="E129" s="66">
        <f>E128*(1+$H$104)</f>
        <v>52.730897758290446</v>
      </c>
      <c r="F129" s="0">
        <f>F128+1</f>
        <v>2</v>
      </c>
      <c r="G129" s="64">
        <f t="shared" si="15"/>
        <v>1.2637203924448823</v>
      </c>
      <c r="H129" s="64">
        <f t="shared" si="16"/>
        <v>49.703928511914832</v>
      </c>
      <c r="I129" s="65" t="s">
        <v>121</v>
      </c>
      <c r="J129" s="135">
        <f>MATCH(J127,AA33:AA42,0)-MATCH(J128,AA33:AA42,0)</f>
        <v>9</v>
      </c>
      <c r="K129" s="154" t="str">
        <f>IFERROR(LEFT('ANALYST REPORT'!C9,LEN('ANALYST REPORT'!C9)-4),"N/A")</f>
        <v>N/A</v>
      </c>
      <c r="L129" s="132">
        <f>'ANALYST REPORT'!C8</f>
        <v>0</v>
      </c>
    </row>
    <row r="130" spans="2:12" x14ac:dyDescent="0.3">
      <c r="B130" s="60">
        <f t="shared" ref="B130:B137" si="17">B129+1</f>
        <v>2022</v>
      </c>
      <c r="C130" s="61">
        <f t="shared" ref="C130:C137" si="18">C129*(1+$H$118)</f>
        <v>2.7346081475690691</v>
      </c>
      <c r="D130" s="62">
        <f t="shared" si="14"/>
        <v>1.2519396250274812</v>
      </c>
      <c r="E130" s="66">
        <f t="shared" ref="E130:E137" si="19">E129*(1+$H$104)</f>
        <v>57.155400696817978</v>
      </c>
      <c r="F130" s="0">
        <f t="shared" ref="F130:F137" si="20">F129+1</f>
        <v>3</v>
      </c>
      <c r="G130" s="64">
        <f t="shared" si="15"/>
        <v>1.1457021058576216</v>
      </c>
      <c r="H130" s="64">
        <f t="shared" si="16"/>
        <v>52.305288234680738</v>
      </c>
      <c r="I130" s="65" t="s">
        <v>134</v>
      </c>
      <c r="J130" s="84">
        <f>(J127/J128)^(1/J129)-1</f>
        <v>4.5835290987135124E-2</v>
      </c>
      <c r="K130" t="s" s="0">
        <v>283</v>
      </c>
    </row>
    <row r="131" spans="2:12" x14ac:dyDescent="0.3">
      <c r="B131" s="60">
        <f t="shared" si="17"/>
        <v>2023</v>
      </c>
      <c r="C131" s="61">
        <f t="shared" si="18"/>
        <v>2.5536010355289092</v>
      </c>
      <c r="D131" s="62">
        <f t="shared" si="14"/>
        <v>1.1690721852532269</v>
      </c>
      <c r="E131" s="66">
        <f t="shared" si="19"/>
        <v>61.95115136836862</v>
      </c>
      <c r="F131" s="0">
        <f t="shared" si="20"/>
        <v>4</v>
      </c>
      <c r="G131" s="64">
        <f t="shared" si="15"/>
        <v>1.0387054946759831</v>
      </c>
      <c r="H131" s="64">
        <f t="shared" si="16"/>
        <v>55.042795594259836</v>
      </c>
      <c r="K131" s="155" t="str">
        <f>IFERROR(LEFT('ANALYST REPORT'!D9,LEN('ANALYST REPORT'!D9)-4),"N/A")</f>
        <v>N/A</v>
      </c>
      <c r="L131" s="132">
        <f>'ANALYST REPORT'!D8</f>
        <v>0</v>
      </c>
    </row>
    <row r="132" spans="2:12" x14ac:dyDescent="0.3">
      <c r="B132" s="60">
        <f t="shared" si="17"/>
        <v>2024</v>
      </c>
      <c r="C132" s="61">
        <f t="shared" si="18"/>
        <v>2.3845750092023437</v>
      </c>
      <c r="D132" s="62">
        <f t="shared" si="14"/>
        <v>1.0916898443107863</v>
      </c>
      <c r="E132" s="66">
        <f t="shared" si="19"/>
        <v>67.149300137444257</v>
      </c>
      <c r="F132" s="0">
        <f t="shared" si="20"/>
        <v>5</v>
      </c>
      <c r="G132" s="64">
        <f t="shared" si="15"/>
        <v>0.94170124952546475</v>
      </c>
      <c r="H132" s="64">
        <f t="shared" si="16"/>
        <v>57.923576163808171</v>
      </c>
      <c r="I132" s="65" t="s">
        <v>122</v>
      </c>
      <c r="J132" s="48">
        <f>R42</f>
        <v>3.4313817330210772</v>
      </c>
      <c r="K132" s="86"/>
    </row>
    <row r="133" spans="2:12" x14ac:dyDescent="0.3">
      <c r="B133" s="60">
        <f t="shared" si="17"/>
        <v>2025</v>
      </c>
      <c r="C133" s="61">
        <f t="shared" si="18"/>
        <v>2.2267370256351011</v>
      </c>
      <c r="D133" s="62">
        <f t="shared" si="14"/>
        <v>1.0194295366912367</v>
      </c>
      <c r="E133" s="66">
        <f t="shared" si="19"/>
        <v>72.783611108974767</v>
      </c>
      <c r="F133" s="0">
        <f t="shared" si="20"/>
        <v>6</v>
      </c>
      <c r="G133" s="64">
        <f t="shared" si="15"/>
        <v>0.85375618777722262</v>
      </c>
      <c r="H133" s="64">
        <f t="shared" si="16"/>
        <v>60.955128448351907</v>
      </c>
      <c r="I133" s="65" t="s">
        <v>119</v>
      </c>
      <c r="J133" s="48">
        <f>J127</f>
        <v>44.88290398126464</v>
      </c>
    </row>
    <row r="134" spans="2:12" x14ac:dyDescent="0.3">
      <c r="B134" s="60">
        <f t="shared" si="17"/>
        <v>2026</v>
      </c>
      <c r="C134" s="61">
        <f t="shared" si="18"/>
        <v>2.0793465343716995</v>
      </c>
      <c r="D134" s="62">
        <f t="shared" si="14"/>
        <v>0.95195222864293305</v>
      </c>
      <c r="E134" s="66">
        <f t="shared" si="19"/>
        <v>78.890681440006134</v>
      </c>
      <c r="F134" s="0">
        <f t="shared" si="20"/>
        <v>7</v>
      </c>
      <c r="G134" s="64">
        <f t="shared" si="15"/>
        <v>0.77402427631395632</v>
      </c>
      <c r="H134" s="64">
        <f t="shared" si="16"/>
        <v>64.145343402961657</v>
      </c>
      <c r="I134" s="65" t="s">
        <v>123</v>
      </c>
      <c r="J134" s="132">
        <f>H105</f>
        <v>10</v>
      </c>
    </row>
    <row r="135" spans="2:12" x14ac:dyDescent="0.3">
      <c r="B135" s="60">
        <f t="shared" si="17"/>
        <v>2027</v>
      </c>
      <c r="C135" s="61">
        <f t="shared" si="18"/>
        <v>1.9417120029117108</v>
      </c>
      <c r="D135" s="62">
        <f t="shared" si="14"/>
        <v>0.88894132747962507</v>
      </c>
      <c r="E135" s="66">
        <f t="shared" si="19"/>
        <v>85.510179053222245</v>
      </c>
      <c r="F135" s="0">
        <f t="shared" si="20"/>
        <v>8</v>
      </c>
      <c r="G135" s="64">
        <f t="shared" si="15"/>
        <v>0.70173849267570443</v>
      </c>
      <c r="H135" s="64">
        <f t="shared" si="16"/>
        <v>67.502524972451724</v>
      </c>
      <c r="I135" s="65" t="s">
        <v>124</v>
      </c>
      <c r="J135" s="46">
        <f>F93</f>
        <v>0.03</v>
      </c>
    </row>
    <row r="136" spans="2:12" x14ac:dyDescent="0.3">
      <c r="B136" s="60">
        <f t="shared" si="17"/>
        <v>2028</v>
      </c>
      <c r="C136" s="61">
        <f t="shared" si="18"/>
        <v>1.8131876721503921</v>
      </c>
      <c r="D136" s="62">
        <f t="shared" si="14"/>
        <v>0.83010119617844769</v>
      </c>
      <c r="E136" s="66">
        <f t="shared" si="19"/>
        <v>92.685100296346988</v>
      </c>
      <c r="F136" s="0">
        <f t="shared" si="20"/>
        <v>9</v>
      </c>
      <c r="G136" s="64">
        <f t="shared" si="15"/>
        <v>0.63620344628962189</v>
      </c>
      <c r="H136" s="64">
        <f t="shared" si="16"/>
        <v>71.035411706067592</v>
      </c>
      <c r="I136" s="24"/>
      <c r="J136" s="137">
        <v>84.779700000000005</v>
      </c>
    </row>
    <row r="137" spans="2:12" x14ac:dyDescent="0.3">
      <c r="B137" s="60">
        <f t="shared" si="17"/>
        <v>2029</v>
      </c>
      <c r="C137" s="61">
        <f t="shared" si="18"/>
        <v>1.6931705265807366</v>
      </c>
      <c r="D137" s="62">
        <f t="shared" si="14"/>
        <v>0.77515576629851712</v>
      </c>
      <c r="E137" s="66">
        <f t="shared" si="19"/>
        <v>100.46204922102999</v>
      </c>
      <c r="F137" s="0">
        <f t="shared" si="20"/>
        <v>10</v>
      </c>
      <c r="G137" s="64">
        <f t="shared" si="15"/>
        <v>0.57678868879983458</v>
      </c>
      <c r="H137" s="64">
        <f t="shared" si="16"/>
        <v>74.753199503423701</v>
      </c>
      <c r="I137" s="24"/>
      <c r="J137" t="s" s="0">
        <v>125</v>
      </c>
    </row>
    <row r="138" spans="2:12" x14ac:dyDescent="0.3">
      <c r="B138" s="22" t="s">
        <v>126</v>
      </c>
      <c r="C138" s="67">
        <f>SUM(C128:C137)</f>
        <v>23.491406407381696</v>
      </c>
      <c r="D138" s="68">
        <f>SUM(D128:D137)</f>
        <v>10.75467523753613</v>
      </c>
      <c r="E138" s="69">
        <f>E137</f>
        <v>100.46204922102999</v>
      </c>
      <c r="F138" s="70"/>
      <c r="G138" s="71">
        <f>SUM(G128:G137)</f>
        <v>9.3262360268933975</v>
      </c>
      <c r="H138" s="71">
        <f t="shared" ref="H138" si="21">H137</f>
        <v>74.753199503423701</v>
      </c>
      <c r="I138" s="72"/>
    </row>
    <row r="139" spans="2:12" x14ac:dyDescent="0.3">
      <c r="D139" s="73"/>
      <c r="E139" s="66">
        <f>E138+D138</f>
        <v>111.21672445856612</v>
      </c>
      <c r="G139" s="74" t="e">
        <f>(G138+H138)*G141</f>
        <v>#VALUE!</v>
      </c>
      <c r="H139" s="75"/>
      <c r="J139" s="76"/>
    </row>
    <row r="140" spans="2:12" x14ac:dyDescent="0.3">
      <c r="G140" s="77" t="s">
        <v>127</v>
      </c>
    </row>
    <row r="141" spans="2:12" x14ac:dyDescent="0.3">
      <c r="G141" s="156" t="e">
        <f>VLOOKUP(G142,H145:I167,2,FALSE)</f>
        <v>#VALUE!</v>
      </c>
      <c r="H141" t="s" s="0">
        <v>285</v>
      </c>
    </row>
    <row r="142" spans="2:12" x14ac:dyDescent="0.3">
      <c r="B142" s="2" t="s">
        <v>225</v>
      </c>
      <c r="C142" s="38" t="e">
        <f>(G139-F90)/G139</f>
        <v>#VALUE!</v>
      </c>
      <c r="G142" s="157" t="e">
        <f>RIGHT(LEFT(RIGHT(G144,LEN(G144)-FIND(".",G144)),4),3)</f>
        <v>#VALUE!</v>
      </c>
    </row>
    <row r="144" spans="2:12" x14ac:dyDescent="0.3">
      <c r="G144" s="2" t="str">
        <f>IncomeStatement!A2</f>
        <v>Gross Profit</v>
      </c>
    </row>
    <row r="145" spans="7:10" x14ac:dyDescent="0.3">
      <c r="G145" s="0">
        <v>1</v>
      </c>
      <c r="H145" t="s" s="0">
        <v>286</v>
      </c>
      <c r="I145" s="0">
        <v>5.3999999999999999E-2</v>
      </c>
      <c r="J145" t="s" s="0">
        <v>296</v>
      </c>
    </row>
    <row r="146" spans="7:10" x14ac:dyDescent="0.3">
      <c r="G146" s="0">
        <v>1</v>
      </c>
      <c r="H146" t="s" s="0">
        <v>287</v>
      </c>
      <c r="I146" s="0">
        <v>0.12</v>
      </c>
      <c r="J146" t="s" s="0">
        <v>296</v>
      </c>
    </row>
    <row r="147" spans="7:10" x14ac:dyDescent="0.3">
      <c r="G147" s="0">
        <v>1</v>
      </c>
      <c r="H147" t="s" s="0">
        <v>288</v>
      </c>
      <c r="I147" s="0">
        <v>0.05</v>
      </c>
      <c r="J147" t="s" s="0">
        <v>296</v>
      </c>
    </row>
    <row r="148" spans="7:10" x14ac:dyDescent="0.3">
      <c r="G148" s="0">
        <v>1</v>
      </c>
      <c r="H148" t="s" s="0">
        <v>289</v>
      </c>
      <c r="I148" s="0">
        <v>0.73</v>
      </c>
      <c r="J148" t="s" s="0">
        <v>296</v>
      </c>
    </row>
    <row r="149" spans="7:10" x14ac:dyDescent="0.3">
      <c r="G149" s="0">
        <v>1</v>
      </c>
      <c r="H149" t="s" s="0">
        <v>290</v>
      </c>
      <c r="I149" s="0">
        <v>0.78</v>
      </c>
      <c r="J149" t="s" s="0">
        <v>296</v>
      </c>
    </row>
    <row r="150" spans="7:10" x14ac:dyDescent="0.3">
      <c r="G150" s="0">
        <v>1</v>
      </c>
      <c r="H150" t="s" s="0">
        <v>291</v>
      </c>
      <c r="I150" s="0">
        <v>1.23</v>
      </c>
      <c r="J150" t="s" s="0">
        <v>296</v>
      </c>
    </row>
    <row r="151" spans="7:10" x14ac:dyDescent="0.3">
      <c r="G151" s="0">
        <v>1</v>
      </c>
      <c r="H151" t="s" s="0">
        <v>292</v>
      </c>
      <c r="I151" s="0">
        <v>0.16</v>
      </c>
      <c r="J151" t="s" s="0">
        <v>296</v>
      </c>
    </row>
    <row r="152" spans="7:10" x14ac:dyDescent="0.3">
      <c r="G152" s="0">
        <v>1</v>
      </c>
      <c r="H152" t="s" s="0">
        <v>293</v>
      </c>
      <c r="I152" s="0">
        <v>1.4</v>
      </c>
      <c r="J152" t="s" s="0">
        <v>296</v>
      </c>
    </row>
    <row r="153" spans="7:10" x14ac:dyDescent="0.3">
      <c r="G153" s="0">
        <v>1</v>
      </c>
      <c r="H153" t="s" s="0">
        <v>294</v>
      </c>
      <c r="I153" s="0">
        <v>1.07</v>
      </c>
      <c r="J153" t="s" s="0">
        <v>296</v>
      </c>
    </row>
    <row r="154" spans="7:10" x14ac:dyDescent="0.3">
      <c r="G154" s="0">
        <v>1</v>
      </c>
      <c r="H154" t="s" s="0">
        <v>295</v>
      </c>
      <c r="I154" s="0">
        <v>0.79</v>
      </c>
      <c r="J154" t="s" s="0">
        <v>296</v>
      </c>
    </row>
    <row r="155" spans="7:10" x14ac:dyDescent="0.3">
      <c r="G155" s="0">
        <v>1</v>
      </c>
      <c r="H155" t="s" s="0">
        <v>296</v>
      </c>
      <c r="I155" s="0">
        <v>1</v>
      </c>
      <c r="J155" t="s" s="0">
        <v>296</v>
      </c>
    </row>
  </sheetData>
  <mergeCells count="12">
    <mergeCell ref="C1:F1"/>
    <mergeCell ref="G1:H2"/>
    <mergeCell ref="J1:V1"/>
    <mergeCell ref="B86:J87"/>
    <mergeCell ref="D126:E126"/>
    <mergeCell ref="G126:H126"/>
    <mergeCell ref="B9:I10"/>
    <mergeCell ref="B12:I13"/>
    <mergeCell ref="B15:I16"/>
    <mergeCell ref="C49:F49"/>
    <mergeCell ref="C51:F52"/>
    <mergeCell ref="B82:J83"/>
  </mergeCells>
  <conditionalFormatting sqref="A4:C4">
    <cfRule type="expression" dxfId="64" priority="36">
      <formula>$C4&gt;=0</formula>
    </cfRule>
    <cfRule type="expression" dxfId="63" priority="35">
      <formula>AND($C4&lt;0,$C4&gt;-0.25)</formula>
    </cfRule>
    <cfRule type="expression" dxfId="62" priority="34">
      <formula>$C4&lt;=-0.25</formula>
    </cfRule>
  </conditionalFormatting>
  <conditionalFormatting sqref="B32:B42 B44">
    <cfRule type="expression" dxfId="61" priority="42">
      <formula>$B32="No"</formula>
    </cfRule>
  </conditionalFormatting>
  <conditionalFormatting sqref="C67">
    <cfRule type="expression" dxfId="60" priority="41">
      <formula>$C$67&gt;=0.01</formula>
    </cfRule>
    <cfRule type="expression" dxfId="59" priority="40">
      <formula>$C$67&lt;0.01</formula>
    </cfRule>
  </conditionalFormatting>
  <conditionalFormatting sqref="C142">
    <cfRule type="cellIs" dxfId="58" priority="39" operator="greaterThan">
      <formula>0</formula>
    </cfRule>
    <cfRule type="cellIs" dxfId="57" priority="38" operator="between">
      <formula>-0.25</formula>
      <formula>0</formula>
    </cfRule>
    <cfRule type="cellIs" dxfId="56" priority="37" operator="lessThan">
      <formula>-0.25</formula>
    </cfRule>
  </conditionalFormatting>
  <conditionalFormatting sqref="C32:T32 U32:U41 R33:T41 V33:Z41 C33:Q42 AA33:AG42 R42:Z42">
    <cfRule type="expression" dxfId="55" priority="43">
      <formula>$B32="No"</formula>
    </cfRule>
  </conditionalFormatting>
  <conditionalFormatting sqref="D47">
    <cfRule type="expression" dxfId="54" priority="60">
      <formula>$D$47="SLOWING DOWN"</formula>
    </cfRule>
    <cfRule type="expression" dxfId="53" priority="59">
      <formula>$D$47="SPEEDING UP"</formula>
    </cfRule>
  </conditionalFormatting>
  <conditionalFormatting sqref="D65">
    <cfRule type="expression" dxfId="52" priority="55">
      <formula>$D$65&gt;=0.12</formula>
    </cfRule>
    <cfRule type="cellIs" dxfId="51" priority="56" operator="lessThan">
      <formula>0.12</formula>
    </cfRule>
  </conditionalFormatting>
  <conditionalFormatting sqref="E56">
    <cfRule type="cellIs" dxfId="50" priority="46" operator="lessThan">
      <formula>0.15</formula>
    </cfRule>
    <cfRule type="expression" dxfId="49" priority="45">
      <formula>$E$56&gt;=0.15</formula>
    </cfRule>
  </conditionalFormatting>
  <conditionalFormatting sqref="E58">
    <cfRule type="expression" dxfId="48" priority="57">
      <formula>$E$58&gt;=0.12</formula>
    </cfRule>
    <cfRule type="cellIs" dxfId="47" priority="58" operator="lessThan">
      <formula>0.12</formula>
    </cfRule>
  </conditionalFormatting>
  <conditionalFormatting sqref="E79">
    <cfRule type="expression" dxfId="46" priority="50">
      <formula>$E$79&gt;=0.04</formula>
    </cfRule>
    <cfRule type="expression" dxfId="45" priority="49">
      <formula>$E$79&lt;0.04</formula>
    </cfRule>
  </conditionalFormatting>
  <conditionalFormatting sqref="F91">
    <cfRule type="expression" dxfId="44" priority="48">
      <formula>$F$91&lt;$F$93</formula>
    </cfRule>
    <cfRule type="expression" dxfId="43" priority="47">
      <formula>$F$91&gt;$F$93</formula>
    </cfRule>
  </conditionalFormatting>
  <conditionalFormatting sqref="G138:I142">
    <cfRule type="expression" dxfId="42" priority="1">
      <formula>$G$142&lt;&gt;"USD"</formula>
    </cfRule>
  </conditionalFormatting>
  <conditionalFormatting sqref="G145:J164">
    <cfRule type="expression" dxfId="41" priority="2">
      <formula>$H145=$G$142</formula>
    </cfRule>
  </conditionalFormatting>
  <conditionalFormatting sqref="H72">
    <cfRule type="expression" dxfId="40" priority="52">
      <formula>$H$72="NO"</formula>
    </cfRule>
    <cfRule type="expression" dxfId="39" priority="51">
      <formula>$H$72="YES"</formula>
    </cfRule>
  </conditionalFormatting>
  <conditionalFormatting sqref="I29">
    <cfRule type="expression" dxfId="38" priority="7">
      <formula>$A29=$O$29</formula>
    </cfRule>
    <cfRule type="expression" dxfId="37" priority="8">
      <formula>$A29=$L$29</formula>
    </cfRule>
    <cfRule type="expression" dxfId="36" priority="9">
      <formula>$A29=$J$29</formula>
    </cfRule>
    <cfRule type="expression" dxfId="35" priority="10">
      <formula>$A29=$I$29</formula>
    </cfRule>
  </conditionalFormatting>
  <conditionalFormatting sqref="I69">
    <cfRule type="cellIs" dxfId="34" priority="54" operator="greaterThan">
      <formula>5</formula>
    </cfRule>
    <cfRule type="expression" dxfId="33" priority="53">
      <formula>$I$69&lt;=5</formula>
    </cfRule>
  </conditionalFormatting>
  <conditionalFormatting sqref="J4">
    <cfRule type="expression" dxfId="32" priority="33">
      <formula>$J4="SLOWING DOWN"</formula>
    </cfRule>
    <cfRule type="expression" dxfId="31" priority="32">
      <formula>$J4="SPEEDING UP"</formula>
    </cfRule>
  </conditionalFormatting>
  <conditionalFormatting sqref="K4">
    <cfRule type="expression" dxfId="30" priority="31">
      <formula>AND($I4="FINANCIAL",$K4&gt;=0.12)</formula>
    </cfRule>
    <cfRule type="expression" dxfId="29" priority="30">
      <formula>AND($I4="FINANCIAL",$K4&lt;0.12)</formula>
    </cfRule>
    <cfRule type="expression" dxfId="28" priority="29">
      <formula>AND($I4="NONFINANCIAL",$K4&gt;=0.15)</formula>
    </cfRule>
    <cfRule type="expression" dxfId="27" priority="28">
      <formula>AND($I4="NONFINANCIAL",$K4&lt;0.15)</formula>
    </cfRule>
  </conditionalFormatting>
  <conditionalFormatting sqref="L4">
    <cfRule type="expression" dxfId="26" priority="26">
      <formula>$L4&lt;0.12</formula>
    </cfRule>
    <cfRule type="expression" dxfId="25" priority="27">
      <formula>$L4&gt;=0.12</formula>
    </cfRule>
  </conditionalFormatting>
  <conditionalFormatting sqref="M4">
    <cfRule type="expression" dxfId="24" priority="25">
      <formula>AND($I4="NONFINANCIAL",$M4&gt;=0.12)</formula>
    </cfRule>
    <cfRule type="expression" dxfId="23" priority="24">
      <formula>AND($I4="NONFINANCIAL",$M4&lt;0.12)</formula>
    </cfRule>
  </conditionalFormatting>
  <conditionalFormatting sqref="N4:O4">
    <cfRule type="expression" dxfId="22" priority="23">
      <formula>AND($I4="FINANCIAL",$N4&gt;0.01,$N4&lt;0.014)</formula>
    </cfRule>
    <cfRule type="expression" dxfId="21" priority="22">
      <formula>AND($I4="FINANCIAL",$N4&gt;=0.014)</formula>
    </cfRule>
    <cfRule type="expression" dxfId="20" priority="21">
      <formula>AND($I4="FINANCIAL",$N4&lt;0.01)</formula>
    </cfRule>
  </conditionalFormatting>
  <conditionalFormatting sqref="O4">
    <cfRule type="expression" dxfId="19" priority="20">
      <formula>$O4&lt;=5</formula>
    </cfRule>
    <cfRule type="expression" dxfId="18" priority="19">
      <formula>$O4&gt;5</formula>
    </cfRule>
  </conditionalFormatting>
  <conditionalFormatting sqref="P4">
    <cfRule type="expression" dxfId="17" priority="18">
      <formula>$P4="YES"</formula>
    </cfRule>
    <cfRule type="expression" dxfId="16" priority="17">
      <formula>$P4="NO"</formula>
    </cfRule>
  </conditionalFormatting>
  <conditionalFormatting sqref="Q4">
    <cfRule type="expression" dxfId="15" priority="12">
      <formula>AND($Q4&gt;=0.1,$Q4&lt;0.12)</formula>
    </cfRule>
    <cfRule type="expression" dxfId="14" priority="13">
      <formula>$Q4&gt;=0.12</formula>
    </cfRule>
    <cfRule type="expression" dxfId="13" priority="11">
      <formula>$Q4&lt;0.1</formula>
    </cfRule>
  </conditionalFormatting>
  <conditionalFormatting sqref="R4">
    <cfRule type="expression" dxfId="12" priority="16">
      <formula>$R4&gt;=0.12</formula>
    </cfRule>
    <cfRule type="expression" dxfId="11" priority="15">
      <formula>AND($R4&gt;=0.1,$R4&lt;0.12)</formula>
    </cfRule>
    <cfRule type="expression" dxfId="10" priority="14">
      <formula>$R4&lt;0.1</formula>
    </cfRule>
  </conditionalFormatting>
  <conditionalFormatting sqref="V32:AG32 AA44:AB44">
    <cfRule type="expression" dxfId="9" priority="44">
      <formula>$B32="No"</formula>
    </cfRule>
  </conditionalFormatting>
  <dataValidations disablePrompts="1" count="3">
    <dataValidation type="list" allowBlank="1" showInputMessage="1" showErrorMessage="1" sqref="E31:AJ31" xr:uid="{00000000-0002-0000-0000-000000000000}">
      <formula1>$AG$8:$AG$12</formula1>
    </dataValidation>
    <dataValidation type="list" allowBlank="1" showInputMessage="1" showErrorMessage="1" sqref="B32:B42" xr:uid="{00000000-0002-0000-0000-000001000000}">
      <formula1>$AI$8:$AI$9</formula1>
    </dataValidation>
    <dataValidation type="list" allowBlank="1" showInputMessage="1" showErrorMessage="1" sqref="E57" xr:uid="{00000000-0002-0000-0000-000002000000}">
      <formula1>$AI$12:$AI$13</formula1>
    </dataValidation>
  </dataValidations>
  <hyperlinks>
    <hyperlink ref="I93" r:id="rId1" xr:uid="{00000000-0004-0000-0000-000000000000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0E53-C790-46A6-A132-9C610F209CCD}">
  <dimension ref="A1:L16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44.5546875"/>
    <col min="2" max="2" bestFit="true" customWidth="true" width="27.21875"/>
    <col min="3" max="3" bestFit="true" customWidth="true" width="12.0"/>
  </cols>
  <sheetData>
    <row r="1" spans="1:12" ht="15" thickBot="1" x14ac:dyDescent="0.35">
      <c r="A1" s="163" t="s">
        <v>130</v>
      </c>
    </row>
    <row r="2" spans="1:12" ht="15" thickTop="1" x14ac:dyDescent="0.3">
      <c r="A2" t="s" s="0">
        <v>539</v>
      </c>
      <c r="B2" s="186" t="n">
        <v>72880.0</v>
      </c>
      <c r="C2" s="186" t="n">
        <v>29760.0</v>
      </c>
      <c r="D2" s="186" t="n">
        <v>4368.0</v>
      </c>
      <c r="E2" s="186" t="n">
        <v>9752.0</v>
      </c>
      <c r="F2" s="186" t="n">
        <v>4332.0</v>
      </c>
      <c r="G2" s="186" t="n">
        <v>2796.0</v>
      </c>
      <c r="H2" s="186" t="n">
        <v>4141.0</v>
      </c>
      <c r="I2" s="186" t="n">
        <v>3047.0</v>
      </c>
      <c r="J2" s="186" t="n">
        <v>1666.0</v>
      </c>
      <c r="K2" s="186" t="n">
        <v>614.0</v>
      </c>
      <c r="L2" s="186" t="n">
        <v>631.0</v>
      </c>
    </row>
    <row r="3" spans="1:12" x14ac:dyDescent="0.3">
      <c r="A3" t="s" s="0">
        <v>585</v>
      </c>
      <c r="B3" s="185" t="n">
        <v>24804.0</v>
      </c>
      <c r="C3" s="185" t="n">
        <v>24940.0</v>
      </c>
      <c r="D3" s="185" t="n">
        <v>25070.0</v>
      </c>
      <c r="E3" s="185" t="n">
        <v>25350.0</v>
      </c>
      <c r="F3" s="185" t="n">
        <v>25100.0</v>
      </c>
      <c r="G3" s="185" t="n">
        <v>24720.0</v>
      </c>
      <c r="H3" s="185" t="n">
        <v>25000.0</v>
      </c>
      <c r="I3" s="185" t="n">
        <v>25280.0</v>
      </c>
      <c r="J3" s="185" t="n">
        <v>25960.0</v>
      </c>
      <c r="K3" s="185" t="n">
        <v>22760.0</v>
      </c>
      <c r="L3" s="185" t="n">
        <v>22520.0</v>
      </c>
    </row>
    <row r="5" spans="1:12" ht="15" thickBot="1" x14ac:dyDescent="0.35">
      <c r="A5" s="163" t="s">
        <v>253</v>
      </c>
    </row>
    <row r="6" spans="1:12" ht="15" thickTop="1" x14ac:dyDescent="0.3">
      <c r="A6" t="s" s="0">
        <v>251</v>
      </c>
    </row>
    <row r="7" spans="1:12" x14ac:dyDescent="0.3">
      <c r="A7" t="s" s="0">
        <v>252</v>
      </c>
    </row>
    <row r="9" spans="1:12" ht="15" thickBot="1" x14ac:dyDescent="0.35">
      <c r="A9" s="163" t="s">
        <v>131</v>
      </c>
    </row>
    <row r="10" spans="1:12" ht="15" thickTop="1" x14ac:dyDescent="0.3">
      <c r="A10" t="s" s="0">
        <v>1597</v>
      </c>
    </row>
    <row r="11" spans="1:12" x14ac:dyDescent="0.3">
      <c r="A11" t="s" s="0">
        <v>1598</v>
      </c>
    </row>
    <row r="12" spans="1:12" x14ac:dyDescent="0.3">
      <c r="A12" t="s" s="0">
        <v>192</v>
      </c>
    </row>
    <row r="13" spans="1:12" x14ac:dyDescent="0.3">
      <c r="A13" t="s" s="0">
        <v>1600</v>
      </c>
    </row>
    <row r="15" spans="1:12" ht="15" thickBot="1" x14ac:dyDescent="0.35">
      <c r="A15" s="163" t="s">
        <v>132</v>
      </c>
    </row>
    <row r="16" spans="1:12" ht="15" thickTop="1" x14ac:dyDescent="0.3">
      <c r="A16" t="s" s="0">
        <v>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5"/>
  <sheetViews>
    <sheetView showFormulas="1" topLeftCell="A18" workbookViewId="0">
      <selection activeCell="C27" sqref="C27"/>
    </sheetView>
  </sheetViews>
  <sheetFormatPr defaultRowHeight="14.4" x14ac:dyDescent="0.3"/>
  <cols>
    <col min="1" max="1" bestFit="true" customWidth="true" width="64.6640625"/>
    <col min="15" max="15" customWidth="true" width="27.44140625"/>
  </cols>
  <sheetData>
    <row r="1" spans="1:25" x14ac:dyDescent="0.3">
      <c r="A1" t="s" s="0">
        <v>297</v>
      </c>
      <c r="B1" t="s" s="0">
        <v>298</v>
      </c>
      <c r="C1" t="s" s="0">
        <v>299</v>
      </c>
      <c r="D1" t="s" s="0">
        <v>300</v>
      </c>
      <c r="E1" t="s" s="0">
        <v>301</v>
      </c>
      <c r="F1" t="s" s="0">
        <v>302</v>
      </c>
      <c r="G1" t="s" s="0">
        <v>303</v>
      </c>
      <c r="H1" t="s" s="0">
        <v>304</v>
      </c>
      <c r="I1" t="s" s="0">
        <v>305</v>
      </c>
      <c r="J1" t="s" s="0">
        <v>306</v>
      </c>
      <c r="K1" t="s" s="0">
        <v>307</v>
      </c>
      <c r="L1" t="s" s="0">
        <v>1</v>
      </c>
      <c r="P1" t="str" s="0">
        <f t="shared" ref="P1:P64" si="0">B1</f>
        <v>2010</v>
      </c>
      <c r="Q1" t="str" s="0">
        <f t="shared" ref="Q1:Q64" si="1">C1</f>
        <v>2011</v>
      </c>
      <c r="R1" t="str" s="0">
        <f t="shared" ref="R1:R64" si="2">D1</f>
        <v>2012</v>
      </c>
      <c r="S1" t="str" s="0">
        <f t="shared" ref="S1:S64" si="3">E1</f>
        <v>2013</v>
      </c>
      <c r="T1" t="str" s="0">
        <f t="shared" ref="T1:T64" si="4">F1</f>
        <v>2014</v>
      </c>
      <c r="U1" t="str" s="0">
        <f t="shared" ref="U1:U64" si="5">G1</f>
        <v>2015</v>
      </c>
      <c r="V1" t="str" s="0">
        <f t="shared" ref="V1:V64" si="6">H1</f>
        <v>2016</v>
      </c>
      <c r="W1" t="str" s="0">
        <f t="shared" ref="W1:W64" si="7">I1</f>
        <v>2017</v>
      </c>
      <c r="X1" t="str" s="0">
        <f t="shared" ref="X1:X64" si="8">J1</f>
        <v>2018</v>
      </c>
      <c r="Y1" t="str" s="0">
        <f t="shared" ref="Y1:Y64" si="9">K1</f>
        <v>2019</v>
      </c>
    </row>
    <row r="2" spans="1:25" x14ac:dyDescent="0.3">
      <c r="A2" t="s" s="0">
        <v>308</v>
      </c>
      <c r="B2" t="s" s="0">
        <v>309</v>
      </c>
      <c r="C2" t="s" s="0">
        <v>310</v>
      </c>
      <c r="D2" t="s" s="0">
        <v>311</v>
      </c>
      <c r="E2" t="s" s="0">
        <v>312</v>
      </c>
      <c r="F2" t="s" s="0">
        <v>313</v>
      </c>
      <c r="G2" t="s" s="0">
        <v>314</v>
      </c>
      <c r="H2" t="s" s="0">
        <v>315</v>
      </c>
      <c r="I2" t="s" s="0">
        <v>316</v>
      </c>
      <c r="J2" t="s" s="0">
        <v>317</v>
      </c>
      <c r="K2" t="s" s="0">
        <v>318</v>
      </c>
      <c r="L2" t="s" s="0">
        <v>319</v>
      </c>
      <c r="O2" t="str" s="0">
        <f>A2&amp;COUNTIF($A2:$A$3,A2)</f>
        <v>Gross Profit1</v>
      </c>
      <c r="P2" t="str" s="0">
        <f t="shared" si="0"/>
        <v>110,246,000,000</v>
      </c>
      <c r="Q2" t="str" s="0">
        <f t="shared" si="1"/>
        <v>130,835,000,000</v>
      </c>
      <c r="R2" t="str" s="0">
        <f t="shared" si="2"/>
        <v>101,156,000,000</v>
      </c>
      <c r="S2" t="str" s="0">
        <f t="shared" si="3"/>
        <v>88,384,000,000</v>
      </c>
      <c r="T2" t="str" s="0">
        <f t="shared" si="4"/>
        <v>80,635,000,000</v>
      </c>
      <c r="U2" t="str" s="0">
        <f t="shared" si="5"/>
        <v>53,172,000,000</v>
      </c>
      <c r="V2" t="str" s="0">
        <f t="shared" si="6"/>
        <v>39,112,000,000</v>
      </c>
      <c r="W2" t="str" s="0">
        <f t="shared" si="7"/>
        <v>54,924,000,000</v>
      </c>
      <c r="X2" t="str" s="0">
        <f t="shared" si="8"/>
        <v>67,733,000,000</v>
      </c>
      <c r="Y2" t="str" s="0">
        <f t="shared" si="9"/>
        <v>55,958,000,000</v>
      </c>
    </row>
    <row r="3" spans="1:25" x14ac:dyDescent="0.3">
      <c r="A3" t="s" s="0">
        <v>320</v>
      </c>
      <c r="B3" t="s" s="0">
        <v>321</v>
      </c>
      <c r="C3" t="s" s="0">
        <v>322</v>
      </c>
      <c r="D3" t="s" s="0">
        <v>323</v>
      </c>
      <c r="E3" t="s" s="0">
        <v>324</v>
      </c>
      <c r="F3" t="s" s="0">
        <v>325</v>
      </c>
      <c r="G3" t="s" s="0">
        <v>326</v>
      </c>
      <c r="H3" t="s" s="0">
        <v>327</v>
      </c>
      <c r="I3" t="s" s="0">
        <v>328</v>
      </c>
      <c r="J3" t="s" s="0">
        <v>329</v>
      </c>
      <c r="K3" t="s" s="0">
        <v>330</v>
      </c>
      <c r="L3" t="s" s="0">
        <v>331</v>
      </c>
      <c r="O3" t="str" s="0">
        <f>A3&amp;COUNTIF($A$3:$A3,A3)</f>
        <v xml:space="preserve">    Total Revenue1</v>
      </c>
      <c r="P3" t="str" s="0">
        <f t="shared" si="0"/>
        <v>372,544,000,000</v>
      </c>
      <c r="Q3" t="str" s="0">
        <f t="shared" si="1"/>
        <v>471,140,000,000</v>
      </c>
      <c r="R3" t="str" s="0">
        <f t="shared" si="2"/>
        <v>453,123,000,000</v>
      </c>
      <c r="S3" t="str" s="0">
        <f t="shared" si="3"/>
        <v>420,836,000,000</v>
      </c>
      <c r="T3" t="str" s="0">
        <f t="shared" si="4"/>
        <v>394,105,000,000</v>
      </c>
      <c r="U3" t="str" s="0">
        <f t="shared" si="5"/>
        <v>259,488,000,000</v>
      </c>
      <c r="V3" t="str" s="0">
        <f t="shared" si="6"/>
        <v>218,608,000,000</v>
      </c>
      <c r="W3" t="str" s="0">
        <f t="shared" si="7"/>
        <v>237,162,000,000</v>
      </c>
      <c r="X3" t="str" s="0">
        <f t="shared" si="8"/>
        <v>279,332,000,000</v>
      </c>
      <c r="Y3" t="str" s="0">
        <f t="shared" si="9"/>
        <v>255,583,000,000</v>
      </c>
    </row>
    <row r="4" spans="1:25" x14ac:dyDescent="0.3">
      <c r="A4" t="s" s="0">
        <v>332</v>
      </c>
      <c r="B4" t="s" s="0">
        <v>333</v>
      </c>
      <c r="C4" t="s" s="0">
        <v>334</v>
      </c>
      <c r="D4" t="s" s="0">
        <v>323</v>
      </c>
      <c r="E4" t="s" s="0">
        <v>324</v>
      </c>
      <c r="F4" t="s" s="0">
        <v>325</v>
      </c>
      <c r="G4" t="s" s="0">
        <v>326</v>
      </c>
      <c r="H4" t="s" s="0">
        <v>327</v>
      </c>
      <c r="I4" t="s" s="0">
        <v>328</v>
      </c>
      <c r="J4" t="s" s="0">
        <v>329</v>
      </c>
      <c r="K4" t="s" s="0">
        <v>330</v>
      </c>
      <c r="L4" t="s" s="0">
        <v>331</v>
      </c>
      <c r="O4" t="str" s="0">
        <f>A4&amp;COUNTIF($A$3:$A4,A4)</f>
        <v xml:space="preserve">        Business Revenue1</v>
      </c>
      <c r="P4" t="str" s="0">
        <f t="shared" si="0"/>
        <v>370,125,000,000</v>
      </c>
      <c r="Q4" t="str" s="0">
        <f t="shared" si="1"/>
        <v>467,029,000,000</v>
      </c>
      <c r="R4" t="str" s="0">
        <f t="shared" si="2"/>
        <v>453,123,000,000</v>
      </c>
      <c r="S4" t="str" s="0">
        <f t="shared" si="3"/>
        <v>420,836,000,000</v>
      </c>
      <c r="T4" t="str" s="0">
        <f t="shared" si="4"/>
        <v>394,105,000,000</v>
      </c>
      <c r="U4" t="str" s="0">
        <f t="shared" si="5"/>
        <v>259,488,000,000</v>
      </c>
      <c r="V4" t="str" s="0">
        <f t="shared" si="6"/>
        <v>218,608,000,000</v>
      </c>
      <c r="W4" t="str" s="0">
        <f t="shared" si="7"/>
        <v>237,162,000,000</v>
      </c>
      <c r="X4" t="str" s="0">
        <f t="shared" si="8"/>
        <v>279,332,000,000</v>
      </c>
      <c r="Y4" t="str" s="0">
        <f t="shared" si="9"/>
        <v>255,583,000,000</v>
      </c>
    </row>
    <row r="5" spans="1:25" x14ac:dyDescent="0.3">
      <c r="A5" t="s" s="0">
        <v>335</v>
      </c>
      <c r="B5" t="s" s="0">
        <v>336</v>
      </c>
      <c r="C5" t="s" s="0">
        <v>337</v>
      </c>
      <c r="D5" t="s" s="0">
        <v>338</v>
      </c>
      <c r="E5" t="s" s="0">
        <v>338</v>
      </c>
      <c r="F5" t="s" s="0">
        <v>338</v>
      </c>
      <c r="G5" t="s" s="0">
        <v>338</v>
      </c>
      <c r="H5" t="s" s="0">
        <v>338</v>
      </c>
      <c r="I5" t="s" s="0">
        <v>338</v>
      </c>
      <c r="J5" t="s" s="0">
        <v>338</v>
      </c>
      <c r="K5" t="s" s="0">
        <v>338</v>
      </c>
      <c r="L5" t="s" s="0">
        <v>338</v>
      </c>
      <c r="O5" t="str" s="0">
        <f>A5&amp;COUNTIF($A$3:$A5,A5)</f>
        <v xml:space="preserve">        Other Revenue1</v>
      </c>
      <c r="P5" t="str" s="0">
        <f t="shared" si="0"/>
        <v>2,419,000,000</v>
      </c>
      <c r="Q5" t="str" s="0">
        <f t="shared" si="1"/>
        <v>4,111,000,000</v>
      </c>
      <c r="R5" t="str" s="0">
        <f t="shared" si="2"/>
        <v/>
      </c>
      <c r="S5" t="str" s="0">
        <f t="shared" si="3"/>
        <v/>
      </c>
      <c r="T5" t="str" s="0">
        <f t="shared" si="4"/>
        <v/>
      </c>
      <c r="U5" t="str" s="0">
        <f t="shared" si="5"/>
        <v/>
      </c>
      <c r="V5" t="str" s="0">
        <f t="shared" si="6"/>
        <v/>
      </c>
      <c r="W5" t="str" s="0">
        <f t="shared" si="7"/>
        <v/>
      </c>
      <c r="X5" t="str" s="0">
        <f t="shared" si="8"/>
        <v/>
      </c>
      <c r="Y5" t="str" s="0">
        <f t="shared" si="9"/>
        <v/>
      </c>
    </row>
    <row r="6" spans="1:25" x14ac:dyDescent="0.3">
      <c r="A6" t="s" s="0">
        <v>339</v>
      </c>
      <c r="B6" t="s" s="0">
        <v>340</v>
      </c>
      <c r="C6" t="s" s="0">
        <v>341</v>
      </c>
      <c r="D6" t="s" s="0">
        <v>342</v>
      </c>
      <c r="E6" t="s" s="0">
        <v>343</v>
      </c>
      <c r="F6" t="s" s="0">
        <v>344</v>
      </c>
      <c r="G6" t="s" s="0">
        <v>345</v>
      </c>
      <c r="H6" t="s" s="0">
        <v>346</v>
      </c>
      <c r="I6" t="s" s="0">
        <v>347</v>
      </c>
      <c r="J6" t="s" s="0">
        <v>348</v>
      </c>
      <c r="K6" t="s" s="0">
        <v>349</v>
      </c>
      <c r="L6" t="s" s="0">
        <v>350</v>
      </c>
      <c r="O6" t="str" s="0">
        <f>A6&amp;COUNTIF($A$3:$A6,A6)</f>
        <v xml:space="preserve">    Cost of Revenue1</v>
      </c>
      <c r="P6" t="str" s="0">
        <f t="shared" si="0"/>
        <v>-262,298,000,000</v>
      </c>
      <c r="Q6" t="str" s="0">
        <f t="shared" si="1"/>
        <v>-340,305,000,000</v>
      </c>
      <c r="R6" t="str" s="0">
        <f t="shared" si="2"/>
        <v>-351,967,000,000</v>
      </c>
      <c r="S6" t="str" s="0">
        <f t="shared" si="3"/>
        <v>-332,452,000,000</v>
      </c>
      <c r="T6" t="str" s="0">
        <f t="shared" si="4"/>
        <v>-313,470,000,000</v>
      </c>
      <c r="U6" t="str" s="0">
        <f t="shared" si="5"/>
        <v>-206,316,000,000</v>
      </c>
      <c r="V6" t="str" s="0">
        <f t="shared" si="6"/>
        <v>-179,496,000,000</v>
      </c>
      <c r="W6" t="str" s="0">
        <f t="shared" si="7"/>
        <v>-182,238,000,000</v>
      </c>
      <c r="X6" t="str" s="0">
        <f t="shared" si="8"/>
        <v>-211,599,000,000</v>
      </c>
      <c r="Y6" t="str" s="0">
        <f t="shared" si="9"/>
        <v>-199,625,000,000</v>
      </c>
    </row>
    <row r="7" spans="1:25" x14ac:dyDescent="0.3">
      <c r="A7" t="s" s="0">
        <v>351</v>
      </c>
      <c r="B7" t="s" s="0">
        <v>338</v>
      </c>
      <c r="C7" t="s" s="0">
        <v>338</v>
      </c>
      <c r="D7" t="s" s="0">
        <v>352</v>
      </c>
      <c r="E7" t="s" s="0">
        <v>353</v>
      </c>
      <c r="F7" t="s" s="0">
        <v>354</v>
      </c>
      <c r="G7" t="s" s="0">
        <v>355</v>
      </c>
      <c r="H7" t="s" s="0">
        <v>356</v>
      </c>
      <c r="I7" t="s" s="0">
        <v>357</v>
      </c>
      <c r="J7" t="s" s="0">
        <v>358</v>
      </c>
      <c r="K7" t="s" s="0">
        <v>359</v>
      </c>
      <c r="L7" t="s" s="0">
        <v>360</v>
      </c>
      <c r="O7" t="str" s="0">
        <f>A7&amp;COUNTIF($A$3:$A7,A7)</f>
        <v xml:space="preserve">        Cost of Goods and Services1</v>
      </c>
      <c r="P7" t="str" s="0">
        <f t="shared" si="0"/>
        <v/>
      </c>
      <c r="Q7" t="str" s="0">
        <f t="shared" si="1"/>
        <v/>
      </c>
      <c r="R7" t="str" s="0">
        <f t="shared" si="2"/>
        <v>-303,670,000,000</v>
      </c>
      <c r="S7" t="str" s="0">
        <f t="shared" si="3"/>
        <v>-284,681,000,000</v>
      </c>
      <c r="T7" t="str" s="0">
        <f t="shared" si="4"/>
        <v>-266,831,000,000</v>
      </c>
      <c r="U7" t="str" s="0">
        <f t="shared" si="5"/>
        <v>-165,590,000,000</v>
      </c>
      <c r="V7" t="str" s="0">
        <f t="shared" si="6"/>
        <v>-136,098,000,000</v>
      </c>
      <c r="W7" t="str" s="0">
        <f t="shared" si="7"/>
        <v>-162,345,000,000</v>
      </c>
      <c r="X7" t="str" s="0">
        <f t="shared" si="8"/>
        <v>-192,854,000,000</v>
      </c>
      <c r="Y7" t="str" s="0">
        <f t="shared" si="9"/>
        <v>-180,627,000,000</v>
      </c>
    </row>
    <row r="8" spans="1:25" x14ac:dyDescent="0.3">
      <c r="A8" t="s" s="0">
        <v>361</v>
      </c>
      <c r="B8" t="s" s="0">
        <v>338</v>
      </c>
      <c r="C8" t="s" s="0">
        <v>338</v>
      </c>
      <c r="D8" t="s" s="0">
        <v>362</v>
      </c>
      <c r="E8" t="s" s="0">
        <v>363</v>
      </c>
      <c r="F8" t="s" s="0">
        <v>364</v>
      </c>
      <c r="G8" t="s" s="0">
        <v>365</v>
      </c>
      <c r="H8" t="s" s="0">
        <v>366</v>
      </c>
      <c r="I8" t="s" s="0">
        <v>367</v>
      </c>
      <c r="J8" t="s" s="0">
        <v>368</v>
      </c>
      <c r="K8" t="s" s="0">
        <v>369</v>
      </c>
      <c r="L8" t="s" s="0">
        <v>370</v>
      </c>
      <c r="O8" t="str" s="0">
        <f>A8&amp;COUNTIF($A$3:$A8,A8)</f>
        <v xml:space="preserve">        Depreciation &amp; Amortization, Cost of Revenue1</v>
      </c>
      <c r="P8" t="str" s="0">
        <f t="shared" si="0"/>
        <v/>
      </c>
      <c r="Q8" t="str" s="0">
        <f t="shared" si="1"/>
        <v/>
      </c>
      <c r="R8" t="str" s="0">
        <f t="shared" si="2"/>
        <v>-15,888,000,000</v>
      </c>
      <c r="S8" t="str" s="0">
        <f t="shared" si="3"/>
        <v>-17,182,000,000</v>
      </c>
      <c r="T8" t="str" s="0">
        <f t="shared" si="4"/>
        <v>-17,297,000,000</v>
      </c>
      <c r="U8" t="str" s="0">
        <f t="shared" si="5"/>
        <v>-18,048,000,000</v>
      </c>
      <c r="V8" t="str" s="0">
        <f t="shared" si="6"/>
        <v>-22,308,000,000</v>
      </c>
      <c r="W8" t="str" s="0">
        <f t="shared" si="7"/>
        <v>-19,893,000,000</v>
      </c>
      <c r="X8" t="str" s="0">
        <f t="shared" si="8"/>
        <v>-18,745,000,000</v>
      </c>
      <c r="Y8" t="str" s="0">
        <f t="shared" si="9"/>
        <v>-18,998,000,000</v>
      </c>
    </row>
    <row r="9" spans="1:25" x14ac:dyDescent="0.3">
      <c r="A9" t="s" s="0">
        <v>371</v>
      </c>
      <c r="B9" t="s" s="0">
        <v>338</v>
      </c>
      <c r="C9" t="s" s="0">
        <v>338</v>
      </c>
      <c r="D9" t="s" s="0">
        <v>372</v>
      </c>
      <c r="E9" t="s" s="0">
        <v>373</v>
      </c>
      <c r="F9" t="s" s="0">
        <v>374</v>
      </c>
      <c r="G9" t="s" s="0">
        <v>375</v>
      </c>
      <c r="H9" t="s" s="0">
        <v>376</v>
      </c>
      <c r="I9" t="s" s="0">
        <v>338</v>
      </c>
      <c r="J9" t="s" s="0">
        <v>338</v>
      </c>
      <c r="K9" t="s" s="0">
        <v>338</v>
      </c>
      <c r="L9" t="s" s="0">
        <v>338</v>
      </c>
      <c r="O9" t="str" s="0">
        <f>A9&amp;COUNTIF($A$3:$A9,A9)</f>
        <v xml:space="preserve">        Taxes, Cost of Revenue1</v>
      </c>
      <c r="P9" t="str" s="0">
        <f t="shared" si="0"/>
        <v/>
      </c>
      <c r="Q9" t="str" s="0">
        <f t="shared" si="1"/>
        <v/>
      </c>
      <c r="R9" t="str" s="0">
        <f t="shared" si="2"/>
        <v>-32,409,000,000</v>
      </c>
      <c r="S9" t="str" s="0">
        <f t="shared" si="3"/>
        <v>-30,589,000,000</v>
      </c>
      <c r="T9" t="str" s="0">
        <f t="shared" si="4"/>
        <v>-29,342,000,000</v>
      </c>
      <c r="U9" t="str" s="0">
        <f t="shared" si="5"/>
        <v>-22,678,000,000</v>
      </c>
      <c r="V9" t="str" s="0">
        <f t="shared" si="6"/>
        <v>-21,090,000,000</v>
      </c>
      <c r="W9" t="str" s="0">
        <f t="shared" si="7"/>
        <v/>
      </c>
      <c r="X9" t="str" s="0">
        <f t="shared" si="8"/>
        <v/>
      </c>
      <c r="Y9" t="str" s="0">
        <f t="shared" si="9"/>
        <v/>
      </c>
    </row>
    <row r="10" spans="1:25" x14ac:dyDescent="0.3">
      <c r="A10" t="s" s="0">
        <v>377</v>
      </c>
      <c r="B10" t="s" s="0">
        <v>378</v>
      </c>
      <c r="C10" t="s" s="0">
        <v>379</v>
      </c>
      <c r="D10" t="s" s="0">
        <v>380</v>
      </c>
      <c r="E10" t="s" s="0">
        <v>381</v>
      </c>
      <c r="F10" t="s" s="0">
        <v>382</v>
      </c>
      <c r="G10" t="s" s="0">
        <v>383</v>
      </c>
      <c r="H10" t="s" s="0">
        <v>384</v>
      </c>
      <c r="I10" t="s" s="0">
        <v>385</v>
      </c>
      <c r="J10" t="s" s="0">
        <v>386</v>
      </c>
      <c r="K10" t="s" s="0">
        <v>387</v>
      </c>
      <c r="L10" t="s" s="0">
        <v>388</v>
      </c>
      <c r="O10" t="str" s="0">
        <f>A10&amp;COUNTIF($A$3:$A10,A10)</f>
        <v>Operating Income/Expenses1</v>
      </c>
      <c r="P10" t="str" s="0">
        <f t="shared" si="0"/>
        <v>-67,705,000,000</v>
      </c>
      <c r="Q10" t="str" s="0">
        <f t="shared" si="1"/>
        <v>-72,620,000,000</v>
      </c>
      <c r="R10" t="str" s="0">
        <f t="shared" si="2"/>
        <v>-51,275,000,000</v>
      </c>
      <c r="S10" t="str" s="0">
        <f t="shared" si="3"/>
        <v>-48,083,000,000</v>
      </c>
      <c r="T10" t="str" s="0">
        <f t="shared" si="4"/>
        <v>-46,553,000,000</v>
      </c>
      <c r="U10" t="str" s="0">
        <f t="shared" si="5"/>
        <v>-40,289,000,000</v>
      </c>
      <c r="V10" t="str" s="0">
        <f t="shared" si="6"/>
        <v>-38,176,000,000</v>
      </c>
      <c r="W10" t="str" s="0">
        <f t="shared" si="7"/>
        <v>-42,850,000,000</v>
      </c>
      <c r="X10" t="str" s="0">
        <f t="shared" si="8"/>
        <v>-45,609,000,000</v>
      </c>
      <c r="Y10" t="str" s="0">
        <f t="shared" si="9"/>
        <v>-43,192,000,000</v>
      </c>
    </row>
    <row r="11" spans="1:25" x14ac:dyDescent="0.3">
      <c r="A11" t="s" s="0">
        <v>389</v>
      </c>
      <c r="B11" t="s" s="0">
        <v>390</v>
      </c>
      <c r="C11" t="s" s="0">
        <v>391</v>
      </c>
      <c r="D11" t="s" s="0">
        <v>392</v>
      </c>
      <c r="E11" t="s" s="0">
        <v>393</v>
      </c>
      <c r="F11" t="s" s="0">
        <v>394</v>
      </c>
      <c r="G11" t="s" s="0">
        <v>395</v>
      </c>
      <c r="H11" t="s" s="0">
        <v>396</v>
      </c>
      <c r="I11" t="s" s="0">
        <v>397</v>
      </c>
      <c r="J11" t="s" s="0">
        <v>398</v>
      </c>
      <c r="K11" t="s" s="0">
        <v>399</v>
      </c>
      <c r="L11" t="s" s="0">
        <v>400</v>
      </c>
      <c r="O11" t="str" s="0">
        <f>A11&amp;COUNTIF($A$3:$A11,A11)</f>
        <v xml:space="preserve">    Selling, General and Administrative Expenses1</v>
      </c>
      <c r="P11" t="str" s="0">
        <f t="shared" si="0"/>
        <v>-14,683,000,000</v>
      </c>
      <c r="Q11" t="str" s="0">
        <f t="shared" si="1"/>
        <v>-14,983,000,000</v>
      </c>
      <c r="R11" t="str" s="0">
        <f t="shared" si="2"/>
        <v>-13,877,000,000</v>
      </c>
      <c r="S11" t="str" s="0">
        <f t="shared" si="3"/>
        <v>-12,877,000,000</v>
      </c>
      <c r="T11" t="str" s="0">
        <f t="shared" si="4"/>
        <v>-12,598,000,000</v>
      </c>
      <c r="U11" t="str" s="0">
        <f t="shared" si="5"/>
        <v>-11,501,000,000</v>
      </c>
      <c r="V11" t="str" s="0">
        <f t="shared" si="6"/>
        <v>-10,799,000,000</v>
      </c>
      <c r="W11" t="str" s="0">
        <f t="shared" si="7"/>
        <v>-10,956,000,000</v>
      </c>
      <c r="X11" t="str" s="0">
        <f t="shared" si="8"/>
        <v>-11,480,000,000</v>
      </c>
      <c r="Y11" t="str" s="0">
        <f t="shared" si="9"/>
        <v>-11,398,000,000</v>
      </c>
    </row>
    <row r="12" spans="1:25" x14ac:dyDescent="0.3">
      <c r="A12" t="s" s="0">
        <v>401</v>
      </c>
      <c r="B12" t="s" s="0">
        <v>402</v>
      </c>
      <c r="C12" t="s" s="0">
        <v>403</v>
      </c>
      <c r="D12" t="s" s="0">
        <v>404</v>
      </c>
      <c r="E12" t="s" s="0">
        <v>405</v>
      </c>
      <c r="F12" t="s" s="0">
        <v>406</v>
      </c>
      <c r="G12" t="s" s="0">
        <v>407</v>
      </c>
      <c r="H12" t="s" s="0">
        <v>408</v>
      </c>
      <c r="I12" t="s" s="0">
        <v>409</v>
      </c>
      <c r="J12" t="s" s="0">
        <v>410</v>
      </c>
      <c r="K12" t="s" s="0">
        <v>411</v>
      </c>
      <c r="L12" t="s" s="0">
        <v>412</v>
      </c>
      <c r="O12" t="str" s="0">
        <f>A12&amp;COUNTIF($A$3:$A12,A12)</f>
        <v xml:space="preserve">    Exploration Expenses1</v>
      </c>
      <c r="P12" t="str" s="0">
        <f t="shared" si="0"/>
        <v>-2,144,000,000</v>
      </c>
      <c r="Q12" t="str" s="0">
        <f t="shared" si="1"/>
        <v>-2,081,000,000</v>
      </c>
      <c r="R12" t="str" s="0">
        <f t="shared" si="2"/>
        <v>-1,840,000,000</v>
      </c>
      <c r="S12" t="str" s="0">
        <f t="shared" si="3"/>
        <v>-1,976,000,000</v>
      </c>
      <c r="T12" t="str" s="0">
        <f t="shared" si="4"/>
        <v>-1,669,000,000</v>
      </c>
      <c r="U12" t="str" s="0">
        <f t="shared" si="5"/>
        <v>-1,523,000,000</v>
      </c>
      <c r="V12" t="str" s="0">
        <f t="shared" si="6"/>
        <v>-1,467,000,000</v>
      </c>
      <c r="W12" t="str" s="0">
        <f t="shared" si="7"/>
        <v>-1,790,000,000</v>
      </c>
      <c r="X12" t="str" s="0">
        <f t="shared" si="8"/>
        <v>-1,466,000,000</v>
      </c>
      <c r="Y12" t="str" s="0">
        <f t="shared" si="9"/>
        <v>-1,269,000,000</v>
      </c>
    </row>
    <row r="13" spans="1:25" x14ac:dyDescent="0.3">
      <c r="A13" t="s" s="0">
        <v>413</v>
      </c>
      <c r="B13" t="s" s="0">
        <v>414</v>
      </c>
      <c r="C13" t="s" s="0">
        <v>415</v>
      </c>
      <c r="D13" t="s" s="0">
        <v>416</v>
      </c>
      <c r="E13" t="s" s="0">
        <v>417</v>
      </c>
      <c r="F13" t="s" s="0">
        <v>418</v>
      </c>
      <c r="G13" t="s" s="0">
        <v>419</v>
      </c>
      <c r="H13" t="s" s="0">
        <v>420</v>
      </c>
      <c r="I13" t="s" s="0">
        <v>421</v>
      </c>
      <c r="J13" t="s" s="0">
        <v>422</v>
      </c>
      <c r="K13" t="s" s="0">
        <v>423</v>
      </c>
      <c r="L13" t="s" s="0">
        <v>424</v>
      </c>
      <c r="O13" t="str" s="0">
        <f>A13&amp;COUNTIF($A$3:$A13,A13)</f>
        <v xml:space="preserve">    Taxes Other Than Income Taxes1</v>
      </c>
      <c r="P13" t="str" s="0">
        <f t="shared" si="0"/>
        <v>-36,118,000,000</v>
      </c>
      <c r="Q13" t="str" s="0">
        <f t="shared" si="1"/>
        <v>-39,973,000,000</v>
      </c>
      <c r="R13" t="str" s="0">
        <f t="shared" si="2"/>
        <v>-35,558,000,000</v>
      </c>
      <c r="S13" t="str" s="0">
        <f t="shared" si="3"/>
        <v>-33,230,000,000</v>
      </c>
      <c r="T13" t="str" s="0">
        <f t="shared" si="4"/>
        <v>-32,286,000,000</v>
      </c>
      <c r="U13" t="str" s="0">
        <f t="shared" si="5"/>
        <v>-27,265,000,000</v>
      </c>
      <c r="V13" t="str" s="0">
        <f t="shared" si="6"/>
        <v>-25,910,000,000</v>
      </c>
      <c r="W13" t="str" s="0">
        <f t="shared" si="7"/>
        <v>-30,104,000,000</v>
      </c>
      <c r="X13" t="str" s="0">
        <f t="shared" si="8"/>
        <v>-32,663,000,000</v>
      </c>
      <c r="Y13" t="str" s="0">
        <f t="shared" si="9"/>
        <v>-30,525,000,000</v>
      </c>
    </row>
    <row r="14" spans="1:25" x14ac:dyDescent="0.3">
      <c r="A14" t="s" s="0">
        <v>425</v>
      </c>
      <c r="B14" t="s" s="0">
        <v>426</v>
      </c>
      <c r="C14" t="s" s="0">
        <v>427</v>
      </c>
      <c r="D14" t="s" s="0">
        <v>338</v>
      </c>
      <c r="E14" t="s" s="0">
        <v>338</v>
      </c>
      <c r="F14" t="s" s="0">
        <v>338</v>
      </c>
      <c r="G14" t="s" s="0">
        <v>338</v>
      </c>
      <c r="H14" t="s" s="0">
        <v>338</v>
      </c>
      <c r="I14" t="s" s="0">
        <v>338</v>
      </c>
      <c r="J14" t="s" s="0">
        <v>338</v>
      </c>
      <c r="K14" t="s" s="0">
        <v>338</v>
      </c>
      <c r="L14" t="s" s="0">
        <v>338</v>
      </c>
      <c r="O14" t="str" s="0">
        <f>A14&amp;COUNTIF($A$3:$A14,A14)</f>
        <v xml:space="preserve">    Depreciation, Amortization and Depletion1</v>
      </c>
      <c r="P14" t="str" s="0">
        <f t="shared" si="0"/>
        <v>-14,760,000,000</v>
      </c>
      <c r="Q14" t="str" s="0">
        <f t="shared" si="1"/>
        <v>-15,583,000,000</v>
      </c>
      <c r="R14" t="str" s="0">
        <f t="shared" si="2"/>
        <v/>
      </c>
      <c r="S14" t="str" s="0">
        <f t="shared" si="3"/>
        <v/>
      </c>
      <c r="T14" t="str" s="0">
        <f t="shared" si="4"/>
        <v/>
      </c>
      <c r="U14" t="str" s="0">
        <f t="shared" si="5"/>
        <v/>
      </c>
      <c r="V14" t="str" s="0">
        <f t="shared" si="6"/>
        <v/>
      </c>
      <c r="W14" t="str" s="0">
        <f t="shared" si="7"/>
        <v/>
      </c>
      <c r="X14" t="str" s="0">
        <f t="shared" si="8"/>
        <v/>
      </c>
      <c r="Y14" t="str" s="0">
        <f t="shared" si="9"/>
        <v/>
      </c>
    </row>
    <row r="15" spans="1:25" x14ac:dyDescent="0.3">
      <c r="A15" t="s" s="0">
        <v>428</v>
      </c>
      <c r="B15" t="s" s="0">
        <v>429</v>
      </c>
      <c r="C15" t="s" s="0">
        <v>430</v>
      </c>
      <c r="D15" t="s" s="0">
        <v>431</v>
      </c>
      <c r="E15" t="s" s="0">
        <v>432</v>
      </c>
      <c r="F15" t="s" s="0">
        <v>433</v>
      </c>
      <c r="G15" t="s" s="0">
        <v>434</v>
      </c>
      <c r="H15" t="s" s="0">
        <v>435</v>
      </c>
      <c r="I15" t="s" s="0">
        <v>436</v>
      </c>
      <c r="J15" t="s" s="0">
        <v>437</v>
      </c>
      <c r="K15" t="s" s="0">
        <v>438</v>
      </c>
      <c r="L15" t="s" s="0">
        <v>439</v>
      </c>
      <c r="O15" t="str" s="0">
        <f>A15&amp;COUNTIF($A$3:$A15,A15)</f>
        <v>Total Operating Profit/Loss1</v>
      </c>
      <c r="P15" t="str" s="0">
        <f t="shared" si="0"/>
        <v>42,541,000,000</v>
      </c>
      <c r="Q15" t="str" s="0">
        <f t="shared" si="1"/>
        <v>58,215,000,000</v>
      </c>
      <c r="R15" t="str" s="0">
        <f t="shared" si="2"/>
        <v>49,881,000,000</v>
      </c>
      <c r="S15" t="str" s="0">
        <f t="shared" si="3"/>
        <v>40,301,000,000</v>
      </c>
      <c r="T15" t="str" s="0">
        <f t="shared" si="4"/>
        <v>34,082,000,000</v>
      </c>
      <c r="U15" t="str" s="0">
        <f t="shared" si="5"/>
        <v>12,883,000,000</v>
      </c>
      <c r="V15" t="str" s="0">
        <f t="shared" si="6"/>
        <v>936,000,000</v>
      </c>
      <c r="W15" t="str" s="0">
        <f t="shared" si="7"/>
        <v>12,074,000,000</v>
      </c>
      <c r="X15" t="str" s="0">
        <f t="shared" si="8"/>
        <v>22,124,000,000</v>
      </c>
      <c r="Y15" t="str" s="0">
        <f t="shared" si="9"/>
        <v>12,766,000,000</v>
      </c>
    </row>
    <row r="16" spans="1:25" x14ac:dyDescent="0.3">
      <c r="A16" t="s" s="0">
        <v>440</v>
      </c>
      <c r="B16" t="s" s="0">
        <v>441</v>
      </c>
      <c r="C16" t="s" s="0">
        <v>442</v>
      </c>
      <c r="D16" t="s" s="0">
        <v>443</v>
      </c>
      <c r="E16" t="s" s="0">
        <v>444</v>
      </c>
      <c r="F16" t="s" s="0">
        <v>445</v>
      </c>
      <c r="G16" t="s" s="0">
        <v>446</v>
      </c>
      <c r="H16" t="s" s="0">
        <v>447</v>
      </c>
      <c r="I16" t="s" s="0">
        <v>448</v>
      </c>
      <c r="J16" t="s" s="0">
        <v>449</v>
      </c>
      <c r="K16" t="s" s="0">
        <v>450</v>
      </c>
      <c r="L16" t="s" s="0">
        <v>451</v>
      </c>
      <c r="O16" t="str" s="0">
        <f>A16&amp;COUNTIF($A$3:$A16,A16)</f>
        <v>Non-Operating Income/Expenses, Total1</v>
      </c>
      <c r="P16" t="str" s="0">
        <f t="shared" si="0"/>
        <v>10,418,000,000</v>
      </c>
      <c r="Q16" t="str" s="0">
        <f t="shared" si="1"/>
        <v>15,042,000,000</v>
      </c>
      <c r="R16" t="str" s="0">
        <f t="shared" si="2"/>
        <v>28,845,000,000</v>
      </c>
      <c r="S16" t="str" s="0">
        <f t="shared" si="3"/>
        <v>17,410,000,000</v>
      </c>
      <c r="T16" t="str" s="0">
        <f t="shared" si="4"/>
        <v>17,548,000,000</v>
      </c>
      <c r="U16" t="str" s="0">
        <f t="shared" si="5"/>
        <v>9,083,000,000</v>
      </c>
      <c r="V16" t="str" s="0">
        <f t="shared" si="6"/>
        <v>7,033,000,000</v>
      </c>
      <c r="W16" t="str" s="0">
        <f t="shared" si="7"/>
        <v>6,600,000,000</v>
      </c>
      <c r="X16" t="str" s="0">
        <f t="shared" si="8"/>
        <v>8,829,000,000</v>
      </c>
      <c r="Y16" t="str" s="0">
        <f t="shared" si="9"/>
        <v>7,290,000,000</v>
      </c>
    </row>
    <row r="17" spans="1:25" x14ac:dyDescent="0.3">
      <c r="A17" t="s" s="0">
        <v>452</v>
      </c>
      <c r="B17" t="s" s="0">
        <v>453</v>
      </c>
      <c r="C17" t="s" s="0">
        <v>454</v>
      </c>
      <c r="D17" t="s" s="0">
        <v>455</v>
      </c>
      <c r="E17" t="s" s="0">
        <v>456</v>
      </c>
      <c r="F17" t="s" s="0">
        <v>457</v>
      </c>
      <c r="G17" t="s" s="0">
        <v>458</v>
      </c>
      <c r="H17" t="s" s="0">
        <v>459</v>
      </c>
      <c r="I17" t="s" s="0">
        <v>460</v>
      </c>
      <c r="J17" t="s" s="0">
        <v>461</v>
      </c>
      <c r="K17" t="s" s="0">
        <v>462</v>
      </c>
      <c r="L17" t="s" s="0">
        <v>463</v>
      </c>
      <c r="O17" t="str" s="0">
        <f>A17&amp;COUNTIF($A$3:$A17,A17)</f>
        <v xml:space="preserve">    Total Net Finance Income/Expense1</v>
      </c>
      <c r="P17" t="str" s="0">
        <f t="shared" si="0"/>
        <v>-259,000,000</v>
      </c>
      <c r="Q17" t="str" s="0">
        <f t="shared" si="1"/>
        <v>-247,000,000</v>
      </c>
      <c r="R17" t="str" s="0">
        <f t="shared" si="2"/>
        <v>-327,000,000</v>
      </c>
      <c r="S17" t="str" s="0">
        <f t="shared" si="3"/>
        <v>-9,000,000</v>
      </c>
      <c r="T17" t="str" s="0">
        <f t="shared" si="4"/>
        <v>-286,000,000</v>
      </c>
      <c r="U17" t="str" s="0">
        <f t="shared" si="5"/>
        <v>-311,000,000</v>
      </c>
      <c r="V17" t="str" s="0">
        <f t="shared" si="6"/>
        <v>-453,000,000</v>
      </c>
      <c r="W17" t="str" s="0">
        <f t="shared" si="7"/>
        <v>-601,000,000</v>
      </c>
      <c r="X17" t="str" s="0">
        <f t="shared" si="8"/>
        <v>-766,000,000</v>
      </c>
      <c r="Y17" t="str" s="0">
        <f t="shared" si="9"/>
        <v>-830,000,000</v>
      </c>
    </row>
    <row r="18" spans="1:25" x14ac:dyDescent="0.3">
      <c r="A18" t="s" s="0">
        <v>464</v>
      </c>
      <c r="B18" t="s" s="0">
        <v>453</v>
      </c>
      <c r="C18" t="s" s="0">
        <v>454</v>
      </c>
      <c r="D18" t="s" s="0">
        <v>455</v>
      </c>
      <c r="E18" t="s" s="0">
        <v>456</v>
      </c>
      <c r="F18" t="s" s="0">
        <v>457</v>
      </c>
      <c r="G18" t="s" s="0">
        <v>458</v>
      </c>
      <c r="H18" t="s" s="0">
        <v>459</v>
      </c>
      <c r="I18" t="s" s="0">
        <v>460</v>
      </c>
      <c r="J18" t="s" s="0">
        <v>461</v>
      </c>
      <c r="K18" t="s" s="0">
        <v>462</v>
      </c>
      <c r="L18" t="s" s="0">
        <v>463</v>
      </c>
      <c r="O18" t="str" s="0">
        <f>A18&amp;COUNTIF($A$3:$A18,A18)</f>
        <v xml:space="preserve">        Net Interest Income/Expense1</v>
      </c>
      <c r="P18" t="str" s="0">
        <f t="shared" si="0"/>
        <v>-259,000,000</v>
      </c>
      <c r="Q18" t="str" s="0">
        <f t="shared" si="1"/>
        <v>-247,000,000</v>
      </c>
      <c r="R18" t="str" s="0">
        <f t="shared" si="2"/>
        <v>-327,000,000</v>
      </c>
      <c r="S18" t="str" s="0">
        <f t="shared" si="3"/>
        <v>-9,000,000</v>
      </c>
      <c r="T18" t="str" s="0">
        <f t="shared" si="4"/>
        <v>-286,000,000</v>
      </c>
      <c r="U18" t="str" s="0">
        <f t="shared" si="5"/>
        <v>-311,000,000</v>
      </c>
      <c r="V18" t="str" s="0">
        <f t="shared" si="6"/>
        <v>-453,000,000</v>
      </c>
      <c r="W18" t="str" s="0">
        <f t="shared" si="7"/>
        <v>-601,000,000</v>
      </c>
      <c r="X18" t="str" s="0">
        <f t="shared" si="8"/>
        <v>-766,000,000</v>
      </c>
      <c r="Y18" t="str" s="0">
        <f t="shared" si="9"/>
        <v>-830,000,000</v>
      </c>
    </row>
    <row r="19" spans="1:25" x14ac:dyDescent="0.3">
      <c r="A19" t="s" s="0">
        <v>465</v>
      </c>
      <c r="B19" t="s" s="0">
        <v>453</v>
      </c>
      <c r="C19" t="s" s="0">
        <v>454</v>
      </c>
      <c r="D19" t="s" s="0">
        <v>455</v>
      </c>
      <c r="E19" t="s" s="0">
        <v>456</v>
      </c>
      <c r="F19" t="s" s="0">
        <v>457</v>
      </c>
      <c r="G19" t="s" s="0">
        <v>458</v>
      </c>
      <c r="H19" t="s" s="0">
        <v>459</v>
      </c>
      <c r="I19" t="s" s="0">
        <v>460</v>
      </c>
      <c r="J19" t="s" s="0">
        <v>461</v>
      </c>
      <c r="K19" t="s" s="0">
        <v>462</v>
      </c>
      <c r="L19" t="s" s="0">
        <v>463</v>
      </c>
      <c r="O19" t="str" s="0">
        <f>A19&amp;COUNTIF($A$3:$A19,A19)</f>
        <v xml:space="preserve">            Interest Expense Net of Capitalized Interest1</v>
      </c>
      <c r="P19" t="str" s="0">
        <f t="shared" si="0"/>
        <v>-259,000,000</v>
      </c>
      <c r="Q19" t="str" s="0">
        <f t="shared" si="1"/>
        <v>-247,000,000</v>
      </c>
      <c r="R19" t="str" s="0">
        <f t="shared" si="2"/>
        <v>-327,000,000</v>
      </c>
      <c r="S19" t="str" s="0">
        <f t="shared" si="3"/>
        <v>-9,000,000</v>
      </c>
      <c r="T19" t="str" s="0">
        <f t="shared" si="4"/>
        <v>-286,000,000</v>
      </c>
      <c r="U19" t="str" s="0">
        <f t="shared" si="5"/>
        <v>-311,000,000</v>
      </c>
      <c r="V19" t="str" s="0">
        <f t="shared" si="6"/>
        <v>-453,000,000</v>
      </c>
      <c r="W19" t="str" s="0">
        <f t="shared" si="7"/>
        <v>-601,000,000</v>
      </c>
      <c r="X19" t="str" s="0">
        <f t="shared" si="8"/>
        <v>-766,000,000</v>
      </c>
      <c r="Y19" t="str" s="0">
        <f t="shared" si="9"/>
        <v>-830,000,000</v>
      </c>
    </row>
    <row r="20" spans="1:25" x14ac:dyDescent="0.3">
      <c r="A20" t="s" s="0">
        <v>466</v>
      </c>
      <c r="B20" t="s" s="0">
        <v>467</v>
      </c>
      <c r="C20" t="s" s="0">
        <v>468</v>
      </c>
      <c r="D20" t="s" s="0">
        <v>469</v>
      </c>
      <c r="E20" t="s" s="0">
        <v>470</v>
      </c>
      <c r="F20" t="s" s="0">
        <v>471</v>
      </c>
      <c r="G20" t="s" s="0">
        <v>472</v>
      </c>
      <c r="H20" t="s" s="0">
        <v>473</v>
      </c>
      <c r="I20" t="s" s="0">
        <v>474</v>
      </c>
      <c r="J20" t="s" s="0">
        <v>475</v>
      </c>
      <c r="K20" t="s" s="0">
        <v>476</v>
      </c>
      <c r="L20" t="s" s="0">
        <v>477</v>
      </c>
      <c r="O20" t="str" s="0">
        <f>A20&amp;COUNTIF($A$3:$A20,A20)</f>
        <v xml:space="preserve">    Net Investment Income1</v>
      </c>
      <c r="P20" t="str" s="0">
        <f t="shared" si="0"/>
        <v>10,677,000,000</v>
      </c>
      <c r="Q20" t="str" s="0">
        <f t="shared" si="1"/>
        <v>15,289,000,000</v>
      </c>
      <c r="R20" t="str" s="0">
        <f t="shared" si="2"/>
        <v>15,010,000,000</v>
      </c>
      <c r="S20" t="str" s="0">
        <f t="shared" si="3"/>
        <v>13,927,000,000</v>
      </c>
      <c r="T20" t="str" s="0">
        <f t="shared" si="4"/>
        <v>13,323,000,000</v>
      </c>
      <c r="U20" t="str" s="0">
        <f t="shared" si="5"/>
        <v>7,644,000,000</v>
      </c>
      <c r="V20" t="str" s="0">
        <f t="shared" si="6"/>
        <v>4,806,000,000</v>
      </c>
      <c r="W20" t="str" s="0">
        <f t="shared" si="7"/>
        <v>5,380,000,000</v>
      </c>
      <c r="X20" t="str" s="0">
        <f t="shared" si="8"/>
        <v>7,355,000,000</v>
      </c>
      <c r="Y20" t="str" s="0">
        <f t="shared" si="9"/>
        <v>5,441,000,000</v>
      </c>
    </row>
    <row r="21" spans="1:25" x14ac:dyDescent="0.3">
      <c r="A21" t="s" s="0">
        <v>478</v>
      </c>
      <c r="B21" t="s" s="0">
        <v>467</v>
      </c>
      <c r="C21" t="s" s="0">
        <v>468</v>
      </c>
      <c r="D21" t="s" s="0">
        <v>469</v>
      </c>
      <c r="E21" t="s" s="0">
        <v>470</v>
      </c>
      <c r="F21" t="s" s="0">
        <v>471</v>
      </c>
      <c r="G21" t="s" s="0">
        <v>472</v>
      </c>
      <c r="H21" t="s" s="0">
        <v>473</v>
      </c>
      <c r="I21" t="s" s="0">
        <v>474</v>
      </c>
      <c r="J21" t="s" s="0">
        <v>475</v>
      </c>
      <c r="K21" t="s" s="0">
        <v>476</v>
      </c>
      <c r="L21" t="s" s="0">
        <v>477</v>
      </c>
      <c r="O21" t="str" s="0">
        <f>A21&amp;COUNTIF($A$3:$A21,A21)</f>
        <v xml:space="preserve">        Income from Associates, Joint Ventures and Other Participating Interests1</v>
      </c>
      <c r="P21" t="str" s="0">
        <f t="shared" si="0"/>
        <v>10,677,000,000</v>
      </c>
      <c r="Q21" t="str" s="0">
        <f t="shared" si="1"/>
        <v>15,289,000,000</v>
      </c>
      <c r="R21" t="str" s="0">
        <f t="shared" si="2"/>
        <v>15,010,000,000</v>
      </c>
      <c r="S21" t="str" s="0">
        <f t="shared" si="3"/>
        <v>13,927,000,000</v>
      </c>
      <c r="T21" t="str" s="0">
        <f t="shared" si="4"/>
        <v>13,323,000,000</v>
      </c>
      <c r="U21" t="str" s="0">
        <f t="shared" si="5"/>
        <v>7,644,000,000</v>
      </c>
      <c r="V21" t="str" s="0">
        <f t="shared" si="6"/>
        <v>4,806,000,000</v>
      </c>
      <c r="W21" t="str" s="0">
        <f t="shared" si="7"/>
        <v>5,380,000,000</v>
      </c>
      <c r="X21" t="str" s="0">
        <f t="shared" si="8"/>
        <v>7,355,000,000</v>
      </c>
      <c r="Y21" t="str" s="0">
        <f t="shared" si="9"/>
        <v>5,441,000,000</v>
      </c>
    </row>
    <row r="22" spans="1:25" x14ac:dyDescent="0.3">
      <c r="A22" t="s" s="0">
        <v>479</v>
      </c>
      <c r="B22" t="s" s="0">
        <v>338</v>
      </c>
      <c r="C22" t="s" s="0">
        <v>338</v>
      </c>
      <c r="D22" t="s" s="0">
        <v>469</v>
      </c>
      <c r="E22" t="s" s="0">
        <v>470</v>
      </c>
      <c r="F22" t="s" s="0">
        <v>471</v>
      </c>
      <c r="G22" t="s" s="0">
        <v>472</v>
      </c>
      <c r="H22" t="s" s="0">
        <v>473</v>
      </c>
      <c r="I22" t="s" s="0">
        <v>474</v>
      </c>
      <c r="J22" t="s" s="0">
        <v>475</v>
      </c>
      <c r="K22" t="s" s="0">
        <v>476</v>
      </c>
      <c r="L22" t="s" s="0">
        <v>477</v>
      </c>
      <c r="O22" t="str" s="0">
        <f>A22&amp;COUNTIF($A$3:$A22,A22)</f>
        <v xml:space="preserve">            Share of Profit and Interest from Associates1</v>
      </c>
      <c r="P22" t="str" s="0">
        <f t="shared" si="0"/>
        <v/>
      </c>
      <c r="Q22" t="str" s="0">
        <f t="shared" si="1"/>
        <v/>
      </c>
      <c r="R22" t="str" s="0">
        <f t="shared" si="2"/>
        <v>15,010,000,000</v>
      </c>
      <c r="S22" t="str" s="0">
        <f t="shared" si="3"/>
        <v>13,927,000,000</v>
      </c>
      <c r="T22" t="str" s="0">
        <f t="shared" si="4"/>
        <v>13,323,000,000</v>
      </c>
      <c r="U22" t="str" s="0">
        <f t="shared" si="5"/>
        <v>7,644,000,000</v>
      </c>
      <c r="V22" t="str" s="0">
        <f t="shared" si="6"/>
        <v>4,806,000,000</v>
      </c>
      <c r="W22" t="str" s="0">
        <f t="shared" si="7"/>
        <v>5,380,000,000</v>
      </c>
      <c r="X22" t="str" s="0">
        <f t="shared" si="8"/>
        <v>7,355,000,000</v>
      </c>
      <c r="Y22" t="str" s="0">
        <f t="shared" si="9"/>
        <v>5,441,000,000</v>
      </c>
    </row>
    <row r="23" spans="1:25" x14ac:dyDescent="0.3">
      <c r="A23" t="s" s="0">
        <v>480</v>
      </c>
      <c r="B23" t="s" s="0">
        <v>338</v>
      </c>
      <c r="C23" t="s" s="0">
        <v>338</v>
      </c>
      <c r="D23" t="s" s="0">
        <v>481</v>
      </c>
      <c r="E23" t="s" s="0">
        <v>482</v>
      </c>
      <c r="F23" t="s" s="0">
        <v>483</v>
      </c>
      <c r="G23" t="s" s="0">
        <v>484</v>
      </c>
      <c r="H23" t="s" s="0">
        <v>485</v>
      </c>
      <c r="I23" t="s" s="0">
        <v>486</v>
      </c>
      <c r="J23" t="s" s="0">
        <v>487</v>
      </c>
      <c r="K23" t="s" s="0">
        <v>488</v>
      </c>
      <c r="L23" t="s" s="0">
        <v>489</v>
      </c>
      <c r="O23" t="str" s="0">
        <f>A23&amp;COUNTIF($A$3:$A23,A23)</f>
        <v xml:space="preserve">    Other Income/Expense, Non-Operating1</v>
      </c>
      <c r="P23" t="str" s="0">
        <f t="shared" si="0"/>
        <v/>
      </c>
      <c r="Q23" t="str" s="0">
        <f t="shared" si="1"/>
        <v/>
      </c>
      <c r="R23" t="str" s="0">
        <f t="shared" si="2"/>
        <v>14,162,000,000</v>
      </c>
      <c r="S23" t="str" s="0">
        <f t="shared" si="3"/>
        <v>3,492,000,000</v>
      </c>
      <c r="T23" t="str" s="0">
        <f t="shared" si="4"/>
        <v>4,511,000,000</v>
      </c>
      <c r="U23" t="str" s="0">
        <f t="shared" si="5"/>
        <v>1,750,000,000</v>
      </c>
      <c r="V23" t="str" s="0">
        <f t="shared" si="6"/>
        <v>2,680,000,000</v>
      </c>
      <c r="W23" t="str" s="0">
        <f t="shared" si="7"/>
        <v>1,821,000,000</v>
      </c>
      <c r="X23" t="str" s="0">
        <f t="shared" si="8"/>
        <v>2,240,000,000</v>
      </c>
      <c r="Y23" t="str" s="0">
        <f t="shared" si="9"/>
        <v>2,679,000,000</v>
      </c>
    </row>
    <row r="24" spans="1:25" x14ac:dyDescent="0.3">
      <c r="A24" t="s" s="0">
        <v>490</v>
      </c>
      <c r="B24" t="s" s="0">
        <v>491</v>
      </c>
      <c r="C24" t="s" s="0">
        <v>492</v>
      </c>
      <c r="D24" t="s" s="0">
        <v>493</v>
      </c>
      <c r="E24" t="s" s="0">
        <v>494</v>
      </c>
      <c r="F24" t="s" s="0">
        <v>495</v>
      </c>
      <c r="G24" t="s" s="0">
        <v>496</v>
      </c>
      <c r="H24" t="s" s="0">
        <v>497</v>
      </c>
      <c r="I24" t="s" s="0">
        <v>498</v>
      </c>
      <c r="J24" t="s" s="0">
        <v>499</v>
      </c>
      <c r="K24" t="s" s="0">
        <v>500</v>
      </c>
      <c r="L24" t="s" s="0">
        <v>501</v>
      </c>
      <c r="O24" t="str" s="0">
        <f>A24&amp;COUNTIF($A$3:$A24,A24)</f>
        <v>Pretax Income1</v>
      </c>
      <c r="P24" t="str" s="0">
        <f t="shared" si="0"/>
        <v>52,959,000,000</v>
      </c>
      <c r="Q24" t="str" s="0">
        <f t="shared" si="1"/>
        <v>73,257,000,000</v>
      </c>
      <c r="R24" t="str" s="0">
        <f t="shared" si="2"/>
        <v>78,726,000,000</v>
      </c>
      <c r="S24" t="str" s="0">
        <f t="shared" si="3"/>
        <v>57,711,000,000</v>
      </c>
      <c r="T24" t="str" s="0">
        <f t="shared" si="4"/>
        <v>51,630,000,000</v>
      </c>
      <c r="U24" t="str" s="0">
        <f t="shared" si="5"/>
        <v>21,966,000,000</v>
      </c>
      <c r="V24" t="str" s="0">
        <f t="shared" si="6"/>
        <v>7,969,000,000</v>
      </c>
      <c r="W24" t="str" s="0">
        <f t="shared" si="7"/>
        <v>18,674,000,000</v>
      </c>
      <c r="X24" t="str" s="0">
        <f t="shared" si="8"/>
        <v>30,953,000,000</v>
      </c>
      <c r="Y24" t="str" s="0">
        <f t="shared" si="9"/>
        <v>20,056,000,000</v>
      </c>
    </row>
    <row r="25" spans="1:25" x14ac:dyDescent="0.3">
      <c r="A25" t="s" s="0">
        <v>502</v>
      </c>
      <c r="B25" t="s" s="0">
        <v>503</v>
      </c>
      <c r="C25" t="s" s="0">
        <v>504</v>
      </c>
      <c r="D25" t="s" s="0">
        <v>505</v>
      </c>
      <c r="E25" t="s" s="0">
        <v>506</v>
      </c>
      <c r="F25" t="s" s="0">
        <v>507</v>
      </c>
      <c r="G25" t="s" s="0">
        <v>508</v>
      </c>
      <c r="H25" t="s" s="0">
        <v>509</v>
      </c>
      <c r="I25" t="s" s="0">
        <v>510</v>
      </c>
      <c r="J25" t="s" s="0">
        <v>511</v>
      </c>
      <c r="K25" t="s" s="0">
        <v>512</v>
      </c>
      <c r="L25" t="s" s="0">
        <v>513</v>
      </c>
      <c r="O25" t="str" s="0">
        <f>A25&amp;COUNTIF($A$3:$A25,A25)</f>
        <v>Provision for Income Tax1</v>
      </c>
      <c r="P25" t="str" s="0">
        <f t="shared" si="0"/>
        <v>-21,561,000,000</v>
      </c>
      <c r="Q25" t="str" s="0">
        <f t="shared" si="1"/>
        <v>-31,051,000,000</v>
      </c>
      <c r="R25" t="str" s="0">
        <f t="shared" si="2"/>
        <v>-31,045,000,000</v>
      </c>
      <c r="S25" t="str" s="0">
        <f t="shared" si="3"/>
        <v>-24,263,000,000</v>
      </c>
      <c r="T25" t="str" s="0">
        <f t="shared" si="4"/>
        <v>-18,015,000,000</v>
      </c>
      <c r="U25" t="str" s="0">
        <f t="shared" si="5"/>
        <v>-5,415,000,000</v>
      </c>
      <c r="V25" t="str" s="0">
        <f t="shared" si="6"/>
        <v>406,000,000</v>
      </c>
      <c r="W25" t="str" s="0">
        <f t="shared" si="7"/>
        <v>1,174,000,000</v>
      </c>
      <c r="X25" t="str" s="0">
        <f t="shared" si="8"/>
        <v>-9,532,000,000</v>
      </c>
      <c r="Y25" t="str" s="0">
        <f t="shared" si="9"/>
        <v>-5,282,000,000</v>
      </c>
    </row>
    <row r="26" spans="1:25" x14ac:dyDescent="0.3">
      <c r="A26" t="s" s="0">
        <v>514</v>
      </c>
      <c r="B26" t="s" s="0">
        <v>515</v>
      </c>
      <c r="C26" t="s" s="0">
        <v>516</v>
      </c>
      <c r="D26" t="s" s="0">
        <v>517</v>
      </c>
      <c r="E26" t="s" s="0">
        <v>518</v>
      </c>
      <c r="F26" t="s" s="0">
        <v>519</v>
      </c>
      <c r="G26" t="s" s="0">
        <v>520</v>
      </c>
      <c r="H26" t="s" s="0">
        <v>521</v>
      </c>
      <c r="I26" t="s" s="0">
        <v>522</v>
      </c>
      <c r="J26" t="s" s="0">
        <v>523</v>
      </c>
      <c r="K26" t="s" s="0">
        <v>524</v>
      </c>
      <c r="L26" t="s" s="0">
        <v>525</v>
      </c>
      <c r="O26" t="str" s="0">
        <f>A26&amp;COUNTIF($A$3:$A26,A26)</f>
        <v>Net Income from Continuing Operations1</v>
      </c>
      <c r="P26" t="str" s="0">
        <f t="shared" si="0"/>
        <v>31,398,000,000</v>
      </c>
      <c r="Q26" t="str" s="0">
        <f t="shared" si="1"/>
        <v>42,206,000,000</v>
      </c>
      <c r="R26" t="str" s="0">
        <f t="shared" si="2"/>
        <v>47,681,000,000</v>
      </c>
      <c r="S26" t="str" s="0">
        <f t="shared" si="3"/>
        <v>33,448,000,000</v>
      </c>
      <c r="T26" t="str" s="0">
        <f t="shared" si="4"/>
        <v>33,615,000,000</v>
      </c>
      <c r="U26" t="str" s="0">
        <f t="shared" si="5"/>
        <v>16,551,000,000</v>
      </c>
      <c r="V26" t="str" s="0">
        <f t="shared" si="6"/>
        <v>8,375,000,000</v>
      </c>
      <c r="W26" t="str" s="0">
        <f t="shared" si="7"/>
        <v>19,848,000,000</v>
      </c>
      <c r="X26" t="str" s="0">
        <f t="shared" si="8"/>
        <v>21,421,000,000</v>
      </c>
      <c r="Y26" t="str" s="0">
        <f t="shared" si="9"/>
        <v>14,774,000,000</v>
      </c>
    </row>
    <row r="27" spans="1:25" x14ac:dyDescent="0.3">
      <c r="A27" t="s" s="0">
        <v>526</v>
      </c>
      <c r="B27" t="s" s="0">
        <v>515</v>
      </c>
      <c r="C27" t="s" s="0">
        <v>516</v>
      </c>
      <c r="D27" t="s" s="0">
        <v>517</v>
      </c>
      <c r="E27" t="s" s="0">
        <v>518</v>
      </c>
      <c r="F27" t="s" s="0">
        <v>519</v>
      </c>
      <c r="G27" t="s" s="0">
        <v>520</v>
      </c>
      <c r="H27" t="s" s="0">
        <v>521</v>
      </c>
      <c r="I27" t="s" s="0">
        <v>522</v>
      </c>
      <c r="J27" t="s" s="0">
        <v>523</v>
      </c>
      <c r="K27" t="s" s="0">
        <v>524</v>
      </c>
      <c r="L27" t="s" s="0">
        <v>525</v>
      </c>
      <c r="O27" t="str" s="0">
        <f>A27&amp;COUNTIF($A$3:$A27,A27)</f>
        <v>Net Income after Extraordinary Items and Discontinued Operations1</v>
      </c>
      <c r="P27" t="str" s="0">
        <f t="shared" si="0"/>
        <v>31,398,000,000</v>
      </c>
      <c r="Q27" t="str" s="0">
        <f t="shared" si="1"/>
        <v>42,206,000,000</v>
      </c>
      <c r="R27" t="str" s="0">
        <f t="shared" si="2"/>
        <v>47,681,000,000</v>
      </c>
      <c r="S27" t="str" s="0">
        <f t="shared" si="3"/>
        <v>33,448,000,000</v>
      </c>
      <c r="T27" t="str" s="0">
        <f t="shared" si="4"/>
        <v>33,615,000,000</v>
      </c>
      <c r="U27" t="str" s="0">
        <f t="shared" si="5"/>
        <v>16,551,000,000</v>
      </c>
      <c r="V27" t="str" s="0">
        <f t="shared" si="6"/>
        <v>8,375,000,000</v>
      </c>
      <c r="W27" t="str" s="0">
        <f t="shared" si="7"/>
        <v>19,848,000,000</v>
      </c>
      <c r="X27" t="str" s="0">
        <f t="shared" si="8"/>
        <v>21,421,000,000</v>
      </c>
      <c r="Y27" t="str" s="0">
        <f t="shared" si="9"/>
        <v>14,774,000,000</v>
      </c>
    </row>
    <row r="28" spans="1:25" x14ac:dyDescent="0.3">
      <c r="A28" t="s" s="0">
        <v>527</v>
      </c>
      <c r="B28" t="s" s="0">
        <v>528</v>
      </c>
      <c r="C28" t="s" s="0">
        <v>529</v>
      </c>
      <c r="D28" t="s" s="0">
        <v>530</v>
      </c>
      <c r="E28" t="s" s="0">
        <v>531</v>
      </c>
      <c r="F28" t="s" s="0">
        <v>532</v>
      </c>
      <c r="G28" t="s" s="0">
        <v>533</v>
      </c>
      <c r="H28" t="s" s="0">
        <v>534</v>
      </c>
      <c r="I28" t="s" s="0">
        <v>535</v>
      </c>
      <c r="J28" t="s" s="0">
        <v>536</v>
      </c>
      <c r="K28" t="s" s="0">
        <v>537</v>
      </c>
      <c r="L28" t="s" s="0">
        <v>538</v>
      </c>
      <c r="O28" t="str" s="0">
        <f>A28&amp;COUNTIF($A$3:$A28,A28)</f>
        <v>Non-Controlling/Minority Interests1</v>
      </c>
      <c r="P28" t="str" s="0">
        <f t="shared" si="0"/>
        <v>-938,000,000</v>
      </c>
      <c r="Q28" t="str" s="0">
        <f t="shared" si="1"/>
        <v>-1,146,000,000</v>
      </c>
      <c r="R28" t="str" s="0">
        <f t="shared" si="2"/>
        <v>-2,801,000,000</v>
      </c>
      <c r="S28" t="str" s="0">
        <f t="shared" si="3"/>
        <v>-868,000,000</v>
      </c>
      <c r="T28" t="str" s="0">
        <f t="shared" si="4"/>
        <v>-1,095,000,000</v>
      </c>
      <c r="U28" t="str" s="0">
        <f t="shared" si="5"/>
        <v>-401,000,000</v>
      </c>
      <c r="V28" t="str" s="0">
        <f t="shared" si="6"/>
        <v>-535,000,000</v>
      </c>
      <c r="W28" t="str" s="0">
        <f t="shared" si="7"/>
        <v>-138,000,000</v>
      </c>
      <c r="X28" t="str" s="0">
        <f t="shared" si="8"/>
        <v>-581,000,000</v>
      </c>
      <c r="Y28" t="str" s="0">
        <f t="shared" si="9"/>
        <v>-434,000,000</v>
      </c>
    </row>
    <row r="29" spans="1:25" x14ac:dyDescent="0.3">
      <c r="A29" t="s" s="0">
        <v>539</v>
      </c>
      <c r="B29" t="s" s="0">
        <v>540</v>
      </c>
      <c r="C29" t="s" s="0">
        <v>541</v>
      </c>
      <c r="D29" t="s" s="0">
        <v>542</v>
      </c>
      <c r="E29" t="s" s="0">
        <v>543</v>
      </c>
      <c r="F29" t="s" s="0">
        <v>544</v>
      </c>
      <c r="G29" t="s" s="0">
        <v>545</v>
      </c>
      <c r="H29" t="s" s="0">
        <v>546</v>
      </c>
      <c r="I29" t="s" s="0">
        <v>547</v>
      </c>
      <c r="J29" t="s" s="0">
        <v>548</v>
      </c>
      <c r="K29" t="s" s="0">
        <v>549</v>
      </c>
      <c r="L29" t="s" s="0">
        <v>550</v>
      </c>
      <c r="O29" t="str" s="0">
        <f>A29&amp;COUNTIF($A$3:$A29,A29)</f>
        <v>Net Income after Non-Controlling/Minority Interests1</v>
      </c>
      <c r="P29" t="str" s="0">
        <f t="shared" si="0"/>
        <v>30,460,000,000</v>
      </c>
      <c r="Q29" t="str" s="0">
        <f t="shared" si="1"/>
        <v>41,060,000,000</v>
      </c>
      <c r="R29" t="str" s="0">
        <f t="shared" si="2"/>
        <v>44,880,000,000</v>
      </c>
      <c r="S29" t="str" s="0">
        <f t="shared" si="3"/>
        <v>32,580,000,000</v>
      </c>
      <c r="T29" t="str" s="0">
        <f t="shared" si="4"/>
        <v>32,520,000,000</v>
      </c>
      <c r="U29" t="str" s="0">
        <f t="shared" si="5"/>
        <v>16,150,000,000</v>
      </c>
      <c r="V29" t="str" s="0">
        <f t="shared" si="6"/>
        <v>7,840,000,000</v>
      </c>
      <c r="W29" t="str" s="0">
        <f t="shared" si="7"/>
        <v>19,710,000,000</v>
      </c>
      <c r="X29" t="str" s="0">
        <f t="shared" si="8"/>
        <v>20,840,000,000</v>
      </c>
      <c r="Y29" t="str" s="0">
        <f t="shared" si="9"/>
        <v>14,340,000,000</v>
      </c>
    </row>
    <row r="30" spans="1:25" x14ac:dyDescent="0.3">
      <c r="A30" t="s" s="0">
        <v>551</v>
      </c>
      <c r="B30" t="s" s="0">
        <v>540</v>
      </c>
      <c r="C30" t="s" s="0">
        <v>541</v>
      </c>
      <c r="D30" t="s" s="0">
        <v>542</v>
      </c>
      <c r="E30" t="s" s="0">
        <v>543</v>
      </c>
      <c r="F30" t="s" s="0">
        <v>544</v>
      </c>
      <c r="G30" t="s" s="0">
        <v>545</v>
      </c>
      <c r="H30" t="s" s="0">
        <v>546</v>
      </c>
      <c r="I30" t="s" s="0">
        <v>547</v>
      </c>
      <c r="J30" t="s" s="0">
        <v>548</v>
      </c>
      <c r="K30" t="s" s="0">
        <v>549</v>
      </c>
      <c r="L30" t="s" s="0">
        <v>550</v>
      </c>
      <c r="O30" t="str" s="0">
        <f>A30&amp;COUNTIF($A$3:$A30,A30)</f>
        <v>Net Income Available to Common Stockholders1</v>
      </c>
      <c r="P30" t="str" s="0">
        <f t="shared" si="0"/>
        <v>30,460,000,000</v>
      </c>
      <c r="Q30" t="str" s="0">
        <f t="shared" si="1"/>
        <v>41,060,000,000</v>
      </c>
      <c r="R30" t="str" s="0">
        <f t="shared" si="2"/>
        <v>44,880,000,000</v>
      </c>
      <c r="S30" t="str" s="0">
        <f t="shared" si="3"/>
        <v>32,580,000,000</v>
      </c>
      <c r="T30" t="str" s="0">
        <f t="shared" si="4"/>
        <v>32,520,000,000</v>
      </c>
      <c r="U30" t="str" s="0">
        <f t="shared" si="5"/>
        <v>16,150,000,000</v>
      </c>
      <c r="V30" t="str" s="0">
        <f t="shared" si="6"/>
        <v>7,840,000,000</v>
      </c>
      <c r="W30" t="str" s="0">
        <f t="shared" si="7"/>
        <v>19,710,000,000</v>
      </c>
      <c r="X30" t="str" s="0">
        <f t="shared" si="8"/>
        <v>20,840,000,000</v>
      </c>
      <c r="Y30" t="str" s="0">
        <f t="shared" si="9"/>
        <v>14,340,000,000</v>
      </c>
    </row>
    <row r="31" spans="1:25" x14ac:dyDescent="0.3">
      <c r="A31" t="s" s="0">
        <v>552</v>
      </c>
      <c r="B31" t="s" s="0">
        <v>540</v>
      </c>
      <c r="C31" t="s" s="0">
        <v>541</v>
      </c>
      <c r="D31" t="s" s="0">
        <v>542</v>
      </c>
      <c r="E31" t="s" s="0">
        <v>543</v>
      </c>
      <c r="F31" t="s" s="0">
        <v>544</v>
      </c>
      <c r="G31" t="s" s="0">
        <v>545</v>
      </c>
      <c r="H31" t="s" s="0">
        <v>546</v>
      </c>
      <c r="I31" t="s" s="0">
        <v>547</v>
      </c>
      <c r="J31" t="s" s="0">
        <v>548</v>
      </c>
      <c r="K31" t="s" s="0">
        <v>549</v>
      </c>
      <c r="L31" t="s" s="0">
        <v>550</v>
      </c>
      <c r="O31" t="str" s="0">
        <f>A31&amp;COUNTIF($A$3:$A31,A31)</f>
        <v>Diluted Net Income Available to Common Stockholders1</v>
      </c>
      <c r="P31" t="str" s="0">
        <f t="shared" si="0"/>
        <v>30,460,000,000</v>
      </c>
      <c r="Q31" t="str" s="0">
        <f t="shared" si="1"/>
        <v>41,060,000,000</v>
      </c>
      <c r="R31" t="str" s="0">
        <f t="shared" si="2"/>
        <v>44,880,000,000</v>
      </c>
      <c r="S31" t="str" s="0">
        <f t="shared" si="3"/>
        <v>32,580,000,000</v>
      </c>
      <c r="T31" t="str" s="0">
        <f t="shared" si="4"/>
        <v>32,520,000,000</v>
      </c>
      <c r="U31" t="str" s="0">
        <f t="shared" si="5"/>
        <v>16,150,000,000</v>
      </c>
      <c r="V31" t="str" s="0">
        <f t="shared" si="6"/>
        <v>7,840,000,000</v>
      </c>
      <c r="W31" t="str" s="0">
        <f t="shared" si="7"/>
        <v>19,710,000,000</v>
      </c>
      <c r="X31" t="str" s="0">
        <f t="shared" si="8"/>
        <v>20,840,000,000</v>
      </c>
      <c r="Y31" t="str" s="0">
        <f t="shared" si="9"/>
        <v>14,340,000,000</v>
      </c>
    </row>
    <row r="32" spans="1:25" x14ac:dyDescent="0.3">
      <c r="A32" t="s" s="0">
        <v>553</v>
      </c>
      <c r="B32" t="s" s="0">
        <v>554</v>
      </c>
      <c r="C32" t="s" s="0">
        <v>555</v>
      </c>
      <c r="D32" t="s" s="0">
        <v>323</v>
      </c>
      <c r="E32" t="s" s="0">
        <v>324</v>
      </c>
      <c r="F32" t="s" s="0">
        <v>325</v>
      </c>
      <c r="G32" t="s" s="0">
        <v>326</v>
      </c>
      <c r="H32" t="s" s="0">
        <v>327</v>
      </c>
      <c r="I32" t="s" s="0">
        <v>328</v>
      </c>
      <c r="J32" t="s" s="0">
        <v>329</v>
      </c>
      <c r="K32" t="s" s="0">
        <v>330</v>
      </c>
      <c r="L32" t="s" s="0">
        <v>331</v>
      </c>
      <c r="O32" t="str" s="0">
        <f>A32&amp;COUNTIF($A$3:$A32,A32)</f>
        <v>Reported Total Revenue1</v>
      </c>
      <c r="P32" t="str" s="0">
        <f t="shared" si="0"/>
        <v>383,221,000,000</v>
      </c>
      <c r="Q32" t="str" s="0">
        <f t="shared" si="1"/>
        <v>486,429,000,000</v>
      </c>
      <c r="R32" t="str" s="0">
        <f t="shared" si="2"/>
        <v>453,123,000,000</v>
      </c>
      <c r="S32" t="str" s="0">
        <f t="shared" si="3"/>
        <v>420,836,000,000</v>
      </c>
      <c r="T32" t="str" s="0">
        <f t="shared" si="4"/>
        <v>394,105,000,000</v>
      </c>
      <c r="U32" t="str" s="0">
        <f t="shared" si="5"/>
        <v>259,488,000,000</v>
      </c>
      <c r="V32" t="str" s="0">
        <f t="shared" si="6"/>
        <v>218,608,000,000</v>
      </c>
      <c r="W32" t="str" s="0">
        <f t="shared" si="7"/>
        <v>237,162,000,000</v>
      </c>
      <c r="X32" t="str" s="0">
        <f t="shared" si="8"/>
        <v>279,332,000,000</v>
      </c>
      <c r="Y32" t="str" s="0">
        <f t="shared" si="9"/>
        <v>255,583,000,000</v>
      </c>
    </row>
    <row r="33" spans="1:25" x14ac:dyDescent="0.3">
      <c r="A33" t="s" s="0">
        <v>556</v>
      </c>
      <c r="B33" t="s" s="0">
        <v>338</v>
      </c>
      <c r="C33" t="s" s="0">
        <v>557</v>
      </c>
      <c r="D33" t="s" s="0">
        <v>338</v>
      </c>
      <c r="E33" t="s" s="0">
        <v>338</v>
      </c>
      <c r="F33" t="s" s="0">
        <v>338</v>
      </c>
      <c r="G33" t="s" s="0">
        <v>338</v>
      </c>
      <c r="H33" t="s" s="0">
        <v>557</v>
      </c>
      <c r="I33" t="s" s="0">
        <v>557</v>
      </c>
      <c r="J33" t="s" s="0">
        <v>557</v>
      </c>
      <c r="K33" t="s" s="0">
        <v>557</v>
      </c>
      <c r="L33" t="s" s="0">
        <v>338</v>
      </c>
      <c r="O33" t="str" s="0">
        <f>A33&amp;COUNTIF($A$3:$A33,A33)</f>
        <v>Reported Effective Tax Rate1</v>
      </c>
      <c r="P33" t="str" s="0">
        <f t="shared" si="0"/>
        <v/>
      </c>
      <c r="Q33" t="str" s="0">
        <f t="shared" si="1"/>
        <v>0</v>
      </c>
      <c r="R33" t="str" s="0">
        <f t="shared" si="2"/>
        <v/>
      </c>
      <c r="S33" t="str" s="0">
        <f t="shared" si="3"/>
        <v/>
      </c>
      <c r="T33" t="str" s="0">
        <f t="shared" si="4"/>
        <v/>
      </c>
      <c r="U33" t="str" s="0">
        <f t="shared" si="5"/>
        <v/>
      </c>
      <c r="V33" t="str" s="0">
        <f t="shared" si="6"/>
        <v>0</v>
      </c>
      <c r="W33" t="str" s="0">
        <f t="shared" si="7"/>
        <v>0</v>
      </c>
      <c r="X33" t="str" s="0">
        <f t="shared" si="8"/>
        <v>0</v>
      </c>
      <c r="Y33" t="str" s="0">
        <f t="shared" si="9"/>
        <v>0</v>
      </c>
    </row>
    <row r="34" spans="1:25" x14ac:dyDescent="0.3">
      <c r="A34" t="s" s="0">
        <v>558</v>
      </c>
      <c r="B34" t="s" s="0">
        <v>338</v>
      </c>
      <c r="C34" t="s" s="0">
        <v>541</v>
      </c>
      <c r="D34" t="s" s="0">
        <v>542</v>
      </c>
      <c r="E34" t="s" s="0">
        <v>338</v>
      </c>
      <c r="F34" t="s" s="0">
        <v>338</v>
      </c>
      <c r="G34" t="s" s="0">
        <v>338</v>
      </c>
      <c r="H34" t="s" s="0">
        <v>338</v>
      </c>
      <c r="I34" t="s" s="0">
        <v>338</v>
      </c>
      <c r="J34" t="s" s="0">
        <v>559</v>
      </c>
      <c r="K34" t="s" s="0">
        <v>338</v>
      </c>
      <c r="L34" t="s" s="0">
        <v>338</v>
      </c>
      <c r="O34" t="str" s="0">
        <f>A34&amp;COUNTIF($A$3:$A34,A34)</f>
        <v>Reported Normalized Income1</v>
      </c>
      <c r="P34" t="str" s="0">
        <f t="shared" si="0"/>
        <v/>
      </c>
      <c r="Q34" t="str" s="0">
        <f t="shared" si="1"/>
        <v>41,060,000,000</v>
      </c>
      <c r="R34" t="str" s="0">
        <f t="shared" si="2"/>
        <v>44,880,000,000</v>
      </c>
      <c r="S34" t="str" s="0">
        <f t="shared" si="3"/>
        <v/>
      </c>
      <c r="T34" t="str" s="0">
        <f t="shared" si="4"/>
        <v/>
      </c>
      <c r="U34" t="str" s="0">
        <f t="shared" si="5"/>
        <v/>
      </c>
      <c r="V34" t="str" s="0">
        <f t="shared" si="6"/>
        <v/>
      </c>
      <c r="W34" t="str" s="0">
        <f t="shared" si="7"/>
        <v/>
      </c>
      <c r="X34" t="str" s="0">
        <f t="shared" si="8"/>
        <v>21,038,000,000</v>
      </c>
      <c r="Y34" t="str" s="0">
        <f t="shared" si="9"/>
        <v/>
      </c>
    </row>
    <row r="35" spans="1:25" x14ac:dyDescent="0.3">
      <c r="A35" t="s" s="0">
        <v>560</v>
      </c>
      <c r="B35" t="s" s="0">
        <v>561</v>
      </c>
      <c r="C35" t="s" s="0">
        <v>562</v>
      </c>
      <c r="D35" t="s" s="0">
        <v>563</v>
      </c>
      <c r="E35" t="s" s="0">
        <v>564</v>
      </c>
      <c r="F35" t="s" s="0">
        <v>565</v>
      </c>
      <c r="G35" t="s" s="0">
        <v>566</v>
      </c>
      <c r="H35" t="s" s="0">
        <v>567</v>
      </c>
      <c r="I35" t="s" s="0">
        <v>568</v>
      </c>
      <c r="J35" t="s" s="0">
        <v>569</v>
      </c>
      <c r="K35" t="s" s="0">
        <v>570</v>
      </c>
      <c r="L35" t="s" s="0">
        <v>571</v>
      </c>
      <c r="O35" t="str" s="0">
        <f>A35&amp;COUNTIF($A$3:$A35,A35)</f>
        <v>Basic EPS1</v>
      </c>
      <c r="P35" t="str" s="0">
        <f t="shared" si="0"/>
        <v>6.24</v>
      </c>
      <c r="Q35" t="str" s="0">
        <f t="shared" si="1"/>
        <v>8.43</v>
      </c>
      <c r="R35" t="str" s="0">
        <f t="shared" si="2"/>
        <v>9.70</v>
      </c>
      <c r="S35" t="str" s="0">
        <f t="shared" si="3"/>
        <v>7.37</v>
      </c>
      <c r="T35" t="str" s="0">
        <f t="shared" si="4"/>
        <v>7.60</v>
      </c>
      <c r="U35" t="str" s="0">
        <f t="shared" si="5"/>
        <v>3.85</v>
      </c>
      <c r="V35" t="str" s="0">
        <f t="shared" si="6"/>
        <v>1.88</v>
      </c>
      <c r="W35" t="str" s="0">
        <f t="shared" si="7"/>
        <v>4.63</v>
      </c>
      <c r="X35" t="str" s="0">
        <f t="shared" si="8"/>
        <v>4.88</v>
      </c>
      <c r="Y35" t="str" s="0">
        <f t="shared" si="9"/>
        <v>3.36</v>
      </c>
    </row>
    <row r="36" spans="1:25" x14ac:dyDescent="0.3">
      <c r="A36" t="s" s="0">
        <v>572</v>
      </c>
      <c r="B36" t="s" s="0">
        <v>573</v>
      </c>
      <c r="C36" t="s" s="0">
        <v>574</v>
      </c>
      <c r="D36" t="s" s="0">
        <v>563</v>
      </c>
      <c r="E36" t="s" s="0">
        <v>564</v>
      </c>
      <c r="F36" t="s" s="0">
        <v>565</v>
      </c>
      <c r="G36" t="s" s="0">
        <v>566</v>
      </c>
      <c r="H36" t="s" s="0">
        <v>567</v>
      </c>
      <c r="I36" t="s" s="0">
        <v>568</v>
      </c>
      <c r="J36" t="s" s="0">
        <v>569</v>
      </c>
      <c r="K36" t="s" s="0">
        <v>570</v>
      </c>
      <c r="L36" t="s" s="0">
        <v>571</v>
      </c>
      <c r="O36" t="str" s="0">
        <f>A36&amp;COUNTIF($A$3:$A36,A36)</f>
        <v>Diluted EPS1</v>
      </c>
      <c r="P36" t="str" s="0">
        <f t="shared" si="0"/>
        <v>6.22</v>
      </c>
      <c r="Q36" t="str" s="0">
        <f t="shared" si="1"/>
        <v>8.42</v>
      </c>
      <c r="R36" t="str" s="0">
        <f t="shared" si="2"/>
        <v>9.70</v>
      </c>
      <c r="S36" t="str" s="0">
        <f t="shared" si="3"/>
        <v>7.37</v>
      </c>
      <c r="T36" t="str" s="0">
        <f t="shared" si="4"/>
        <v>7.60</v>
      </c>
      <c r="U36" t="str" s="0">
        <f t="shared" si="5"/>
        <v>3.85</v>
      </c>
      <c r="V36" t="str" s="0">
        <f t="shared" si="6"/>
        <v>1.88</v>
      </c>
      <c r="W36" t="str" s="0">
        <f t="shared" si="7"/>
        <v>4.63</v>
      </c>
      <c r="X36" t="str" s="0">
        <f t="shared" si="8"/>
        <v>4.88</v>
      </c>
      <c r="Y36" t="str" s="0">
        <f t="shared" si="9"/>
        <v>3.36</v>
      </c>
    </row>
    <row r="37" spans="1:25" x14ac:dyDescent="0.3">
      <c r="A37" t="s" s="0">
        <v>575</v>
      </c>
      <c r="B37" t="s" s="0">
        <v>576</v>
      </c>
      <c r="C37" t="s" s="0">
        <v>577</v>
      </c>
      <c r="D37" t="s" s="0">
        <v>578</v>
      </c>
      <c r="E37" t="s" s="0">
        <v>579</v>
      </c>
      <c r="F37" t="s" s="0">
        <v>580</v>
      </c>
      <c r="G37" t="s" s="0">
        <v>581</v>
      </c>
      <c r="H37" t="s" s="0">
        <v>582</v>
      </c>
      <c r="I37" t="s" s="0">
        <v>583</v>
      </c>
      <c r="J37" t="s" s="0">
        <v>584</v>
      </c>
      <c r="K37" t="s" s="0">
        <v>584</v>
      </c>
      <c r="L37" t="s" s="0">
        <v>584</v>
      </c>
      <c r="O37" t="str" s="0">
        <f>A37&amp;COUNTIF($A$3:$A37,A37)</f>
        <v>Basic WASO1</v>
      </c>
      <c r="P37" t="str" s="0">
        <f t="shared" si="0"/>
        <v>4,885,000,000</v>
      </c>
      <c r="Q37" t="str" s="0">
        <f t="shared" si="1"/>
        <v>4,870,000,000</v>
      </c>
      <c r="R37" t="str" s="0">
        <f t="shared" si="2"/>
        <v>4,628,000,000</v>
      </c>
      <c r="S37" t="str" s="0">
        <f t="shared" si="3"/>
        <v>4,419,000,000</v>
      </c>
      <c r="T37" t="str" s="0">
        <f t="shared" si="4"/>
        <v>4,282,000,000</v>
      </c>
      <c r="U37" t="str" s="0">
        <f t="shared" si="5"/>
        <v>4,196,000,000</v>
      </c>
      <c r="V37" t="str" s="0">
        <f t="shared" si="6"/>
        <v>4,177,000,000</v>
      </c>
      <c r="W37" t="str" s="0">
        <f t="shared" si="7"/>
        <v>4,256,000,000</v>
      </c>
      <c r="X37" t="str" s="0">
        <f t="shared" si="8"/>
        <v>4,270,000,000</v>
      </c>
      <c r="Y37" t="str" s="0">
        <f t="shared" si="9"/>
        <v>4,270,000,000</v>
      </c>
    </row>
    <row r="38" spans="1:25" x14ac:dyDescent="0.3">
      <c r="A38" t="s" s="0">
        <v>585</v>
      </c>
      <c r="B38" t="s" s="0">
        <v>586</v>
      </c>
      <c r="C38" t="s" s="0">
        <v>587</v>
      </c>
      <c r="D38" t="s" s="0">
        <v>578</v>
      </c>
      <c r="E38" t="s" s="0">
        <v>579</v>
      </c>
      <c r="F38" t="s" s="0">
        <v>580</v>
      </c>
      <c r="G38" t="s" s="0">
        <v>581</v>
      </c>
      <c r="H38" t="s" s="0">
        <v>582</v>
      </c>
      <c r="I38" t="s" s="0">
        <v>583</v>
      </c>
      <c r="J38" t="s" s="0">
        <v>584</v>
      </c>
      <c r="K38" t="s" s="0">
        <v>584</v>
      </c>
      <c r="L38" t="s" s="0">
        <v>584</v>
      </c>
      <c r="O38" t="str" s="0">
        <f>A38&amp;COUNTIF($A$3:$A38,A38)</f>
        <v>Diluted WASO1</v>
      </c>
      <c r="P38" t="str" s="0">
        <f t="shared" si="0"/>
        <v>4,897,000,000</v>
      </c>
      <c r="Q38" t="str" s="0">
        <f t="shared" si="1"/>
        <v>4,875,000,000</v>
      </c>
      <c r="R38" t="str" s="0">
        <f t="shared" si="2"/>
        <v>4,628,000,000</v>
      </c>
      <c r="S38" t="str" s="0">
        <f t="shared" si="3"/>
        <v>4,419,000,000</v>
      </c>
      <c r="T38" t="str" s="0">
        <f t="shared" si="4"/>
        <v>4,282,000,000</v>
      </c>
      <c r="U38" t="str" s="0">
        <f t="shared" si="5"/>
        <v>4,196,000,000</v>
      </c>
      <c r="V38" t="str" s="0">
        <f t="shared" si="6"/>
        <v>4,177,000,000</v>
      </c>
      <c r="W38" t="str" s="0">
        <f t="shared" si="7"/>
        <v>4,256,000,000</v>
      </c>
      <c r="X38" t="str" s="0">
        <f t="shared" si="8"/>
        <v>4,270,000,000</v>
      </c>
      <c r="Y38" t="str" s="0">
        <f t="shared" si="9"/>
        <v>4,270,000,000</v>
      </c>
    </row>
    <row r="39" spans="1:25" x14ac:dyDescent="0.3">
      <c r="A39" t="s" s="0">
        <v>588</v>
      </c>
      <c r="O39" t="str" s="0">
        <f>A39&amp;COUNTIF($A$3:$A39,A39)</f>
        <v>Fiscal year ends in Dec 31 | USD1</v>
      </c>
      <c r="P39" s="0">
        <f t="shared" si="0"/>
        <v>0</v>
      </c>
      <c r="Q39" s="0">
        <f t="shared" si="1"/>
        <v>0</v>
      </c>
      <c r="R39" s="0">
        <f t="shared" si="2"/>
        <v>0</v>
      </c>
      <c r="S39" s="0">
        <f t="shared" si="3"/>
        <v>0</v>
      </c>
      <c r="T39" s="0">
        <f t="shared" si="4"/>
        <v>0</v>
      </c>
      <c r="U39" s="0">
        <f t="shared" si="5"/>
        <v>0</v>
      </c>
      <c r="V39" s="0">
        <f t="shared" si="6"/>
        <v>0</v>
      </c>
      <c r="W39" s="0">
        <f t="shared" si="7"/>
        <v>0</v>
      </c>
      <c r="X39" s="0">
        <f t="shared" si="8"/>
        <v>0</v>
      </c>
      <c r="Y39" s="0">
        <f t="shared" si="9"/>
        <v>0</v>
      </c>
    </row>
    <row r="40" spans="1:25" x14ac:dyDescent="0.3">
      <c r="O40" t="str" s="0">
        <f>A40&amp;COUNTIF($A$3:$A40,A40)</f>
        <v>0</v>
      </c>
      <c r="P40" s="0">
        <f t="shared" si="0"/>
        <v>0</v>
      </c>
      <c r="Q40" s="0">
        <f t="shared" si="1"/>
        <v>0</v>
      </c>
      <c r="R40" s="0">
        <f t="shared" si="2"/>
        <v>0</v>
      </c>
      <c r="S40" s="0">
        <f t="shared" si="3"/>
        <v>0</v>
      </c>
      <c r="T40" s="0">
        <f t="shared" si="4"/>
        <v>0</v>
      </c>
      <c r="U40" s="0">
        <f t="shared" si="5"/>
        <v>0</v>
      </c>
      <c r="V40" s="0">
        <f t="shared" si="6"/>
        <v>0</v>
      </c>
      <c r="W40" s="0">
        <f t="shared" si="7"/>
        <v>0</v>
      </c>
      <c r="X40" s="0">
        <f t="shared" si="8"/>
        <v>0</v>
      </c>
      <c r="Y40" s="0">
        <f t="shared" si="9"/>
        <v>0</v>
      </c>
    </row>
    <row r="41" spans="1:25" x14ac:dyDescent="0.3">
      <c r="O41" t="str" s="0">
        <f>A41&amp;COUNTIF($A$3:$A41,A41)</f>
        <v>0</v>
      </c>
      <c r="P41" s="0">
        <f t="shared" si="0"/>
        <v>0</v>
      </c>
      <c r="Q41" s="0">
        <f t="shared" si="1"/>
        <v>0</v>
      </c>
      <c r="R41" s="0">
        <f t="shared" si="2"/>
        <v>0</v>
      </c>
      <c r="S41" s="0">
        <f t="shared" si="3"/>
        <v>0</v>
      </c>
      <c r="T41" s="0">
        <f t="shared" si="4"/>
        <v>0</v>
      </c>
      <c r="U41" s="0">
        <f t="shared" si="5"/>
        <v>0</v>
      </c>
      <c r="V41" s="0">
        <f t="shared" si="6"/>
        <v>0</v>
      </c>
      <c r="W41" s="0">
        <f t="shared" si="7"/>
        <v>0</v>
      </c>
      <c r="X41" s="0">
        <f t="shared" si="8"/>
        <v>0</v>
      </c>
      <c r="Y41" s="0">
        <f t="shared" si="9"/>
        <v>0</v>
      </c>
    </row>
    <row r="42" spans="1:25" x14ac:dyDescent="0.3">
      <c r="O42" t="str" s="0">
        <f>A42&amp;COUNTIF($A$3:$A42,A42)</f>
        <v>0</v>
      </c>
      <c r="P42" s="0">
        <f t="shared" si="0"/>
        <v>0</v>
      </c>
      <c r="Q42" s="0">
        <f t="shared" si="1"/>
        <v>0</v>
      </c>
      <c r="R42" s="0">
        <f t="shared" si="2"/>
        <v>0</v>
      </c>
      <c r="S42" s="0">
        <f t="shared" si="3"/>
        <v>0</v>
      </c>
      <c r="T42" s="0">
        <f t="shared" si="4"/>
        <v>0</v>
      </c>
      <c r="U42" s="0">
        <f t="shared" si="5"/>
        <v>0</v>
      </c>
      <c r="V42" s="0">
        <f t="shared" si="6"/>
        <v>0</v>
      </c>
      <c r="W42" s="0">
        <f t="shared" si="7"/>
        <v>0</v>
      </c>
      <c r="X42" s="0">
        <f t="shared" si="8"/>
        <v>0</v>
      </c>
      <c r="Y42" s="0">
        <f t="shared" si="9"/>
        <v>0</v>
      </c>
    </row>
    <row r="43" spans="1:25" x14ac:dyDescent="0.3">
      <c r="O43" t="str" s="0">
        <f>A43&amp;COUNTIF($A$3:$A43,A43)</f>
        <v>0</v>
      </c>
      <c r="P43" s="0">
        <f t="shared" si="0"/>
        <v>0</v>
      </c>
      <c r="Q43" s="0">
        <f t="shared" si="1"/>
        <v>0</v>
      </c>
      <c r="R43" s="0">
        <f t="shared" si="2"/>
        <v>0</v>
      </c>
      <c r="S43" s="0">
        <f t="shared" si="3"/>
        <v>0</v>
      </c>
      <c r="T43" s="0">
        <f t="shared" si="4"/>
        <v>0</v>
      </c>
      <c r="U43" s="0">
        <f t="shared" si="5"/>
        <v>0</v>
      </c>
      <c r="V43" s="0">
        <f t="shared" si="6"/>
        <v>0</v>
      </c>
      <c r="W43" s="0">
        <f t="shared" si="7"/>
        <v>0</v>
      </c>
      <c r="X43" s="0">
        <f t="shared" si="8"/>
        <v>0</v>
      </c>
      <c r="Y43" s="0">
        <f t="shared" si="9"/>
        <v>0</v>
      </c>
    </row>
    <row r="44" spans="1:25" x14ac:dyDescent="0.3">
      <c r="O44" t="str" s="0">
        <f>A44&amp;COUNTIF($A$3:$A44,A44)</f>
        <v>0</v>
      </c>
      <c r="P44" s="0">
        <f t="shared" si="0"/>
        <v>0</v>
      </c>
      <c r="Q44" s="0">
        <f t="shared" si="1"/>
        <v>0</v>
      </c>
      <c r="R44" s="0">
        <f t="shared" si="2"/>
        <v>0</v>
      </c>
      <c r="S44" s="0">
        <f t="shared" si="3"/>
        <v>0</v>
      </c>
      <c r="T44" s="0">
        <f t="shared" si="4"/>
        <v>0</v>
      </c>
      <c r="U44" s="0">
        <f t="shared" si="5"/>
        <v>0</v>
      </c>
      <c r="V44" s="0">
        <f t="shared" si="6"/>
        <v>0</v>
      </c>
      <c r="W44" s="0">
        <f t="shared" si="7"/>
        <v>0</v>
      </c>
      <c r="X44" s="0">
        <f t="shared" si="8"/>
        <v>0</v>
      </c>
      <c r="Y44" s="0">
        <f t="shared" si="9"/>
        <v>0</v>
      </c>
    </row>
    <row r="45" spans="1:25" x14ac:dyDescent="0.3">
      <c r="O45" t="str" s="0">
        <f>A45&amp;COUNTIF($A$3:$A45,A45)</f>
        <v>0</v>
      </c>
      <c r="P45" s="0">
        <f t="shared" si="0"/>
        <v>0</v>
      </c>
      <c r="Q45" s="0">
        <f t="shared" si="1"/>
        <v>0</v>
      </c>
      <c r="R45" s="0">
        <f t="shared" si="2"/>
        <v>0</v>
      </c>
      <c r="S45" s="0">
        <f t="shared" si="3"/>
        <v>0</v>
      </c>
      <c r="T45" s="0">
        <f t="shared" si="4"/>
        <v>0</v>
      </c>
      <c r="U45" s="0">
        <f t="shared" si="5"/>
        <v>0</v>
      </c>
      <c r="V45" s="0">
        <f t="shared" si="6"/>
        <v>0</v>
      </c>
      <c r="W45" s="0">
        <f t="shared" si="7"/>
        <v>0</v>
      </c>
      <c r="X45" s="0">
        <f t="shared" si="8"/>
        <v>0</v>
      </c>
      <c r="Y45" s="0">
        <f t="shared" si="9"/>
        <v>0</v>
      </c>
    </row>
    <row r="46" spans="1:25" x14ac:dyDescent="0.3">
      <c r="O46" t="str" s="0">
        <f>A46&amp;COUNTIF($A$3:$A46,A46)</f>
        <v>0</v>
      </c>
      <c r="P46" s="0">
        <f t="shared" si="0"/>
        <v>0</v>
      </c>
      <c r="Q46" s="0">
        <f t="shared" si="1"/>
        <v>0</v>
      </c>
      <c r="R46" s="0">
        <f t="shared" si="2"/>
        <v>0</v>
      </c>
      <c r="S46" s="0">
        <f t="shared" si="3"/>
        <v>0</v>
      </c>
      <c r="T46" s="0">
        <f t="shared" si="4"/>
        <v>0</v>
      </c>
      <c r="U46" s="0">
        <f t="shared" si="5"/>
        <v>0</v>
      </c>
      <c r="V46" s="0">
        <f t="shared" si="6"/>
        <v>0</v>
      </c>
      <c r="W46" s="0">
        <f t="shared" si="7"/>
        <v>0</v>
      </c>
      <c r="X46" s="0">
        <f t="shared" si="8"/>
        <v>0</v>
      </c>
      <c r="Y46" s="0">
        <f t="shared" si="9"/>
        <v>0</v>
      </c>
    </row>
    <row r="47" spans="1:25" x14ac:dyDescent="0.3">
      <c r="O47" t="str" s="0">
        <f>A47&amp;COUNTIF($A$3:$A47,A47)</f>
        <v>0</v>
      </c>
      <c r="P47" s="0">
        <f t="shared" si="0"/>
        <v>0</v>
      </c>
      <c r="Q47" s="0">
        <f t="shared" si="1"/>
        <v>0</v>
      </c>
      <c r="R47" s="0">
        <f t="shared" si="2"/>
        <v>0</v>
      </c>
      <c r="S47" s="0">
        <f t="shared" si="3"/>
        <v>0</v>
      </c>
      <c r="T47" s="0">
        <f t="shared" si="4"/>
        <v>0</v>
      </c>
      <c r="U47" s="0">
        <f t="shared" si="5"/>
        <v>0</v>
      </c>
      <c r="V47" s="0">
        <f t="shared" si="6"/>
        <v>0</v>
      </c>
      <c r="W47" s="0">
        <f t="shared" si="7"/>
        <v>0</v>
      </c>
      <c r="X47" s="0">
        <f t="shared" si="8"/>
        <v>0</v>
      </c>
      <c r="Y47" s="0">
        <f t="shared" si="9"/>
        <v>0</v>
      </c>
    </row>
    <row r="48" spans="1:25" x14ac:dyDescent="0.3">
      <c r="O48" t="str" s="0">
        <f>A48&amp;COUNTIF($A$3:$A48,A48)</f>
        <v>0</v>
      </c>
      <c r="P48" s="0">
        <f t="shared" si="0"/>
        <v>0</v>
      </c>
      <c r="Q48" s="0">
        <f t="shared" si="1"/>
        <v>0</v>
      </c>
      <c r="R48" s="0">
        <f t="shared" si="2"/>
        <v>0</v>
      </c>
      <c r="S48" s="0">
        <f t="shared" si="3"/>
        <v>0</v>
      </c>
      <c r="T48" s="0">
        <f t="shared" si="4"/>
        <v>0</v>
      </c>
      <c r="U48" s="0">
        <f t="shared" si="5"/>
        <v>0</v>
      </c>
      <c r="V48" s="0">
        <f t="shared" si="6"/>
        <v>0</v>
      </c>
      <c r="W48" s="0">
        <f t="shared" si="7"/>
        <v>0</v>
      </c>
      <c r="X48" s="0">
        <f t="shared" si="8"/>
        <v>0</v>
      </c>
      <c r="Y48" s="0">
        <f t="shared" si="9"/>
        <v>0</v>
      </c>
    </row>
    <row r="49" spans="15:25" x14ac:dyDescent="0.3">
      <c r="O49" t="str" s="0">
        <f>A49&amp;COUNTIF($A$3:$A49,A49)</f>
        <v>0</v>
      </c>
      <c r="P49" s="0">
        <f t="shared" si="0"/>
        <v>0</v>
      </c>
      <c r="Q49" s="0">
        <f t="shared" si="1"/>
        <v>0</v>
      </c>
      <c r="R49" s="0">
        <f t="shared" si="2"/>
        <v>0</v>
      </c>
      <c r="S49" s="0">
        <f t="shared" si="3"/>
        <v>0</v>
      </c>
      <c r="T49" s="0">
        <f t="shared" si="4"/>
        <v>0</v>
      </c>
      <c r="U49" s="0">
        <f t="shared" si="5"/>
        <v>0</v>
      </c>
      <c r="V49" s="0">
        <f t="shared" si="6"/>
        <v>0</v>
      </c>
      <c r="W49" s="0">
        <f t="shared" si="7"/>
        <v>0</v>
      </c>
      <c r="X49" s="0">
        <f t="shared" si="8"/>
        <v>0</v>
      </c>
      <c r="Y49" s="0">
        <f t="shared" si="9"/>
        <v>0</v>
      </c>
    </row>
    <row r="50" spans="15:25" x14ac:dyDescent="0.3">
      <c r="O50" t="str" s="0">
        <f>A50&amp;COUNTIF($A$3:$A50,A50)</f>
        <v>0</v>
      </c>
      <c r="P50" s="0">
        <f t="shared" si="0"/>
        <v>0</v>
      </c>
      <c r="Q50" s="0">
        <f t="shared" si="1"/>
        <v>0</v>
      </c>
      <c r="R50" s="0">
        <f t="shared" si="2"/>
        <v>0</v>
      </c>
      <c r="S50" s="0">
        <f t="shared" si="3"/>
        <v>0</v>
      </c>
      <c r="T50" s="0">
        <f t="shared" si="4"/>
        <v>0</v>
      </c>
      <c r="U50" s="0">
        <f t="shared" si="5"/>
        <v>0</v>
      </c>
      <c r="V50" s="0">
        <f t="shared" si="6"/>
        <v>0</v>
      </c>
      <c r="W50" s="0">
        <f t="shared" si="7"/>
        <v>0</v>
      </c>
      <c r="X50" s="0">
        <f t="shared" si="8"/>
        <v>0</v>
      </c>
      <c r="Y50" s="0">
        <f t="shared" si="9"/>
        <v>0</v>
      </c>
    </row>
    <row r="51" spans="15:25" x14ac:dyDescent="0.3">
      <c r="O51" t="str" s="0">
        <f>A51&amp;COUNTIF($A$3:$A51,A51)</f>
        <v>0</v>
      </c>
      <c r="P51" s="0">
        <f t="shared" si="0"/>
        <v>0</v>
      </c>
      <c r="Q51" s="0">
        <f t="shared" si="1"/>
        <v>0</v>
      </c>
      <c r="R51" s="0">
        <f t="shared" si="2"/>
        <v>0</v>
      </c>
      <c r="S51" s="0">
        <f t="shared" si="3"/>
        <v>0</v>
      </c>
      <c r="T51" s="0">
        <f t="shared" si="4"/>
        <v>0</v>
      </c>
      <c r="U51" s="0">
        <f t="shared" si="5"/>
        <v>0</v>
      </c>
      <c r="V51" s="0">
        <f t="shared" si="6"/>
        <v>0</v>
      </c>
      <c r="W51" s="0">
        <f t="shared" si="7"/>
        <v>0</v>
      </c>
      <c r="X51" s="0">
        <f t="shared" si="8"/>
        <v>0</v>
      </c>
      <c r="Y51" s="0">
        <f t="shared" si="9"/>
        <v>0</v>
      </c>
    </row>
    <row r="52" spans="15:25" x14ac:dyDescent="0.3">
      <c r="O52" t="str" s="0">
        <f>A52&amp;COUNTIF($A$3:$A52,A52)</f>
        <v>0</v>
      </c>
      <c r="P52" s="0">
        <f t="shared" si="0"/>
        <v>0</v>
      </c>
      <c r="Q52" s="0">
        <f t="shared" si="1"/>
        <v>0</v>
      </c>
      <c r="R52" s="0">
        <f t="shared" si="2"/>
        <v>0</v>
      </c>
      <c r="S52" s="0">
        <f t="shared" si="3"/>
        <v>0</v>
      </c>
      <c r="T52" s="0">
        <f t="shared" si="4"/>
        <v>0</v>
      </c>
      <c r="U52" s="0">
        <f t="shared" si="5"/>
        <v>0</v>
      </c>
      <c r="V52" s="0">
        <f t="shared" si="6"/>
        <v>0</v>
      </c>
      <c r="W52" s="0">
        <f t="shared" si="7"/>
        <v>0</v>
      </c>
      <c r="X52" s="0">
        <f t="shared" si="8"/>
        <v>0</v>
      </c>
      <c r="Y52" s="0">
        <f t="shared" si="9"/>
        <v>0</v>
      </c>
    </row>
    <row r="53" spans="15:25" x14ac:dyDescent="0.3">
      <c r="O53" t="str" s="0">
        <f>A53&amp;COUNTIF($A$3:$A53,A53)</f>
        <v>0</v>
      </c>
      <c r="P53" s="0">
        <f t="shared" si="0"/>
        <v>0</v>
      </c>
      <c r="Q53" s="0">
        <f t="shared" si="1"/>
        <v>0</v>
      </c>
      <c r="R53" s="0">
        <f t="shared" si="2"/>
        <v>0</v>
      </c>
      <c r="S53" s="0">
        <f t="shared" si="3"/>
        <v>0</v>
      </c>
      <c r="T53" s="0">
        <f t="shared" si="4"/>
        <v>0</v>
      </c>
      <c r="U53" s="0">
        <f t="shared" si="5"/>
        <v>0</v>
      </c>
      <c r="V53" s="0">
        <f t="shared" si="6"/>
        <v>0</v>
      </c>
      <c r="W53" s="0">
        <f t="shared" si="7"/>
        <v>0</v>
      </c>
      <c r="X53" s="0">
        <f t="shared" si="8"/>
        <v>0</v>
      </c>
      <c r="Y53" s="0">
        <f t="shared" si="9"/>
        <v>0</v>
      </c>
    </row>
    <row r="54" spans="15:25" x14ac:dyDescent="0.3">
      <c r="O54" t="str" s="0">
        <f>A54&amp;COUNTIF($A$3:$A54,A54)</f>
        <v>0</v>
      </c>
      <c r="P54" s="0">
        <f t="shared" si="0"/>
        <v>0</v>
      </c>
      <c r="Q54" s="0">
        <f t="shared" si="1"/>
        <v>0</v>
      </c>
      <c r="R54" s="0">
        <f t="shared" si="2"/>
        <v>0</v>
      </c>
      <c r="S54" s="0">
        <f t="shared" si="3"/>
        <v>0</v>
      </c>
      <c r="T54" s="0">
        <f t="shared" si="4"/>
        <v>0</v>
      </c>
      <c r="U54" s="0">
        <f t="shared" si="5"/>
        <v>0</v>
      </c>
      <c r="V54" s="0">
        <f t="shared" si="6"/>
        <v>0</v>
      </c>
      <c r="W54" s="0">
        <f t="shared" si="7"/>
        <v>0</v>
      </c>
      <c r="X54" s="0">
        <f t="shared" si="8"/>
        <v>0</v>
      </c>
      <c r="Y54" s="0">
        <f t="shared" si="9"/>
        <v>0</v>
      </c>
    </row>
    <row r="55" spans="15:25" x14ac:dyDescent="0.3">
      <c r="O55" t="str" s="0">
        <f>A55&amp;COUNTIF($A$3:$A55,A55)</f>
        <v>0</v>
      </c>
      <c r="P55" s="0">
        <f t="shared" si="0"/>
        <v>0</v>
      </c>
      <c r="Q55" s="0">
        <f t="shared" si="1"/>
        <v>0</v>
      </c>
      <c r="R55" s="0">
        <f t="shared" si="2"/>
        <v>0</v>
      </c>
      <c r="S55" s="0">
        <f t="shared" si="3"/>
        <v>0</v>
      </c>
      <c r="T55" s="0">
        <f t="shared" si="4"/>
        <v>0</v>
      </c>
      <c r="U55" s="0">
        <f t="shared" si="5"/>
        <v>0</v>
      </c>
      <c r="V55" s="0">
        <f t="shared" si="6"/>
        <v>0</v>
      </c>
      <c r="W55" s="0">
        <f t="shared" si="7"/>
        <v>0</v>
      </c>
      <c r="X55" s="0">
        <f t="shared" si="8"/>
        <v>0</v>
      </c>
      <c r="Y55" s="0">
        <f t="shared" si="9"/>
        <v>0</v>
      </c>
    </row>
    <row r="56" spans="15:25" x14ac:dyDescent="0.3">
      <c r="O56" t="str" s="0">
        <f>A56&amp;COUNTIF($A$3:$A56,A56)</f>
        <v>0</v>
      </c>
      <c r="P56" s="0">
        <f t="shared" si="0"/>
        <v>0</v>
      </c>
      <c r="Q56" s="0">
        <f t="shared" si="1"/>
        <v>0</v>
      </c>
      <c r="R56" s="0">
        <f t="shared" si="2"/>
        <v>0</v>
      </c>
      <c r="S56" s="0">
        <f t="shared" si="3"/>
        <v>0</v>
      </c>
      <c r="T56" s="0">
        <f t="shared" si="4"/>
        <v>0</v>
      </c>
      <c r="U56" s="0">
        <f t="shared" si="5"/>
        <v>0</v>
      </c>
      <c r="V56" s="0">
        <f t="shared" si="6"/>
        <v>0</v>
      </c>
      <c r="W56" s="0">
        <f t="shared" si="7"/>
        <v>0</v>
      </c>
      <c r="X56" s="0">
        <f t="shared" si="8"/>
        <v>0</v>
      </c>
      <c r="Y56" s="0">
        <f t="shared" si="9"/>
        <v>0</v>
      </c>
    </row>
    <row r="57" spans="15:25" x14ac:dyDescent="0.3">
      <c r="O57" t="str" s="0">
        <f>A57&amp;COUNTIF($A$3:$A57,A57)</f>
        <v>0</v>
      </c>
      <c r="P57" s="0">
        <f t="shared" si="0"/>
        <v>0</v>
      </c>
      <c r="Q57" s="0">
        <f t="shared" si="1"/>
        <v>0</v>
      </c>
      <c r="R57" s="0">
        <f t="shared" si="2"/>
        <v>0</v>
      </c>
      <c r="S57" s="0">
        <f t="shared" si="3"/>
        <v>0</v>
      </c>
      <c r="T57" s="0">
        <f t="shared" si="4"/>
        <v>0</v>
      </c>
      <c r="U57" s="0">
        <f t="shared" si="5"/>
        <v>0</v>
      </c>
      <c r="V57" s="0">
        <f t="shared" si="6"/>
        <v>0</v>
      </c>
      <c r="W57" s="0">
        <f t="shared" si="7"/>
        <v>0</v>
      </c>
      <c r="X57" s="0">
        <f t="shared" si="8"/>
        <v>0</v>
      </c>
      <c r="Y57" s="0">
        <f t="shared" si="9"/>
        <v>0</v>
      </c>
    </row>
    <row r="58" spans="15:25" x14ac:dyDescent="0.3">
      <c r="O58" t="str" s="0">
        <f>A58&amp;COUNTIF($A$3:$A58,A58)</f>
        <v>0</v>
      </c>
      <c r="P58" s="0">
        <f t="shared" si="0"/>
        <v>0</v>
      </c>
      <c r="Q58" s="0">
        <f t="shared" si="1"/>
        <v>0</v>
      </c>
      <c r="R58" s="0">
        <f t="shared" si="2"/>
        <v>0</v>
      </c>
      <c r="S58" s="0">
        <f t="shared" si="3"/>
        <v>0</v>
      </c>
      <c r="T58" s="0">
        <f t="shared" si="4"/>
        <v>0</v>
      </c>
      <c r="U58" s="0">
        <f t="shared" si="5"/>
        <v>0</v>
      </c>
      <c r="V58" s="0">
        <f t="shared" si="6"/>
        <v>0</v>
      </c>
      <c r="W58" s="0">
        <f t="shared" si="7"/>
        <v>0</v>
      </c>
      <c r="X58" s="0">
        <f t="shared" si="8"/>
        <v>0</v>
      </c>
      <c r="Y58" s="0">
        <f t="shared" si="9"/>
        <v>0</v>
      </c>
    </row>
    <row r="59" spans="15:25" x14ac:dyDescent="0.3">
      <c r="O59" t="str" s="0">
        <f>A59&amp;COUNTIF($A$3:$A59,A59)</f>
        <v>0</v>
      </c>
      <c r="P59" s="0">
        <f t="shared" si="0"/>
        <v>0</v>
      </c>
      <c r="Q59" s="0">
        <f t="shared" si="1"/>
        <v>0</v>
      </c>
      <c r="R59" s="0">
        <f t="shared" si="2"/>
        <v>0</v>
      </c>
      <c r="S59" s="0">
        <f t="shared" si="3"/>
        <v>0</v>
      </c>
      <c r="T59" s="0">
        <f t="shared" si="4"/>
        <v>0</v>
      </c>
      <c r="U59" s="0">
        <f t="shared" si="5"/>
        <v>0</v>
      </c>
      <c r="V59" s="0">
        <f t="shared" si="6"/>
        <v>0</v>
      </c>
      <c r="W59" s="0">
        <f t="shared" si="7"/>
        <v>0</v>
      </c>
      <c r="X59" s="0">
        <f t="shared" si="8"/>
        <v>0</v>
      </c>
      <c r="Y59" s="0">
        <f t="shared" si="9"/>
        <v>0</v>
      </c>
    </row>
    <row r="60" spans="15:25" x14ac:dyDescent="0.3">
      <c r="O60" t="str" s="0">
        <f>A60&amp;COUNTIF($A$3:$A60,A60)</f>
        <v>0</v>
      </c>
      <c r="P60" s="0">
        <f t="shared" si="0"/>
        <v>0</v>
      </c>
      <c r="Q60" s="0">
        <f t="shared" si="1"/>
        <v>0</v>
      </c>
      <c r="R60" s="0">
        <f t="shared" si="2"/>
        <v>0</v>
      </c>
      <c r="S60" s="0">
        <f t="shared" si="3"/>
        <v>0</v>
      </c>
      <c r="T60" s="0">
        <f t="shared" si="4"/>
        <v>0</v>
      </c>
      <c r="U60" s="0">
        <f t="shared" si="5"/>
        <v>0</v>
      </c>
      <c r="V60" s="0">
        <f t="shared" si="6"/>
        <v>0</v>
      </c>
      <c r="W60" s="0">
        <f t="shared" si="7"/>
        <v>0</v>
      </c>
      <c r="X60" s="0">
        <f t="shared" si="8"/>
        <v>0</v>
      </c>
      <c r="Y60" s="0">
        <f t="shared" si="9"/>
        <v>0</v>
      </c>
    </row>
    <row r="61" spans="15:25" x14ac:dyDescent="0.3">
      <c r="O61" t="str" s="0">
        <f>A61&amp;COUNTIF($A$3:$A61,A61)</f>
        <v>0</v>
      </c>
      <c r="P61" s="0">
        <f t="shared" si="0"/>
        <v>0</v>
      </c>
      <c r="Q61" s="0">
        <f t="shared" si="1"/>
        <v>0</v>
      </c>
      <c r="R61" s="0">
        <f t="shared" si="2"/>
        <v>0</v>
      </c>
      <c r="S61" s="0">
        <f t="shared" si="3"/>
        <v>0</v>
      </c>
      <c r="T61" s="0">
        <f t="shared" si="4"/>
        <v>0</v>
      </c>
      <c r="U61" s="0">
        <f t="shared" si="5"/>
        <v>0</v>
      </c>
      <c r="V61" s="0">
        <f t="shared" si="6"/>
        <v>0</v>
      </c>
      <c r="W61" s="0">
        <f t="shared" si="7"/>
        <v>0</v>
      </c>
      <c r="X61" s="0">
        <f t="shared" si="8"/>
        <v>0</v>
      </c>
      <c r="Y61" s="0">
        <f t="shared" si="9"/>
        <v>0</v>
      </c>
    </row>
    <row r="62" spans="15:25" x14ac:dyDescent="0.3">
      <c r="O62" t="str" s="0">
        <f>A62&amp;COUNTIF($A$3:$A62,A62)</f>
        <v>0</v>
      </c>
      <c r="P62" s="0">
        <f t="shared" si="0"/>
        <v>0</v>
      </c>
      <c r="Q62" s="0">
        <f t="shared" si="1"/>
        <v>0</v>
      </c>
      <c r="R62" s="0">
        <f t="shared" si="2"/>
        <v>0</v>
      </c>
      <c r="S62" s="0">
        <f t="shared" si="3"/>
        <v>0</v>
      </c>
      <c r="T62" s="0">
        <f t="shared" si="4"/>
        <v>0</v>
      </c>
      <c r="U62" s="0">
        <f t="shared" si="5"/>
        <v>0</v>
      </c>
      <c r="V62" s="0">
        <f t="shared" si="6"/>
        <v>0</v>
      </c>
      <c r="W62" s="0">
        <f t="shared" si="7"/>
        <v>0</v>
      </c>
      <c r="X62" s="0">
        <f t="shared" si="8"/>
        <v>0</v>
      </c>
      <c r="Y62" s="0">
        <f t="shared" si="9"/>
        <v>0</v>
      </c>
    </row>
    <row r="63" spans="15:25" x14ac:dyDescent="0.3">
      <c r="O63" t="str" s="0">
        <f>A63&amp;COUNTIF($A$3:$A63,A63)</f>
        <v>0</v>
      </c>
      <c r="P63" s="0">
        <f t="shared" si="0"/>
        <v>0</v>
      </c>
      <c r="Q63" s="0">
        <f t="shared" si="1"/>
        <v>0</v>
      </c>
      <c r="R63" s="0">
        <f t="shared" si="2"/>
        <v>0</v>
      </c>
      <c r="S63" s="0">
        <f t="shared" si="3"/>
        <v>0</v>
      </c>
      <c r="T63" s="0">
        <f t="shared" si="4"/>
        <v>0</v>
      </c>
      <c r="U63" s="0">
        <f t="shared" si="5"/>
        <v>0</v>
      </c>
      <c r="V63" s="0">
        <f t="shared" si="6"/>
        <v>0</v>
      </c>
      <c r="W63" s="0">
        <f t="shared" si="7"/>
        <v>0</v>
      </c>
      <c r="X63" s="0">
        <f t="shared" si="8"/>
        <v>0</v>
      </c>
      <c r="Y63" s="0">
        <f t="shared" si="9"/>
        <v>0</v>
      </c>
    </row>
    <row r="64" spans="15:25" x14ac:dyDescent="0.3">
      <c r="O64" t="str" s="0">
        <f>A64&amp;COUNTIF($A$3:$A64,A64)</f>
        <v>0</v>
      </c>
      <c r="P64" s="0">
        <f t="shared" si="0"/>
        <v>0</v>
      </c>
      <c r="Q64" s="0">
        <f t="shared" si="1"/>
        <v>0</v>
      </c>
      <c r="R64" s="0">
        <f t="shared" si="2"/>
        <v>0</v>
      </c>
      <c r="S64" s="0">
        <f t="shared" si="3"/>
        <v>0</v>
      </c>
      <c r="T64" s="0">
        <f t="shared" si="4"/>
        <v>0</v>
      </c>
      <c r="U64" s="0">
        <f t="shared" si="5"/>
        <v>0</v>
      </c>
      <c r="V64" s="0">
        <f t="shared" si="6"/>
        <v>0</v>
      </c>
      <c r="W64" s="0">
        <f t="shared" si="7"/>
        <v>0</v>
      </c>
      <c r="X64" s="0">
        <f t="shared" si="8"/>
        <v>0</v>
      </c>
      <c r="Y64" s="0">
        <f t="shared" si="9"/>
        <v>0</v>
      </c>
    </row>
    <row r="65" spans="15:25" x14ac:dyDescent="0.3">
      <c r="O65" t="str" s="0">
        <f>A65&amp;COUNTIF($A$3:$A65,A65)</f>
        <v>0</v>
      </c>
      <c r="P65" s="0">
        <f t="shared" ref="P65:P128" si="10">B65</f>
        <v>0</v>
      </c>
      <c r="Q65" s="0">
        <f t="shared" ref="Q65:Q128" si="11">C65</f>
        <v>0</v>
      </c>
      <c r="R65" s="0">
        <f t="shared" ref="R65:R128" si="12">D65</f>
        <v>0</v>
      </c>
      <c r="S65" s="0">
        <f t="shared" ref="S65:S128" si="13">E65</f>
        <v>0</v>
      </c>
      <c r="T65" s="0">
        <f t="shared" ref="T65:T128" si="14">F65</f>
        <v>0</v>
      </c>
      <c r="U65" s="0">
        <f t="shared" ref="U65:U128" si="15">G65</f>
        <v>0</v>
      </c>
      <c r="V65" s="0">
        <f t="shared" ref="V65:V128" si="16">H65</f>
        <v>0</v>
      </c>
      <c r="W65" s="0">
        <f t="shared" ref="W65:W128" si="17">I65</f>
        <v>0</v>
      </c>
      <c r="X65" s="0">
        <f t="shared" ref="X65:X128" si="18">J65</f>
        <v>0</v>
      </c>
      <c r="Y65" s="0">
        <f t="shared" ref="Y65:Y128" si="19">K65</f>
        <v>0</v>
      </c>
    </row>
    <row r="66" spans="15:25" x14ac:dyDescent="0.3">
      <c r="O66" t="str" s="0">
        <f>A66&amp;COUNTIF($A$3:$A66,A66)</f>
        <v>0</v>
      </c>
      <c r="P66" s="0">
        <f t="shared" si="10"/>
        <v>0</v>
      </c>
      <c r="Q66" s="0">
        <f t="shared" si="11"/>
        <v>0</v>
      </c>
      <c r="R66" s="0">
        <f t="shared" si="12"/>
        <v>0</v>
      </c>
      <c r="S66" s="0">
        <f t="shared" si="13"/>
        <v>0</v>
      </c>
      <c r="T66" s="0">
        <f t="shared" si="14"/>
        <v>0</v>
      </c>
      <c r="U66" s="0">
        <f t="shared" si="15"/>
        <v>0</v>
      </c>
      <c r="V66" s="0">
        <f t="shared" si="16"/>
        <v>0</v>
      </c>
      <c r="W66" s="0">
        <f t="shared" si="17"/>
        <v>0</v>
      </c>
      <c r="X66" s="0">
        <f t="shared" si="18"/>
        <v>0</v>
      </c>
      <c r="Y66" s="0">
        <f t="shared" si="19"/>
        <v>0</v>
      </c>
    </row>
    <row r="67" spans="15:25" x14ac:dyDescent="0.3">
      <c r="O67" t="str" s="0">
        <f>A67&amp;COUNTIF($A$3:$A67,A67)</f>
        <v>0</v>
      </c>
      <c r="P67" s="0">
        <f t="shared" si="10"/>
        <v>0</v>
      </c>
      <c r="Q67" s="0">
        <f t="shared" si="11"/>
        <v>0</v>
      </c>
      <c r="R67" s="0">
        <f t="shared" si="12"/>
        <v>0</v>
      </c>
      <c r="S67" s="0">
        <f t="shared" si="13"/>
        <v>0</v>
      </c>
      <c r="T67" s="0">
        <f t="shared" si="14"/>
        <v>0</v>
      </c>
      <c r="U67" s="0">
        <f t="shared" si="15"/>
        <v>0</v>
      </c>
      <c r="V67" s="0">
        <f t="shared" si="16"/>
        <v>0</v>
      </c>
      <c r="W67" s="0">
        <f t="shared" si="17"/>
        <v>0</v>
      </c>
      <c r="X67" s="0">
        <f t="shared" si="18"/>
        <v>0</v>
      </c>
      <c r="Y67" s="0">
        <f t="shared" si="19"/>
        <v>0</v>
      </c>
    </row>
    <row r="68" spans="15:25" x14ac:dyDescent="0.3">
      <c r="O68" t="str" s="0">
        <f>A68&amp;COUNTIF($A$3:$A68,A68)</f>
        <v>0</v>
      </c>
      <c r="P68" s="0">
        <f t="shared" si="10"/>
        <v>0</v>
      </c>
      <c r="Q68" s="0">
        <f t="shared" si="11"/>
        <v>0</v>
      </c>
      <c r="R68" s="0">
        <f t="shared" si="12"/>
        <v>0</v>
      </c>
      <c r="S68" s="0">
        <f t="shared" si="13"/>
        <v>0</v>
      </c>
      <c r="T68" s="0">
        <f t="shared" si="14"/>
        <v>0</v>
      </c>
      <c r="U68" s="0">
        <f t="shared" si="15"/>
        <v>0</v>
      </c>
      <c r="V68" s="0">
        <f t="shared" si="16"/>
        <v>0</v>
      </c>
      <c r="W68" s="0">
        <f t="shared" si="17"/>
        <v>0</v>
      </c>
      <c r="X68" s="0">
        <f t="shared" si="18"/>
        <v>0</v>
      </c>
      <c r="Y68" s="0">
        <f t="shared" si="19"/>
        <v>0</v>
      </c>
    </row>
    <row r="69" spans="15:25" x14ac:dyDescent="0.3">
      <c r="O69" t="str" s="0">
        <f>A69&amp;COUNTIF($A$3:$A69,A69)</f>
        <v>0</v>
      </c>
      <c r="P69" s="0">
        <f t="shared" si="10"/>
        <v>0</v>
      </c>
      <c r="Q69" s="0">
        <f t="shared" si="11"/>
        <v>0</v>
      </c>
      <c r="R69" s="0">
        <f t="shared" si="12"/>
        <v>0</v>
      </c>
      <c r="S69" s="0">
        <f t="shared" si="13"/>
        <v>0</v>
      </c>
      <c r="T69" s="0">
        <f t="shared" si="14"/>
        <v>0</v>
      </c>
      <c r="U69" s="0">
        <f t="shared" si="15"/>
        <v>0</v>
      </c>
      <c r="V69" s="0">
        <f t="shared" si="16"/>
        <v>0</v>
      </c>
      <c r="W69" s="0">
        <f t="shared" si="17"/>
        <v>0</v>
      </c>
      <c r="X69" s="0">
        <f t="shared" si="18"/>
        <v>0</v>
      </c>
      <c r="Y69" s="0">
        <f t="shared" si="19"/>
        <v>0</v>
      </c>
    </row>
    <row r="70" spans="15:25" x14ac:dyDescent="0.3">
      <c r="O70" t="str" s="0">
        <f>A70&amp;COUNTIF($A$3:$A70,A70)</f>
        <v>0</v>
      </c>
      <c r="P70" s="0">
        <f t="shared" si="10"/>
        <v>0</v>
      </c>
      <c r="Q70" s="0">
        <f t="shared" si="11"/>
        <v>0</v>
      </c>
      <c r="R70" s="0">
        <f t="shared" si="12"/>
        <v>0</v>
      </c>
      <c r="S70" s="0">
        <f t="shared" si="13"/>
        <v>0</v>
      </c>
      <c r="T70" s="0">
        <f t="shared" si="14"/>
        <v>0</v>
      </c>
      <c r="U70" s="0">
        <f t="shared" si="15"/>
        <v>0</v>
      </c>
      <c r="V70" s="0">
        <f t="shared" si="16"/>
        <v>0</v>
      </c>
      <c r="W70" s="0">
        <f t="shared" si="17"/>
        <v>0</v>
      </c>
      <c r="X70" s="0">
        <f t="shared" si="18"/>
        <v>0</v>
      </c>
      <c r="Y70" s="0">
        <f t="shared" si="19"/>
        <v>0</v>
      </c>
    </row>
    <row r="71" spans="15:25" x14ac:dyDescent="0.3">
      <c r="O71" t="str" s="0">
        <f>A71&amp;COUNTIF($A$3:$A71,A71)</f>
        <v>0</v>
      </c>
      <c r="P71" s="0">
        <f t="shared" si="10"/>
        <v>0</v>
      </c>
      <c r="Q71" s="0">
        <f t="shared" si="11"/>
        <v>0</v>
      </c>
      <c r="R71" s="0">
        <f t="shared" si="12"/>
        <v>0</v>
      </c>
      <c r="S71" s="0">
        <f t="shared" si="13"/>
        <v>0</v>
      </c>
      <c r="T71" s="0">
        <f t="shared" si="14"/>
        <v>0</v>
      </c>
      <c r="U71" s="0">
        <f t="shared" si="15"/>
        <v>0</v>
      </c>
      <c r="V71" s="0">
        <f t="shared" si="16"/>
        <v>0</v>
      </c>
      <c r="W71" s="0">
        <f t="shared" si="17"/>
        <v>0</v>
      </c>
      <c r="X71" s="0">
        <f t="shared" si="18"/>
        <v>0</v>
      </c>
      <c r="Y71" s="0">
        <f t="shared" si="19"/>
        <v>0</v>
      </c>
    </row>
    <row r="72" spans="15:25" x14ac:dyDescent="0.3">
      <c r="O72" t="str" s="0">
        <f>A72&amp;COUNTIF($A$3:$A72,A72)</f>
        <v>0</v>
      </c>
      <c r="P72" s="0">
        <f t="shared" si="10"/>
        <v>0</v>
      </c>
      <c r="Q72" s="0">
        <f t="shared" si="11"/>
        <v>0</v>
      </c>
      <c r="R72" s="0">
        <f t="shared" si="12"/>
        <v>0</v>
      </c>
      <c r="S72" s="0">
        <f t="shared" si="13"/>
        <v>0</v>
      </c>
      <c r="T72" s="0">
        <f t="shared" si="14"/>
        <v>0</v>
      </c>
      <c r="U72" s="0">
        <f t="shared" si="15"/>
        <v>0</v>
      </c>
      <c r="V72" s="0">
        <f t="shared" si="16"/>
        <v>0</v>
      </c>
      <c r="W72" s="0">
        <f t="shared" si="17"/>
        <v>0</v>
      </c>
      <c r="X72" s="0">
        <f t="shared" si="18"/>
        <v>0</v>
      </c>
      <c r="Y72" s="0">
        <f t="shared" si="19"/>
        <v>0</v>
      </c>
    </row>
    <row r="73" spans="15:25" x14ac:dyDescent="0.3">
      <c r="O73" t="str" s="0">
        <f>A73&amp;COUNTIF($A$3:$A73,A73)</f>
        <v>0</v>
      </c>
      <c r="P73" s="0">
        <f t="shared" si="10"/>
        <v>0</v>
      </c>
      <c r="Q73" s="0">
        <f t="shared" si="11"/>
        <v>0</v>
      </c>
      <c r="R73" s="0">
        <f t="shared" si="12"/>
        <v>0</v>
      </c>
      <c r="S73" s="0">
        <f t="shared" si="13"/>
        <v>0</v>
      </c>
      <c r="T73" s="0">
        <f t="shared" si="14"/>
        <v>0</v>
      </c>
      <c r="U73" s="0">
        <f t="shared" si="15"/>
        <v>0</v>
      </c>
      <c r="V73" s="0">
        <f t="shared" si="16"/>
        <v>0</v>
      </c>
      <c r="W73" s="0">
        <f t="shared" si="17"/>
        <v>0</v>
      </c>
      <c r="X73" s="0">
        <f t="shared" si="18"/>
        <v>0</v>
      </c>
      <c r="Y73" s="0">
        <f t="shared" si="19"/>
        <v>0</v>
      </c>
    </row>
    <row r="74" spans="15:25" x14ac:dyDescent="0.3">
      <c r="O74" t="str" s="0">
        <f>A74&amp;COUNTIF($A$3:$A74,A74)</f>
        <v>0</v>
      </c>
      <c r="P74" s="0">
        <f t="shared" si="10"/>
        <v>0</v>
      </c>
      <c r="Q74" s="0">
        <f t="shared" si="11"/>
        <v>0</v>
      </c>
      <c r="R74" s="0">
        <f t="shared" si="12"/>
        <v>0</v>
      </c>
      <c r="S74" s="0">
        <f t="shared" si="13"/>
        <v>0</v>
      </c>
      <c r="T74" s="0">
        <f t="shared" si="14"/>
        <v>0</v>
      </c>
      <c r="U74" s="0">
        <f t="shared" si="15"/>
        <v>0</v>
      </c>
      <c r="V74" s="0">
        <f t="shared" si="16"/>
        <v>0</v>
      </c>
      <c r="W74" s="0">
        <f t="shared" si="17"/>
        <v>0</v>
      </c>
      <c r="X74" s="0">
        <f t="shared" si="18"/>
        <v>0</v>
      </c>
      <c r="Y74" s="0">
        <f t="shared" si="19"/>
        <v>0</v>
      </c>
    </row>
    <row r="75" spans="15:25" x14ac:dyDescent="0.3">
      <c r="O75" t="str" s="0">
        <f>A75&amp;COUNTIF($A$3:$A75,A75)</f>
        <v>0</v>
      </c>
      <c r="P75" s="0">
        <f t="shared" si="10"/>
        <v>0</v>
      </c>
      <c r="Q75" s="0">
        <f t="shared" si="11"/>
        <v>0</v>
      </c>
      <c r="R75" s="0">
        <f t="shared" si="12"/>
        <v>0</v>
      </c>
      <c r="S75" s="0">
        <f t="shared" si="13"/>
        <v>0</v>
      </c>
      <c r="T75" s="0">
        <f t="shared" si="14"/>
        <v>0</v>
      </c>
      <c r="U75" s="0">
        <f t="shared" si="15"/>
        <v>0</v>
      </c>
      <c r="V75" s="0">
        <f t="shared" si="16"/>
        <v>0</v>
      </c>
      <c r="W75" s="0">
        <f t="shared" si="17"/>
        <v>0</v>
      </c>
      <c r="X75" s="0">
        <f t="shared" si="18"/>
        <v>0</v>
      </c>
      <c r="Y75" s="0">
        <f t="shared" si="19"/>
        <v>0</v>
      </c>
    </row>
    <row r="76" spans="15:25" x14ac:dyDescent="0.3">
      <c r="O76" t="str" s="0">
        <f>A76&amp;COUNTIF($A$3:$A76,A76)</f>
        <v>0</v>
      </c>
      <c r="P76" s="0">
        <f t="shared" si="10"/>
        <v>0</v>
      </c>
      <c r="Q76" s="0">
        <f t="shared" si="11"/>
        <v>0</v>
      </c>
      <c r="R76" s="0">
        <f t="shared" si="12"/>
        <v>0</v>
      </c>
      <c r="S76" s="0">
        <f t="shared" si="13"/>
        <v>0</v>
      </c>
      <c r="T76" s="0">
        <f t="shared" si="14"/>
        <v>0</v>
      </c>
      <c r="U76" s="0">
        <f t="shared" si="15"/>
        <v>0</v>
      </c>
      <c r="V76" s="0">
        <f t="shared" si="16"/>
        <v>0</v>
      </c>
      <c r="W76" s="0">
        <f t="shared" si="17"/>
        <v>0</v>
      </c>
      <c r="X76" s="0">
        <f t="shared" si="18"/>
        <v>0</v>
      </c>
      <c r="Y76" s="0">
        <f t="shared" si="19"/>
        <v>0</v>
      </c>
    </row>
    <row r="77" spans="15:25" x14ac:dyDescent="0.3">
      <c r="O77" t="str" s="0">
        <f>A77&amp;COUNTIF($A$3:$A77,A77)</f>
        <v>0</v>
      </c>
      <c r="P77" s="0">
        <f t="shared" si="10"/>
        <v>0</v>
      </c>
      <c r="Q77" s="0">
        <f t="shared" si="11"/>
        <v>0</v>
      </c>
      <c r="R77" s="0">
        <f t="shared" si="12"/>
        <v>0</v>
      </c>
      <c r="S77" s="0">
        <f t="shared" si="13"/>
        <v>0</v>
      </c>
      <c r="T77" s="0">
        <f t="shared" si="14"/>
        <v>0</v>
      </c>
      <c r="U77" s="0">
        <f t="shared" si="15"/>
        <v>0</v>
      </c>
      <c r="V77" s="0">
        <f t="shared" si="16"/>
        <v>0</v>
      </c>
      <c r="W77" s="0">
        <f t="shared" si="17"/>
        <v>0</v>
      </c>
      <c r="X77" s="0">
        <f t="shared" si="18"/>
        <v>0</v>
      </c>
      <c r="Y77" s="0">
        <f t="shared" si="19"/>
        <v>0</v>
      </c>
    </row>
    <row r="78" spans="15:25" x14ac:dyDescent="0.3">
      <c r="O78" t="str" s="0">
        <f>A78&amp;COUNTIF($A$3:$A78,A78)</f>
        <v>0</v>
      </c>
      <c r="P78" s="0">
        <f t="shared" si="10"/>
        <v>0</v>
      </c>
      <c r="Q78" s="0">
        <f t="shared" si="11"/>
        <v>0</v>
      </c>
      <c r="R78" s="0">
        <f t="shared" si="12"/>
        <v>0</v>
      </c>
      <c r="S78" s="0">
        <f t="shared" si="13"/>
        <v>0</v>
      </c>
      <c r="T78" s="0">
        <f t="shared" si="14"/>
        <v>0</v>
      </c>
      <c r="U78" s="0">
        <f t="shared" si="15"/>
        <v>0</v>
      </c>
      <c r="V78" s="0">
        <f t="shared" si="16"/>
        <v>0</v>
      </c>
      <c r="W78" s="0">
        <f t="shared" si="17"/>
        <v>0</v>
      </c>
      <c r="X78" s="0">
        <f t="shared" si="18"/>
        <v>0</v>
      </c>
      <c r="Y78" s="0">
        <f t="shared" si="19"/>
        <v>0</v>
      </c>
    </row>
    <row r="79" spans="15:25" x14ac:dyDescent="0.3">
      <c r="O79" t="str" s="0">
        <f>A79&amp;COUNTIF($A$3:$A79,A79)</f>
        <v>0</v>
      </c>
      <c r="P79" s="0">
        <f t="shared" si="10"/>
        <v>0</v>
      </c>
      <c r="Q79" s="0">
        <f t="shared" si="11"/>
        <v>0</v>
      </c>
      <c r="R79" s="0">
        <f t="shared" si="12"/>
        <v>0</v>
      </c>
      <c r="S79" s="0">
        <f t="shared" si="13"/>
        <v>0</v>
      </c>
      <c r="T79" s="0">
        <f t="shared" si="14"/>
        <v>0</v>
      </c>
      <c r="U79" s="0">
        <f t="shared" si="15"/>
        <v>0</v>
      </c>
      <c r="V79" s="0">
        <f t="shared" si="16"/>
        <v>0</v>
      </c>
      <c r="W79" s="0">
        <f t="shared" si="17"/>
        <v>0</v>
      </c>
      <c r="X79" s="0">
        <f t="shared" si="18"/>
        <v>0</v>
      </c>
      <c r="Y79" s="0">
        <f t="shared" si="19"/>
        <v>0</v>
      </c>
    </row>
    <row r="80" spans="15:25" x14ac:dyDescent="0.3">
      <c r="O80" t="str" s="0">
        <f>A80&amp;COUNTIF($A$3:$A80,A80)</f>
        <v>0</v>
      </c>
      <c r="P80" s="0">
        <f t="shared" si="10"/>
        <v>0</v>
      </c>
      <c r="Q80" s="0">
        <f t="shared" si="11"/>
        <v>0</v>
      </c>
      <c r="R80" s="0">
        <f t="shared" si="12"/>
        <v>0</v>
      </c>
      <c r="S80" s="0">
        <f t="shared" si="13"/>
        <v>0</v>
      </c>
      <c r="T80" s="0">
        <f t="shared" si="14"/>
        <v>0</v>
      </c>
      <c r="U80" s="0">
        <f t="shared" si="15"/>
        <v>0</v>
      </c>
      <c r="V80" s="0">
        <f t="shared" si="16"/>
        <v>0</v>
      </c>
      <c r="W80" s="0">
        <f t="shared" si="17"/>
        <v>0</v>
      </c>
      <c r="X80" s="0">
        <f t="shared" si="18"/>
        <v>0</v>
      </c>
      <c r="Y80" s="0">
        <f t="shared" si="19"/>
        <v>0</v>
      </c>
    </row>
    <row r="81" spans="15:25" x14ac:dyDescent="0.3">
      <c r="O81" t="str" s="0">
        <f>A81&amp;COUNTIF($A$3:$A81,A81)</f>
        <v>0</v>
      </c>
      <c r="P81" s="0">
        <f t="shared" si="10"/>
        <v>0</v>
      </c>
      <c r="Q81" s="0">
        <f t="shared" si="11"/>
        <v>0</v>
      </c>
      <c r="R81" s="0">
        <f t="shared" si="12"/>
        <v>0</v>
      </c>
      <c r="S81" s="0">
        <f t="shared" si="13"/>
        <v>0</v>
      </c>
      <c r="T81" s="0">
        <f t="shared" si="14"/>
        <v>0</v>
      </c>
      <c r="U81" s="0">
        <f t="shared" si="15"/>
        <v>0</v>
      </c>
      <c r="V81" s="0">
        <f t="shared" si="16"/>
        <v>0</v>
      </c>
      <c r="W81" s="0">
        <f t="shared" si="17"/>
        <v>0</v>
      </c>
      <c r="X81" s="0">
        <f t="shared" si="18"/>
        <v>0</v>
      </c>
      <c r="Y81" s="0">
        <f t="shared" si="19"/>
        <v>0</v>
      </c>
    </row>
    <row r="82" spans="15:25" x14ac:dyDescent="0.3">
      <c r="O82" t="str" s="0">
        <f>A82&amp;COUNTIF($A$3:$A82,A82)</f>
        <v>0</v>
      </c>
      <c r="P82" s="0">
        <f t="shared" si="10"/>
        <v>0</v>
      </c>
      <c r="Q82" s="0">
        <f t="shared" si="11"/>
        <v>0</v>
      </c>
      <c r="R82" s="0">
        <f t="shared" si="12"/>
        <v>0</v>
      </c>
      <c r="S82" s="0">
        <f t="shared" si="13"/>
        <v>0</v>
      </c>
      <c r="T82" s="0">
        <f t="shared" si="14"/>
        <v>0</v>
      </c>
      <c r="U82" s="0">
        <f t="shared" si="15"/>
        <v>0</v>
      </c>
      <c r="V82" s="0">
        <f t="shared" si="16"/>
        <v>0</v>
      </c>
      <c r="W82" s="0">
        <f t="shared" si="17"/>
        <v>0</v>
      </c>
      <c r="X82" s="0">
        <f t="shared" si="18"/>
        <v>0</v>
      </c>
      <c r="Y82" s="0">
        <f t="shared" si="19"/>
        <v>0</v>
      </c>
    </row>
    <row r="83" spans="15:25" x14ac:dyDescent="0.3">
      <c r="O83" t="str" s="0">
        <f>A83&amp;COUNTIF($A$3:$A83,A83)</f>
        <v>0</v>
      </c>
      <c r="P83" s="0">
        <f t="shared" si="10"/>
        <v>0</v>
      </c>
      <c r="Q83" s="0">
        <f t="shared" si="11"/>
        <v>0</v>
      </c>
      <c r="R83" s="0">
        <f t="shared" si="12"/>
        <v>0</v>
      </c>
      <c r="S83" s="0">
        <f t="shared" si="13"/>
        <v>0</v>
      </c>
      <c r="T83" s="0">
        <f t="shared" si="14"/>
        <v>0</v>
      </c>
      <c r="U83" s="0">
        <f t="shared" si="15"/>
        <v>0</v>
      </c>
      <c r="V83" s="0">
        <f t="shared" si="16"/>
        <v>0</v>
      </c>
      <c r="W83" s="0">
        <f t="shared" si="17"/>
        <v>0</v>
      </c>
      <c r="X83" s="0">
        <f t="shared" si="18"/>
        <v>0</v>
      </c>
      <c r="Y83" s="0">
        <f t="shared" si="19"/>
        <v>0</v>
      </c>
    </row>
    <row r="84" spans="15:25" x14ac:dyDescent="0.3">
      <c r="O84" t="str" s="0">
        <f>A84&amp;COUNTIF($A$3:$A84,A84)</f>
        <v>0</v>
      </c>
      <c r="P84" s="0">
        <f t="shared" si="10"/>
        <v>0</v>
      </c>
      <c r="Q84" s="0">
        <f t="shared" si="11"/>
        <v>0</v>
      </c>
      <c r="R84" s="0">
        <f t="shared" si="12"/>
        <v>0</v>
      </c>
      <c r="S84" s="0">
        <f t="shared" si="13"/>
        <v>0</v>
      </c>
      <c r="T84" s="0">
        <f t="shared" si="14"/>
        <v>0</v>
      </c>
      <c r="U84" s="0">
        <f t="shared" si="15"/>
        <v>0</v>
      </c>
      <c r="V84" s="0">
        <f t="shared" si="16"/>
        <v>0</v>
      </c>
      <c r="W84" s="0">
        <f t="shared" si="17"/>
        <v>0</v>
      </c>
      <c r="X84" s="0">
        <f t="shared" si="18"/>
        <v>0</v>
      </c>
      <c r="Y84" s="0">
        <f t="shared" si="19"/>
        <v>0</v>
      </c>
    </row>
    <row r="85" spans="15:25" x14ac:dyDescent="0.3">
      <c r="O85" t="str" s="0">
        <f>A85&amp;COUNTIF($A$3:$A85,A85)</f>
        <v>0</v>
      </c>
      <c r="P85" s="0">
        <f t="shared" si="10"/>
        <v>0</v>
      </c>
      <c r="Q85" s="0">
        <f t="shared" si="11"/>
        <v>0</v>
      </c>
      <c r="R85" s="0">
        <f t="shared" si="12"/>
        <v>0</v>
      </c>
      <c r="S85" s="0">
        <f t="shared" si="13"/>
        <v>0</v>
      </c>
      <c r="T85" s="0">
        <f t="shared" si="14"/>
        <v>0</v>
      </c>
      <c r="U85" s="0">
        <f t="shared" si="15"/>
        <v>0</v>
      </c>
      <c r="V85" s="0">
        <f t="shared" si="16"/>
        <v>0</v>
      </c>
      <c r="W85" s="0">
        <f t="shared" si="17"/>
        <v>0</v>
      </c>
      <c r="X85" s="0">
        <f t="shared" si="18"/>
        <v>0</v>
      </c>
      <c r="Y85" s="0">
        <f t="shared" si="19"/>
        <v>0</v>
      </c>
    </row>
    <row r="86" spans="15:25" x14ac:dyDescent="0.3">
      <c r="O86" t="str" s="0">
        <f>A86&amp;COUNTIF($A$3:$A86,A86)</f>
        <v>0</v>
      </c>
      <c r="P86" s="0">
        <f t="shared" si="10"/>
        <v>0</v>
      </c>
      <c r="Q86" s="0">
        <f t="shared" si="11"/>
        <v>0</v>
      </c>
      <c r="R86" s="0">
        <f t="shared" si="12"/>
        <v>0</v>
      </c>
      <c r="S86" s="0">
        <f t="shared" si="13"/>
        <v>0</v>
      </c>
      <c r="T86" s="0">
        <f t="shared" si="14"/>
        <v>0</v>
      </c>
      <c r="U86" s="0">
        <f t="shared" si="15"/>
        <v>0</v>
      </c>
      <c r="V86" s="0">
        <f t="shared" si="16"/>
        <v>0</v>
      </c>
      <c r="W86" s="0">
        <f t="shared" si="17"/>
        <v>0</v>
      </c>
      <c r="X86" s="0">
        <f t="shared" si="18"/>
        <v>0</v>
      </c>
      <c r="Y86" s="0">
        <f t="shared" si="19"/>
        <v>0</v>
      </c>
    </row>
    <row r="87" spans="15:25" x14ac:dyDescent="0.3">
      <c r="O87" t="str" s="0">
        <f>A87&amp;COUNTIF($A$3:$A87,A87)</f>
        <v>0</v>
      </c>
      <c r="P87" s="0">
        <f t="shared" si="10"/>
        <v>0</v>
      </c>
      <c r="Q87" s="0">
        <f t="shared" si="11"/>
        <v>0</v>
      </c>
      <c r="R87" s="0">
        <f t="shared" si="12"/>
        <v>0</v>
      </c>
      <c r="S87" s="0">
        <f t="shared" si="13"/>
        <v>0</v>
      </c>
      <c r="T87" s="0">
        <f t="shared" si="14"/>
        <v>0</v>
      </c>
      <c r="U87" s="0">
        <f t="shared" si="15"/>
        <v>0</v>
      </c>
      <c r="V87" s="0">
        <f t="shared" si="16"/>
        <v>0</v>
      </c>
      <c r="W87" s="0">
        <f t="shared" si="17"/>
        <v>0</v>
      </c>
      <c r="X87" s="0">
        <f t="shared" si="18"/>
        <v>0</v>
      </c>
      <c r="Y87" s="0">
        <f t="shared" si="19"/>
        <v>0</v>
      </c>
    </row>
    <row r="88" spans="15:25" x14ac:dyDescent="0.3">
      <c r="O88" t="str" s="0">
        <f>A88&amp;COUNTIF($A$3:$A88,A88)</f>
        <v>0</v>
      </c>
      <c r="P88" s="0">
        <f t="shared" si="10"/>
        <v>0</v>
      </c>
      <c r="Q88" s="0">
        <f t="shared" si="11"/>
        <v>0</v>
      </c>
      <c r="R88" s="0">
        <f t="shared" si="12"/>
        <v>0</v>
      </c>
      <c r="S88" s="0">
        <f t="shared" si="13"/>
        <v>0</v>
      </c>
      <c r="T88" s="0">
        <f t="shared" si="14"/>
        <v>0</v>
      </c>
      <c r="U88" s="0">
        <f t="shared" si="15"/>
        <v>0</v>
      </c>
      <c r="V88" s="0">
        <f t="shared" si="16"/>
        <v>0</v>
      </c>
      <c r="W88" s="0">
        <f t="shared" si="17"/>
        <v>0</v>
      </c>
      <c r="X88" s="0">
        <f t="shared" si="18"/>
        <v>0</v>
      </c>
      <c r="Y88" s="0">
        <f t="shared" si="19"/>
        <v>0</v>
      </c>
    </row>
    <row r="89" spans="15:25" x14ac:dyDescent="0.3">
      <c r="O89" t="str" s="0">
        <f>A89&amp;COUNTIF($A$3:$A89,A89)</f>
        <v>0</v>
      </c>
      <c r="P89" s="0">
        <f t="shared" si="10"/>
        <v>0</v>
      </c>
      <c r="Q89" s="0">
        <f t="shared" si="11"/>
        <v>0</v>
      </c>
      <c r="R89" s="0">
        <f t="shared" si="12"/>
        <v>0</v>
      </c>
      <c r="S89" s="0">
        <f t="shared" si="13"/>
        <v>0</v>
      </c>
      <c r="T89" s="0">
        <f t="shared" si="14"/>
        <v>0</v>
      </c>
      <c r="U89" s="0">
        <f t="shared" si="15"/>
        <v>0</v>
      </c>
      <c r="V89" s="0">
        <f t="shared" si="16"/>
        <v>0</v>
      </c>
      <c r="W89" s="0">
        <f t="shared" si="17"/>
        <v>0</v>
      </c>
      <c r="X89" s="0">
        <f t="shared" si="18"/>
        <v>0</v>
      </c>
      <c r="Y89" s="0">
        <f t="shared" si="19"/>
        <v>0</v>
      </c>
    </row>
    <row r="90" spans="15:25" x14ac:dyDescent="0.3">
      <c r="O90" t="str" s="0">
        <f>A90&amp;COUNTIF($A$3:$A90,A90)</f>
        <v>0</v>
      </c>
      <c r="P90" s="0">
        <f t="shared" si="10"/>
        <v>0</v>
      </c>
      <c r="Q90" s="0">
        <f t="shared" si="11"/>
        <v>0</v>
      </c>
      <c r="R90" s="0">
        <f t="shared" si="12"/>
        <v>0</v>
      </c>
      <c r="S90" s="0">
        <f t="shared" si="13"/>
        <v>0</v>
      </c>
      <c r="T90" s="0">
        <f t="shared" si="14"/>
        <v>0</v>
      </c>
      <c r="U90" s="0">
        <f t="shared" si="15"/>
        <v>0</v>
      </c>
      <c r="V90" s="0">
        <f t="shared" si="16"/>
        <v>0</v>
      </c>
      <c r="W90" s="0">
        <f t="shared" si="17"/>
        <v>0</v>
      </c>
      <c r="X90" s="0">
        <f t="shared" si="18"/>
        <v>0</v>
      </c>
      <c r="Y90" s="0">
        <f t="shared" si="19"/>
        <v>0</v>
      </c>
    </row>
    <row r="91" spans="15:25" x14ac:dyDescent="0.3">
      <c r="O91" t="str" s="0">
        <f>A91&amp;COUNTIF($A$3:$A91,A91)</f>
        <v>0</v>
      </c>
      <c r="P91" s="0">
        <f t="shared" si="10"/>
        <v>0</v>
      </c>
      <c r="Q91" s="0">
        <f t="shared" si="11"/>
        <v>0</v>
      </c>
      <c r="R91" s="0">
        <f t="shared" si="12"/>
        <v>0</v>
      </c>
      <c r="S91" s="0">
        <f t="shared" si="13"/>
        <v>0</v>
      </c>
      <c r="T91" s="0">
        <f t="shared" si="14"/>
        <v>0</v>
      </c>
      <c r="U91" s="0">
        <f t="shared" si="15"/>
        <v>0</v>
      </c>
      <c r="V91" s="0">
        <f t="shared" si="16"/>
        <v>0</v>
      </c>
      <c r="W91" s="0">
        <f t="shared" si="17"/>
        <v>0</v>
      </c>
      <c r="X91" s="0">
        <f t="shared" si="18"/>
        <v>0</v>
      </c>
      <c r="Y91" s="0">
        <f t="shared" si="19"/>
        <v>0</v>
      </c>
    </row>
    <row r="92" spans="15:25" x14ac:dyDescent="0.3">
      <c r="O92" t="str" s="0">
        <f>A92&amp;COUNTIF($A$3:$A92,A92)</f>
        <v>0</v>
      </c>
      <c r="P92" s="0">
        <f t="shared" si="10"/>
        <v>0</v>
      </c>
      <c r="Q92" s="0">
        <f t="shared" si="11"/>
        <v>0</v>
      </c>
      <c r="R92" s="0">
        <f t="shared" si="12"/>
        <v>0</v>
      </c>
      <c r="S92" s="0">
        <f t="shared" si="13"/>
        <v>0</v>
      </c>
      <c r="T92" s="0">
        <f t="shared" si="14"/>
        <v>0</v>
      </c>
      <c r="U92" s="0">
        <f t="shared" si="15"/>
        <v>0</v>
      </c>
      <c r="V92" s="0">
        <f t="shared" si="16"/>
        <v>0</v>
      </c>
      <c r="W92" s="0">
        <f t="shared" si="17"/>
        <v>0</v>
      </c>
      <c r="X92" s="0">
        <f t="shared" si="18"/>
        <v>0</v>
      </c>
      <c r="Y92" s="0">
        <f t="shared" si="19"/>
        <v>0</v>
      </c>
    </row>
    <row r="93" spans="15:25" x14ac:dyDescent="0.3">
      <c r="O93" t="str" s="0">
        <f>A93&amp;COUNTIF($A$3:$A93,A93)</f>
        <v>0</v>
      </c>
      <c r="P93" s="0">
        <f t="shared" si="10"/>
        <v>0</v>
      </c>
      <c r="Q93" s="0">
        <f t="shared" si="11"/>
        <v>0</v>
      </c>
      <c r="R93" s="0">
        <f t="shared" si="12"/>
        <v>0</v>
      </c>
      <c r="S93" s="0">
        <f t="shared" si="13"/>
        <v>0</v>
      </c>
      <c r="T93" s="0">
        <f t="shared" si="14"/>
        <v>0</v>
      </c>
      <c r="U93" s="0">
        <f t="shared" si="15"/>
        <v>0</v>
      </c>
      <c r="V93" s="0">
        <f t="shared" si="16"/>
        <v>0</v>
      </c>
      <c r="W93" s="0">
        <f t="shared" si="17"/>
        <v>0</v>
      </c>
      <c r="X93" s="0">
        <f t="shared" si="18"/>
        <v>0</v>
      </c>
      <c r="Y93" s="0">
        <f t="shared" si="19"/>
        <v>0</v>
      </c>
    </row>
    <row r="94" spans="15:25" x14ac:dyDescent="0.3">
      <c r="O94" t="str" s="0">
        <f>A94&amp;COUNTIF($A$3:$A94,A94)</f>
        <v>0</v>
      </c>
      <c r="P94" s="0">
        <f t="shared" si="10"/>
        <v>0</v>
      </c>
      <c r="Q94" s="0">
        <f t="shared" si="11"/>
        <v>0</v>
      </c>
      <c r="R94" s="0">
        <f t="shared" si="12"/>
        <v>0</v>
      </c>
      <c r="S94" s="0">
        <f t="shared" si="13"/>
        <v>0</v>
      </c>
      <c r="T94" s="0">
        <f t="shared" si="14"/>
        <v>0</v>
      </c>
      <c r="U94" s="0">
        <f t="shared" si="15"/>
        <v>0</v>
      </c>
      <c r="V94" s="0">
        <f t="shared" si="16"/>
        <v>0</v>
      </c>
      <c r="W94" s="0">
        <f t="shared" si="17"/>
        <v>0</v>
      </c>
      <c r="X94" s="0">
        <f t="shared" si="18"/>
        <v>0</v>
      </c>
      <c r="Y94" s="0">
        <f t="shared" si="19"/>
        <v>0</v>
      </c>
    </row>
    <row r="95" spans="15:25" x14ac:dyDescent="0.3">
      <c r="O95" t="str" s="0">
        <f>A95&amp;COUNTIF($A$3:$A95,A95)</f>
        <v>0</v>
      </c>
      <c r="P95" s="0">
        <f t="shared" si="10"/>
        <v>0</v>
      </c>
      <c r="Q95" s="0">
        <f t="shared" si="11"/>
        <v>0</v>
      </c>
      <c r="R95" s="0">
        <f t="shared" si="12"/>
        <v>0</v>
      </c>
      <c r="S95" s="0">
        <f t="shared" si="13"/>
        <v>0</v>
      </c>
      <c r="T95" s="0">
        <f t="shared" si="14"/>
        <v>0</v>
      </c>
      <c r="U95" s="0">
        <f t="shared" si="15"/>
        <v>0</v>
      </c>
      <c r="V95" s="0">
        <f t="shared" si="16"/>
        <v>0</v>
      </c>
      <c r="W95" s="0">
        <f t="shared" si="17"/>
        <v>0</v>
      </c>
      <c r="X95" s="0">
        <f t="shared" si="18"/>
        <v>0</v>
      </c>
      <c r="Y95" s="0">
        <f t="shared" si="19"/>
        <v>0</v>
      </c>
    </row>
    <row r="96" spans="15:25" x14ac:dyDescent="0.3">
      <c r="O96" t="str" s="0">
        <f>A96&amp;COUNTIF($A$3:$A96,A96)</f>
        <v>0</v>
      </c>
      <c r="P96" s="0">
        <f t="shared" si="10"/>
        <v>0</v>
      </c>
      <c r="Q96" s="0">
        <f t="shared" si="11"/>
        <v>0</v>
      </c>
      <c r="R96" s="0">
        <f t="shared" si="12"/>
        <v>0</v>
      </c>
      <c r="S96" s="0">
        <f t="shared" si="13"/>
        <v>0</v>
      </c>
      <c r="T96" s="0">
        <f t="shared" si="14"/>
        <v>0</v>
      </c>
      <c r="U96" s="0">
        <f t="shared" si="15"/>
        <v>0</v>
      </c>
      <c r="V96" s="0">
        <f t="shared" si="16"/>
        <v>0</v>
      </c>
      <c r="W96" s="0">
        <f t="shared" si="17"/>
        <v>0</v>
      </c>
      <c r="X96" s="0">
        <f t="shared" si="18"/>
        <v>0</v>
      </c>
      <c r="Y96" s="0">
        <f t="shared" si="19"/>
        <v>0</v>
      </c>
    </row>
    <row r="97" spans="15:25" x14ac:dyDescent="0.3">
      <c r="O97" t="str" s="0">
        <f>A97&amp;COUNTIF($A$3:$A97,A97)</f>
        <v>0</v>
      </c>
      <c r="P97" s="0">
        <f t="shared" si="10"/>
        <v>0</v>
      </c>
      <c r="Q97" s="0">
        <f t="shared" si="11"/>
        <v>0</v>
      </c>
      <c r="R97" s="0">
        <f t="shared" si="12"/>
        <v>0</v>
      </c>
      <c r="S97" s="0">
        <f t="shared" si="13"/>
        <v>0</v>
      </c>
      <c r="T97" s="0">
        <f t="shared" si="14"/>
        <v>0</v>
      </c>
      <c r="U97" s="0">
        <f t="shared" si="15"/>
        <v>0</v>
      </c>
      <c r="V97" s="0">
        <f t="shared" si="16"/>
        <v>0</v>
      </c>
      <c r="W97" s="0">
        <f t="shared" si="17"/>
        <v>0</v>
      </c>
      <c r="X97" s="0">
        <f t="shared" si="18"/>
        <v>0</v>
      </c>
      <c r="Y97" s="0">
        <f t="shared" si="19"/>
        <v>0</v>
      </c>
    </row>
    <row r="98" spans="15:25" x14ac:dyDescent="0.3">
      <c r="O98" t="str" s="0">
        <f>A98&amp;COUNTIF($A$3:$A98,A98)</f>
        <v>0</v>
      </c>
      <c r="P98" s="0">
        <f t="shared" si="10"/>
        <v>0</v>
      </c>
      <c r="Q98" s="0">
        <f t="shared" si="11"/>
        <v>0</v>
      </c>
      <c r="R98" s="0">
        <f t="shared" si="12"/>
        <v>0</v>
      </c>
      <c r="S98" s="0">
        <f t="shared" si="13"/>
        <v>0</v>
      </c>
      <c r="T98" s="0">
        <f t="shared" si="14"/>
        <v>0</v>
      </c>
      <c r="U98" s="0">
        <f t="shared" si="15"/>
        <v>0</v>
      </c>
      <c r="V98" s="0">
        <f t="shared" si="16"/>
        <v>0</v>
      </c>
      <c r="W98" s="0">
        <f t="shared" si="17"/>
        <v>0</v>
      </c>
      <c r="X98" s="0">
        <f t="shared" si="18"/>
        <v>0</v>
      </c>
      <c r="Y98" s="0">
        <f t="shared" si="19"/>
        <v>0</v>
      </c>
    </row>
    <row r="99" spans="15:25" x14ac:dyDescent="0.3">
      <c r="O99" t="str" s="0">
        <f>A99&amp;COUNTIF($A$3:$A99,A99)</f>
        <v>0</v>
      </c>
      <c r="P99" s="0">
        <f t="shared" si="10"/>
        <v>0</v>
      </c>
      <c r="Q99" s="0">
        <f t="shared" si="11"/>
        <v>0</v>
      </c>
      <c r="R99" s="0">
        <f t="shared" si="12"/>
        <v>0</v>
      </c>
      <c r="S99" s="0">
        <f t="shared" si="13"/>
        <v>0</v>
      </c>
      <c r="T99" s="0">
        <f t="shared" si="14"/>
        <v>0</v>
      </c>
      <c r="U99" s="0">
        <f t="shared" si="15"/>
        <v>0</v>
      </c>
      <c r="V99" s="0">
        <f t="shared" si="16"/>
        <v>0</v>
      </c>
      <c r="W99" s="0">
        <f t="shared" si="17"/>
        <v>0</v>
      </c>
      <c r="X99" s="0">
        <f t="shared" si="18"/>
        <v>0</v>
      </c>
      <c r="Y99" s="0">
        <f t="shared" si="19"/>
        <v>0</v>
      </c>
    </row>
    <row r="100" spans="15:25" x14ac:dyDescent="0.3">
      <c r="O100" t="str" s="0">
        <f>A100&amp;COUNTIF($A$3:$A100,A100)</f>
        <v>0</v>
      </c>
      <c r="P100" s="0">
        <f t="shared" si="10"/>
        <v>0</v>
      </c>
      <c r="Q100" s="0">
        <f t="shared" si="11"/>
        <v>0</v>
      </c>
      <c r="R100" s="0">
        <f t="shared" si="12"/>
        <v>0</v>
      </c>
      <c r="S100" s="0">
        <f t="shared" si="13"/>
        <v>0</v>
      </c>
      <c r="T100" s="0">
        <f t="shared" si="14"/>
        <v>0</v>
      </c>
      <c r="U100" s="0">
        <f t="shared" si="15"/>
        <v>0</v>
      </c>
      <c r="V100" s="0">
        <f t="shared" si="16"/>
        <v>0</v>
      </c>
      <c r="W100" s="0">
        <f t="shared" si="17"/>
        <v>0</v>
      </c>
      <c r="X100" s="0">
        <f t="shared" si="18"/>
        <v>0</v>
      </c>
      <c r="Y100" s="0">
        <f t="shared" si="19"/>
        <v>0</v>
      </c>
    </row>
    <row r="101" spans="15:25" x14ac:dyDescent="0.3">
      <c r="O101" t="str" s="0">
        <f>A101&amp;COUNTIF($A$3:$A101,A101)</f>
        <v>0</v>
      </c>
      <c r="P101" s="0">
        <f t="shared" si="10"/>
        <v>0</v>
      </c>
      <c r="Q101" s="0">
        <f t="shared" si="11"/>
        <v>0</v>
      </c>
      <c r="R101" s="0">
        <f t="shared" si="12"/>
        <v>0</v>
      </c>
      <c r="S101" s="0">
        <f t="shared" si="13"/>
        <v>0</v>
      </c>
      <c r="T101" s="0">
        <f t="shared" si="14"/>
        <v>0</v>
      </c>
      <c r="U101" s="0">
        <f t="shared" si="15"/>
        <v>0</v>
      </c>
      <c r="V101" s="0">
        <f t="shared" si="16"/>
        <v>0</v>
      </c>
      <c r="W101" s="0">
        <f t="shared" si="17"/>
        <v>0</v>
      </c>
      <c r="X101" s="0">
        <f t="shared" si="18"/>
        <v>0</v>
      </c>
      <c r="Y101" s="0">
        <f t="shared" si="19"/>
        <v>0</v>
      </c>
    </row>
    <row r="102" spans="15:25" x14ac:dyDescent="0.3">
      <c r="O102" t="str" s="0">
        <f>A102&amp;COUNTIF($A$3:$A102,A102)</f>
        <v>0</v>
      </c>
      <c r="P102" s="0">
        <f t="shared" si="10"/>
        <v>0</v>
      </c>
      <c r="Q102" s="0">
        <f t="shared" si="11"/>
        <v>0</v>
      </c>
      <c r="R102" s="0">
        <f t="shared" si="12"/>
        <v>0</v>
      </c>
      <c r="S102" s="0">
        <f t="shared" si="13"/>
        <v>0</v>
      </c>
      <c r="T102" s="0">
        <f t="shared" si="14"/>
        <v>0</v>
      </c>
      <c r="U102" s="0">
        <f t="shared" si="15"/>
        <v>0</v>
      </c>
      <c r="V102" s="0">
        <f t="shared" si="16"/>
        <v>0</v>
      </c>
      <c r="W102" s="0">
        <f t="shared" si="17"/>
        <v>0</v>
      </c>
      <c r="X102" s="0">
        <f t="shared" si="18"/>
        <v>0</v>
      </c>
      <c r="Y102" s="0">
        <f t="shared" si="19"/>
        <v>0</v>
      </c>
    </row>
    <row r="103" spans="15:25" x14ac:dyDescent="0.3">
      <c r="O103" t="str" s="0">
        <f>A103&amp;COUNTIF($A$3:$A103,A103)</f>
        <v>0</v>
      </c>
      <c r="P103" s="0">
        <f t="shared" si="10"/>
        <v>0</v>
      </c>
      <c r="Q103" s="0">
        <f t="shared" si="11"/>
        <v>0</v>
      </c>
      <c r="R103" s="0">
        <f t="shared" si="12"/>
        <v>0</v>
      </c>
      <c r="S103" s="0">
        <f t="shared" si="13"/>
        <v>0</v>
      </c>
      <c r="T103" s="0">
        <f t="shared" si="14"/>
        <v>0</v>
      </c>
      <c r="U103" s="0">
        <f t="shared" si="15"/>
        <v>0</v>
      </c>
      <c r="V103" s="0">
        <f t="shared" si="16"/>
        <v>0</v>
      </c>
      <c r="W103" s="0">
        <f t="shared" si="17"/>
        <v>0</v>
      </c>
      <c r="X103" s="0">
        <f t="shared" si="18"/>
        <v>0</v>
      </c>
      <c r="Y103" s="0">
        <f t="shared" si="19"/>
        <v>0</v>
      </c>
    </row>
    <row r="104" spans="15:25" x14ac:dyDescent="0.3">
      <c r="O104" t="str" s="0">
        <f>A104&amp;COUNTIF($A$3:$A104,A104)</f>
        <v>0</v>
      </c>
      <c r="P104" s="0">
        <f t="shared" si="10"/>
        <v>0</v>
      </c>
      <c r="Q104" s="0">
        <f t="shared" si="11"/>
        <v>0</v>
      </c>
      <c r="R104" s="0">
        <f t="shared" si="12"/>
        <v>0</v>
      </c>
      <c r="S104" s="0">
        <f t="shared" si="13"/>
        <v>0</v>
      </c>
      <c r="T104" s="0">
        <f t="shared" si="14"/>
        <v>0</v>
      </c>
      <c r="U104" s="0">
        <f t="shared" si="15"/>
        <v>0</v>
      </c>
      <c r="V104" s="0">
        <f t="shared" si="16"/>
        <v>0</v>
      </c>
      <c r="W104" s="0">
        <f t="shared" si="17"/>
        <v>0</v>
      </c>
      <c r="X104" s="0">
        <f t="shared" si="18"/>
        <v>0</v>
      </c>
      <c r="Y104" s="0">
        <f t="shared" si="19"/>
        <v>0</v>
      </c>
    </row>
    <row r="105" spans="15:25" x14ac:dyDescent="0.3">
      <c r="O105" t="str" s="0">
        <f>A105&amp;COUNTIF($A$3:$A105,A105)</f>
        <v>0</v>
      </c>
      <c r="P105" s="0">
        <f t="shared" si="10"/>
        <v>0</v>
      </c>
      <c r="Q105" s="0">
        <f t="shared" si="11"/>
        <v>0</v>
      </c>
      <c r="R105" s="0">
        <f t="shared" si="12"/>
        <v>0</v>
      </c>
      <c r="S105" s="0">
        <f t="shared" si="13"/>
        <v>0</v>
      </c>
      <c r="T105" s="0">
        <f t="shared" si="14"/>
        <v>0</v>
      </c>
      <c r="U105" s="0">
        <f t="shared" si="15"/>
        <v>0</v>
      </c>
      <c r="V105" s="0">
        <f t="shared" si="16"/>
        <v>0</v>
      </c>
      <c r="W105" s="0">
        <f t="shared" si="17"/>
        <v>0</v>
      </c>
      <c r="X105" s="0">
        <f t="shared" si="18"/>
        <v>0</v>
      </c>
      <c r="Y105" s="0">
        <f t="shared" si="19"/>
        <v>0</v>
      </c>
    </row>
    <row r="106" spans="15:25" x14ac:dyDescent="0.3">
      <c r="O106" t="str" s="0">
        <f>A106&amp;COUNTIF($A$3:$A106,A106)</f>
        <v>0</v>
      </c>
      <c r="P106" s="0">
        <f t="shared" si="10"/>
        <v>0</v>
      </c>
      <c r="Q106" s="0">
        <f t="shared" si="11"/>
        <v>0</v>
      </c>
      <c r="R106" s="0">
        <f t="shared" si="12"/>
        <v>0</v>
      </c>
      <c r="S106" s="0">
        <f t="shared" si="13"/>
        <v>0</v>
      </c>
      <c r="T106" s="0">
        <f t="shared" si="14"/>
        <v>0</v>
      </c>
      <c r="U106" s="0">
        <f t="shared" si="15"/>
        <v>0</v>
      </c>
      <c r="V106" s="0">
        <f t="shared" si="16"/>
        <v>0</v>
      </c>
      <c r="W106" s="0">
        <f t="shared" si="17"/>
        <v>0</v>
      </c>
      <c r="X106" s="0">
        <f t="shared" si="18"/>
        <v>0</v>
      </c>
      <c r="Y106" s="0">
        <f t="shared" si="19"/>
        <v>0</v>
      </c>
    </row>
    <row r="107" spans="15:25" x14ac:dyDescent="0.3">
      <c r="O107" t="str" s="0">
        <f>A107&amp;COUNTIF($A$3:$A107,A107)</f>
        <v>0</v>
      </c>
      <c r="P107" s="0">
        <f t="shared" si="10"/>
        <v>0</v>
      </c>
      <c r="Q107" s="0">
        <f t="shared" si="11"/>
        <v>0</v>
      </c>
      <c r="R107" s="0">
        <f t="shared" si="12"/>
        <v>0</v>
      </c>
      <c r="S107" s="0">
        <f t="shared" si="13"/>
        <v>0</v>
      </c>
      <c r="T107" s="0">
        <f t="shared" si="14"/>
        <v>0</v>
      </c>
      <c r="U107" s="0">
        <f t="shared" si="15"/>
        <v>0</v>
      </c>
      <c r="V107" s="0">
        <f t="shared" si="16"/>
        <v>0</v>
      </c>
      <c r="W107" s="0">
        <f t="shared" si="17"/>
        <v>0</v>
      </c>
      <c r="X107" s="0">
        <f t="shared" si="18"/>
        <v>0</v>
      </c>
      <c r="Y107" s="0">
        <f t="shared" si="19"/>
        <v>0</v>
      </c>
    </row>
    <row r="108" spans="15:25" x14ac:dyDescent="0.3">
      <c r="O108" t="str" s="0">
        <f>A108&amp;COUNTIF($A$3:$A108,A108)</f>
        <v>0</v>
      </c>
      <c r="P108" s="0">
        <f t="shared" si="10"/>
        <v>0</v>
      </c>
      <c r="Q108" s="0">
        <f t="shared" si="11"/>
        <v>0</v>
      </c>
      <c r="R108" s="0">
        <f t="shared" si="12"/>
        <v>0</v>
      </c>
      <c r="S108" s="0">
        <f t="shared" si="13"/>
        <v>0</v>
      </c>
      <c r="T108" s="0">
        <f t="shared" si="14"/>
        <v>0</v>
      </c>
      <c r="U108" s="0">
        <f t="shared" si="15"/>
        <v>0</v>
      </c>
      <c r="V108" s="0">
        <f t="shared" si="16"/>
        <v>0</v>
      </c>
      <c r="W108" s="0">
        <f t="shared" si="17"/>
        <v>0</v>
      </c>
      <c r="X108" s="0">
        <f t="shared" si="18"/>
        <v>0</v>
      </c>
      <c r="Y108" s="0">
        <f t="shared" si="19"/>
        <v>0</v>
      </c>
    </row>
    <row r="109" spans="15:25" x14ac:dyDescent="0.3">
      <c r="O109" t="str" s="0">
        <f>A109&amp;COUNTIF($A$3:$A109,A109)</f>
        <v>0</v>
      </c>
      <c r="P109" s="0">
        <f t="shared" si="10"/>
        <v>0</v>
      </c>
      <c r="Q109" s="0">
        <f t="shared" si="11"/>
        <v>0</v>
      </c>
      <c r="R109" s="0">
        <f t="shared" si="12"/>
        <v>0</v>
      </c>
      <c r="S109" s="0">
        <f t="shared" si="13"/>
        <v>0</v>
      </c>
      <c r="T109" s="0">
        <f t="shared" si="14"/>
        <v>0</v>
      </c>
      <c r="U109" s="0">
        <f t="shared" si="15"/>
        <v>0</v>
      </c>
      <c r="V109" s="0">
        <f t="shared" si="16"/>
        <v>0</v>
      </c>
      <c r="W109" s="0">
        <f t="shared" si="17"/>
        <v>0</v>
      </c>
      <c r="X109" s="0">
        <f t="shared" si="18"/>
        <v>0</v>
      </c>
      <c r="Y109" s="0">
        <f t="shared" si="19"/>
        <v>0</v>
      </c>
    </row>
    <row r="110" spans="15:25" x14ac:dyDescent="0.3">
      <c r="O110" t="str" s="0">
        <f>A110&amp;COUNTIF($A$3:$A110,A110)</f>
        <v>0</v>
      </c>
      <c r="P110" s="0">
        <f t="shared" si="10"/>
        <v>0</v>
      </c>
      <c r="Q110" s="0">
        <f t="shared" si="11"/>
        <v>0</v>
      </c>
      <c r="R110" s="0">
        <f t="shared" si="12"/>
        <v>0</v>
      </c>
      <c r="S110" s="0">
        <f t="shared" si="13"/>
        <v>0</v>
      </c>
      <c r="T110" s="0">
        <f t="shared" si="14"/>
        <v>0</v>
      </c>
      <c r="U110" s="0">
        <f t="shared" si="15"/>
        <v>0</v>
      </c>
      <c r="V110" s="0">
        <f t="shared" si="16"/>
        <v>0</v>
      </c>
      <c r="W110" s="0">
        <f t="shared" si="17"/>
        <v>0</v>
      </c>
      <c r="X110" s="0">
        <f t="shared" si="18"/>
        <v>0</v>
      </c>
      <c r="Y110" s="0">
        <f t="shared" si="19"/>
        <v>0</v>
      </c>
    </row>
    <row r="111" spans="15:25" x14ac:dyDescent="0.3">
      <c r="O111" t="str" s="0">
        <f>A111&amp;COUNTIF($A$3:$A111,A111)</f>
        <v>0</v>
      </c>
      <c r="P111" s="0">
        <f t="shared" si="10"/>
        <v>0</v>
      </c>
      <c r="Q111" s="0">
        <f t="shared" si="11"/>
        <v>0</v>
      </c>
      <c r="R111" s="0">
        <f t="shared" si="12"/>
        <v>0</v>
      </c>
      <c r="S111" s="0">
        <f t="shared" si="13"/>
        <v>0</v>
      </c>
      <c r="T111" s="0">
        <f t="shared" si="14"/>
        <v>0</v>
      </c>
      <c r="U111" s="0">
        <f t="shared" si="15"/>
        <v>0</v>
      </c>
      <c r="V111" s="0">
        <f t="shared" si="16"/>
        <v>0</v>
      </c>
      <c r="W111" s="0">
        <f t="shared" si="17"/>
        <v>0</v>
      </c>
      <c r="X111" s="0">
        <f t="shared" si="18"/>
        <v>0</v>
      </c>
      <c r="Y111" s="0">
        <f t="shared" si="19"/>
        <v>0</v>
      </c>
    </row>
    <row r="112" spans="15:25" x14ac:dyDescent="0.3">
      <c r="O112" t="str" s="0">
        <f>A112&amp;COUNTIF($A$3:$A112,A112)</f>
        <v>0</v>
      </c>
      <c r="P112" s="0">
        <f t="shared" si="10"/>
        <v>0</v>
      </c>
      <c r="Q112" s="0">
        <f t="shared" si="11"/>
        <v>0</v>
      </c>
      <c r="R112" s="0">
        <f t="shared" si="12"/>
        <v>0</v>
      </c>
      <c r="S112" s="0">
        <f t="shared" si="13"/>
        <v>0</v>
      </c>
      <c r="T112" s="0">
        <f t="shared" si="14"/>
        <v>0</v>
      </c>
      <c r="U112" s="0">
        <f t="shared" si="15"/>
        <v>0</v>
      </c>
      <c r="V112" s="0">
        <f t="shared" si="16"/>
        <v>0</v>
      </c>
      <c r="W112" s="0">
        <f t="shared" si="17"/>
        <v>0</v>
      </c>
      <c r="X112" s="0">
        <f t="shared" si="18"/>
        <v>0</v>
      </c>
      <c r="Y112" s="0">
        <f t="shared" si="19"/>
        <v>0</v>
      </c>
    </row>
    <row r="113" spans="15:25" x14ac:dyDescent="0.3">
      <c r="O113" t="str" s="0">
        <f>A113&amp;COUNTIF($A$3:$A113,A113)</f>
        <v>0</v>
      </c>
      <c r="P113" s="0">
        <f t="shared" si="10"/>
        <v>0</v>
      </c>
      <c r="Q113" s="0">
        <f t="shared" si="11"/>
        <v>0</v>
      </c>
      <c r="R113" s="0">
        <f t="shared" si="12"/>
        <v>0</v>
      </c>
      <c r="S113" s="0">
        <f t="shared" si="13"/>
        <v>0</v>
      </c>
      <c r="T113" s="0">
        <f t="shared" si="14"/>
        <v>0</v>
      </c>
      <c r="U113" s="0">
        <f t="shared" si="15"/>
        <v>0</v>
      </c>
      <c r="V113" s="0">
        <f t="shared" si="16"/>
        <v>0</v>
      </c>
      <c r="W113" s="0">
        <f t="shared" si="17"/>
        <v>0</v>
      </c>
      <c r="X113" s="0">
        <f t="shared" si="18"/>
        <v>0</v>
      </c>
      <c r="Y113" s="0">
        <f t="shared" si="19"/>
        <v>0</v>
      </c>
    </row>
    <row r="114" spans="15:25" x14ac:dyDescent="0.3">
      <c r="O114" t="str" s="0">
        <f>A114&amp;COUNTIF($A$3:$A114,A114)</f>
        <v>0</v>
      </c>
      <c r="P114" s="0">
        <f t="shared" si="10"/>
        <v>0</v>
      </c>
      <c r="Q114" s="0">
        <f t="shared" si="11"/>
        <v>0</v>
      </c>
      <c r="R114" s="0">
        <f t="shared" si="12"/>
        <v>0</v>
      </c>
      <c r="S114" s="0">
        <f t="shared" si="13"/>
        <v>0</v>
      </c>
      <c r="T114" s="0">
        <f t="shared" si="14"/>
        <v>0</v>
      </c>
      <c r="U114" s="0">
        <f t="shared" si="15"/>
        <v>0</v>
      </c>
      <c r="V114" s="0">
        <f t="shared" si="16"/>
        <v>0</v>
      </c>
      <c r="W114" s="0">
        <f t="shared" si="17"/>
        <v>0</v>
      </c>
      <c r="X114" s="0">
        <f t="shared" si="18"/>
        <v>0</v>
      </c>
      <c r="Y114" s="0">
        <f t="shared" si="19"/>
        <v>0</v>
      </c>
    </row>
    <row r="115" spans="15:25" x14ac:dyDescent="0.3">
      <c r="O115" t="str" s="0">
        <f>A115&amp;COUNTIF($A$3:$A115,A115)</f>
        <v>0</v>
      </c>
      <c r="P115" s="0">
        <f t="shared" si="10"/>
        <v>0</v>
      </c>
      <c r="Q115" s="0">
        <f t="shared" si="11"/>
        <v>0</v>
      </c>
      <c r="R115" s="0">
        <f t="shared" si="12"/>
        <v>0</v>
      </c>
      <c r="S115" s="0">
        <f t="shared" si="13"/>
        <v>0</v>
      </c>
      <c r="T115" s="0">
        <f t="shared" si="14"/>
        <v>0</v>
      </c>
      <c r="U115" s="0">
        <f t="shared" si="15"/>
        <v>0</v>
      </c>
      <c r="V115" s="0">
        <f t="shared" si="16"/>
        <v>0</v>
      </c>
      <c r="W115" s="0">
        <f t="shared" si="17"/>
        <v>0</v>
      </c>
      <c r="X115" s="0">
        <f t="shared" si="18"/>
        <v>0</v>
      </c>
      <c r="Y115" s="0">
        <f t="shared" si="19"/>
        <v>0</v>
      </c>
    </row>
    <row r="116" spans="15:25" x14ac:dyDescent="0.3">
      <c r="O116" t="str" s="0">
        <f>A116&amp;COUNTIF($A$3:$A116,A116)</f>
        <v>0</v>
      </c>
      <c r="P116" s="0">
        <f t="shared" si="10"/>
        <v>0</v>
      </c>
      <c r="Q116" s="0">
        <f t="shared" si="11"/>
        <v>0</v>
      </c>
      <c r="R116" s="0">
        <f t="shared" si="12"/>
        <v>0</v>
      </c>
      <c r="S116" s="0">
        <f t="shared" si="13"/>
        <v>0</v>
      </c>
      <c r="T116" s="0">
        <f t="shared" si="14"/>
        <v>0</v>
      </c>
      <c r="U116" s="0">
        <f t="shared" si="15"/>
        <v>0</v>
      </c>
      <c r="V116" s="0">
        <f t="shared" si="16"/>
        <v>0</v>
      </c>
      <c r="W116" s="0">
        <f t="shared" si="17"/>
        <v>0</v>
      </c>
      <c r="X116" s="0">
        <f t="shared" si="18"/>
        <v>0</v>
      </c>
      <c r="Y116" s="0">
        <f t="shared" si="19"/>
        <v>0</v>
      </c>
    </row>
    <row r="117" spans="15:25" x14ac:dyDescent="0.3">
      <c r="O117" t="str" s="0">
        <f>A117&amp;COUNTIF($A$3:$A117,A117)</f>
        <v>0</v>
      </c>
      <c r="P117" s="0">
        <f t="shared" si="10"/>
        <v>0</v>
      </c>
      <c r="Q117" s="0">
        <f t="shared" si="11"/>
        <v>0</v>
      </c>
      <c r="R117" s="0">
        <f t="shared" si="12"/>
        <v>0</v>
      </c>
      <c r="S117" s="0">
        <f t="shared" si="13"/>
        <v>0</v>
      </c>
      <c r="T117" s="0">
        <f t="shared" si="14"/>
        <v>0</v>
      </c>
      <c r="U117" s="0">
        <f t="shared" si="15"/>
        <v>0</v>
      </c>
      <c r="V117" s="0">
        <f t="shared" si="16"/>
        <v>0</v>
      </c>
      <c r="W117" s="0">
        <f t="shared" si="17"/>
        <v>0</v>
      </c>
      <c r="X117" s="0">
        <f t="shared" si="18"/>
        <v>0</v>
      </c>
      <c r="Y117" s="0">
        <f t="shared" si="19"/>
        <v>0</v>
      </c>
    </row>
    <row r="118" spans="15:25" x14ac:dyDescent="0.3">
      <c r="O118" t="str" s="0">
        <f>A118&amp;COUNTIF($A$3:$A118,A118)</f>
        <v>0</v>
      </c>
      <c r="P118" s="0">
        <f t="shared" si="10"/>
        <v>0</v>
      </c>
      <c r="Q118" s="0">
        <f t="shared" si="11"/>
        <v>0</v>
      </c>
      <c r="R118" s="0">
        <f t="shared" si="12"/>
        <v>0</v>
      </c>
      <c r="S118" s="0">
        <f t="shared" si="13"/>
        <v>0</v>
      </c>
      <c r="T118" s="0">
        <f t="shared" si="14"/>
        <v>0</v>
      </c>
      <c r="U118" s="0">
        <f t="shared" si="15"/>
        <v>0</v>
      </c>
      <c r="V118" s="0">
        <f t="shared" si="16"/>
        <v>0</v>
      </c>
      <c r="W118" s="0">
        <f t="shared" si="17"/>
        <v>0</v>
      </c>
      <c r="X118" s="0">
        <f t="shared" si="18"/>
        <v>0</v>
      </c>
      <c r="Y118" s="0">
        <f t="shared" si="19"/>
        <v>0</v>
      </c>
    </row>
    <row r="119" spans="15:25" x14ac:dyDescent="0.3">
      <c r="O119" t="str" s="0">
        <f>A119&amp;COUNTIF($A$3:$A119,A119)</f>
        <v>0</v>
      </c>
      <c r="P119" s="0">
        <f t="shared" si="10"/>
        <v>0</v>
      </c>
      <c r="Q119" s="0">
        <f t="shared" si="11"/>
        <v>0</v>
      </c>
      <c r="R119" s="0">
        <f t="shared" si="12"/>
        <v>0</v>
      </c>
      <c r="S119" s="0">
        <f t="shared" si="13"/>
        <v>0</v>
      </c>
      <c r="T119" s="0">
        <f t="shared" si="14"/>
        <v>0</v>
      </c>
      <c r="U119" s="0">
        <f t="shared" si="15"/>
        <v>0</v>
      </c>
      <c r="V119" s="0">
        <f t="shared" si="16"/>
        <v>0</v>
      </c>
      <c r="W119" s="0">
        <f t="shared" si="17"/>
        <v>0</v>
      </c>
      <c r="X119" s="0">
        <f t="shared" si="18"/>
        <v>0</v>
      </c>
      <c r="Y119" s="0">
        <f t="shared" si="19"/>
        <v>0</v>
      </c>
    </row>
    <row r="120" spans="15:25" x14ac:dyDescent="0.3">
      <c r="O120" t="str" s="0">
        <f>A120&amp;COUNTIF($A$3:$A120,A120)</f>
        <v>0</v>
      </c>
      <c r="P120" s="0">
        <f t="shared" si="10"/>
        <v>0</v>
      </c>
      <c r="Q120" s="0">
        <f t="shared" si="11"/>
        <v>0</v>
      </c>
      <c r="R120" s="0">
        <f t="shared" si="12"/>
        <v>0</v>
      </c>
      <c r="S120" s="0">
        <f t="shared" si="13"/>
        <v>0</v>
      </c>
      <c r="T120" s="0">
        <f t="shared" si="14"/>
        <v>0</v>
      </c>
      <c r="U120" s="0">
        <f t="shared" si="15"/>
        <v>0</v>
      </c>
      <c r="V120" s="0">
        <f t="shared" si="16"/>
        <v>0</v>
      </c>
      <c r="W120" s="0">
        <f t="shared" si="17"/>
        <v>0</v>
      </c>
      <c r="X120" s="0">
        <f t="shared" si="18"/>
        <v>0</v>
      </c>
      <c r="Y120" s="0">
        <f t="shared" si="19"/>
        <v>0</v>
      </c>
    </row>
    <row r="121" spans="15:25" x14ac:dyDescent="0.3">
      <c r="O121" t="str" s="0">
        <f>A121&amp;COUNTIF($A$3:$A121,A121)</f>
        <v>0</v>
      </c>
      <c r="P121" s="0">
        <f t="shared" si="10"/>
        <v>0</v>
      </c>
      <c r="Q121" s="0">
        <f t="shared" si="11"/>
        <v>0</v>
      </c>
      <c r="R121" s="0">
        <f t="shared" si="12"/>
        <v>0</v>
      </c>
      <c r="S121" s="0">
        <f t="shared" si="13"/>
        <v>0</v>
      </c>
      <c r="T121" s="0">
        <f t="shared" si="14"/>
        <v>0</v>
      </c>
      <c r="U121" s="0">
        <f t="shared" si="15"/>
        <v>0</v>
      </c>
      <c r="V121" s="0">
        <f t="shared" si="16"/>
        <v>0</v>
      </c>
      <c r="W121" s="0">
        <f t="shared" si="17"/>
        <v>0</v>
      </c>
      <c r="X121" s="0">
        <f t="shared" si="18"/>
        <v>0</v>
      </c>
      <c r="Y121" s="0">
        <f t="shared" si="19"/>
        <v>0</v>
      </c>
    </row>
    <row r="122" spans="15:25" x14ac:dyDescent="0.3">
      <c r="O122" t="str" s="0">
        <f>A122&amp;COUNTIF($A$3:$A122,A122)</f>
        <v>0</v>
      </c>
      <c r="P122" s="0">
        <f t="shared" si="10"/>
        <v>0</v>
      </c>
      <c r="Q122" s="0">
        <f t="shared" si="11"/>
        <v>0</v>
      </c>
      <c r="R122" s="0">
        <f t="shared" si="12"/>
        <v>0</v>
      </c>
      <c r="S122" s="0">
        <f t="shared" si="13"/>
        <v>0</v>
      </c>
      <c r="T122" s="0">
        <f t="shared" si="14"/>
        <v>0</v>
      </c>
      <c r="U122" s="0">
        <f t="shared" si="15"/>
        <v>0</v>
      </c>
      <c r="V122" s="0">
        <f t="shared" si="16"/>
        <v>0</v>
      </c>
      <c r="W122" s="0">
        <f t="shared" si="17"/>
        <v>0</v>
      </c>
      <c r="X122" s="0">
        <f t="shared" si="18"/>
        <v>0</v>
      </c>
      <c r="Y122" s="0">
        <f t="shared" si="19"/>
        <v>0</v>
      </c>
    </row>
    <row r="123" spans="15:25" x14ac:dyDescent="0.3">
      <c r="O123" t="str" s="0">
        <f>A123&amp;COUNTIF($A$3:$A123,A123)</f>
        <v>0</v>
      </c>
      <c r="P123" s="0">
        <f t="shared" si="10"/>
        <v>0</v>
      </c>
      <c r="Q123" s="0">
        <f t="shared" si="11"/>
        <v>0</v>
      </c>
      <c r="R123" s="0">
        <f t="shared" si="12"/>
        <v>0</v>
      </c>
      <c r="S123" s="0">
        <f t="shared" si="13"/>
        <v>0</v>
      </c>
      <c r="T123" s="0">
        <f t="shared" si="14"/>
        <v>0</v>
      </c>
      <c r="U123" s="0">
        <f t="shared" si="15"/>
        <v>0</v>
      </c>
      <c r="V123" s="0">
        <f t="shared" si="16"/>
        <v>0</v>
      </c>
      <c r="W123" s="0">
        <f t="shared" si="17"/>
        <v>0</v>
      </c>
      <c r="X123" s="0">
        <f t="shared" si="18"/>
        <v>0</v>
      </c>
      <c r="Y123" s="0">
        <f t="shared" si="19"/>
        <v>0</v>
      </c>
    </row>
    <row r="124" spans="15:25" x14ac:dyDescent="0.3">
      <c r="O124" t="str" s="0">
        <f>A124&amp;COUNTIF($A$3:$A124,A124)</f>
        <v>0</v>
      </c>
      <c r="P124" s="0">
        <f t="shared" si="10"/>
        <v>0</v>
      </c>
      <c r="Q124" s="0">
        <f t="shared" si="11"/>
        <v>0</v>
      </c>
      <c r="R124" s="0">
        <f t="shared" si="12"/>
        <v>0</v>
      </c>
      <c r="S124" s="0">
        <f t="shared" si="13"/>
        <v>0</v>
      </c>
      <c r="T124" s="0">
        <f t="shared" si="14"/>
        <v>0</v>
      </c>
      <c r="U124" s="0">
        <f t="shared" si="15"/>
        <v>0</v>
      </c>
      <c r="V124" s="0">
        <f t="shared" si="16"/>
        <v>0</v>
      </c>
      <c r="W124" s="0">
        <f t="shared" si="17"/>
        <v>0</v>
      </c>
      <c r="X124" s="0">
        <f t="shared" si="18"/>
        <v>0</v>
      </c>
      <c r="Y124" s="0">
        <f t="shared" si="19"/>
        <v>0</v>
      </c>
    </row>
    <row r="125" spans="15:25" x14ac:dyDescent="0.3">
      <c r="O125" t="str" s="0">
        <f>A125&amp;COUNTIF($A$3:$A125,A125)</f>
        <v>0</v>
      </c>
      <c r="P125" s="0">
        <f t="shared" si="10"/>
        <v>0</v>
      </c>
      <c r="Q125" s="0">
        <f t="shared" si="11"/>
        <v>0</v>
      </c>
      <c r="R125" s="0">
        <f t="shared" si="12"/>
        <v>0</v>
      </c>
      <c r="S125" s="0">
        <f t="shared" si="13"/>
        <v>0</v>
      </c>
      <c r="T125" s="0">
        <f t="shared" si="14"/>
        <v>0</v>
      </c>
      <c r="U125" s="0">
        <f t="shared" si="15"/>
        <v>0</v>
      </c>
      <c r="V125" s="0">
        <f t="shared" si="16"/>
        <v>0</v>
      </c>
      <c r="W125" s="0">
        <f t="shared" si="17"/>
        <v>0</v>
      </c>
      <c r="X125" s="0">
        <f t="shared" si="18"/>
        <v>0</v>
      </c>
      <c r="Y125" s="0">
        <f t="shared" si="19"/>
        <v>0</v>
      </c>
    </row>
    <row r="126" spans="15:25" x14ac:dyDescent="0.3">
      <c r="O126" t="str" s="0">
        <f>A126&amp;COUNTIF($A$3:$A126,A126)</f>
        <v>0</v>
      </c>
      <c r="P126" s="0">
        <f t="shared" si="10"/>
        <v>0</v>
      </c>
      <c r="Q126" s="0">
        <f t="shared" si="11"/>
        <v>0</v>
      </c>
      <c r="R126" s="0">
        <f t="shared" si="12"/>
        <v>0</v>
      </c>
      <c r="S126" s="0">
        <f t="shared" si="13"/>
        <v>0</v>
      </c>
      <c r="T126" s="0">
        <f t="shared" si="14"/>
        <v>0</v>
      </c>
      <c r="U126" s="0">
        <f t="shared" si="15"/>
        <v>0</v>
      </c>
      <c r="V126" s="0">
        <f t="shared" si="16"/>
        <v>0</v>
      </c>
      <c r="W126" s="0">
        <f t="shared" si="17"/>
        <v>0</v>
      </c>
      <c r="X126" s="0">
        <f t="shared" si="18"/>
        <v>0</v>
      </c>
      <c r="Y126" s="0">
        <f t="shared" si="19"/>
        <v>0</v>
      </c>
    </row>
    <row r="127" spans="15:25" x14ac:dyDescent="0.3">
      <c r="O127" t="str" s="0">
        <f>A127&amp;COUNTIF($A$3:$A127,A127)</f>
        <v>0</v>
      </c>
      <c r="P127" s="0">
        <f t="shared" si="10"/>
        <v>0</v>
      </c>
      <c r="Q127" s="0">
        <f t="shared" si="11"/>
        <v>0</v>
      </c>
      <c r="R127" s="0">
        <f t="shared" si="12"/>
        <v>0</v>
      </c>
      <c r="S127" s="0">
        <f t="shared" si="13"/>
        <v>0</v>
      </c>
      <c r="T127" s="0">
        <f t="shared" si="14"/>
        <v>0</v>
      </c>
      <c r="U127" s="0">
        <f t="shared" si="15"/>
        <v>0</v>
      </c>
      <c r="V127" s="0">
        <f t="shared" si="16"/>
        <v>0</v>
      </c>
      <c r="W127" s="0">
        <f t="shared" si="17"/>
        <v>0</v>
      </c>
      <c r="X127" s="0">
        <f t="shared" si="18"/>
        <v>0</v>
      </c>
      <c r="Y127" s="0">
        <f t="shared" si="19"/>
        <v>0</v>
      </c>
    </row>
    <row r="128" spans="15:25" x14ac:dyDescent="0.3">
      <c r="O128" t="str" s="0">
        <f>A128&amp;COUNTIF($A$3:$A128,A128)</f>
        <v>0</v>
      </c>
      <c r="P128" s="0">
        <f t="shared" si="10"/>
        <v>0</v>
      </c>
      <c r="Q128" s="0">
        <f t="shared" si="11"/>
        <v>0</v>
      </c>
      <c r="R128" s="0">
        <f t="shared" si="12"/>
        <v>0</v>
      </c>
      <c r="S128" s="0">
        <f t="shared" si="13"/>
        <v>0</v>
      </c>
      <c r="T128" s="0">
        <f t="shared" si="14"/>
        <v>0</v>
      </c>
      <c r="U128" s="0">
        <f t="shared" si="15"/>
        <v>0</v>
      </c>
      <c r="V128" s="0">
        <f t="shared" si="16"/>
        <v>0</v>
      </c>
      <c r="W128" s="0">
        <f t="shared" si="17"/>
        <v>0</v>
      </c>
      <c r="X128" s="0">
        <f t="shared" si="18"/>
        <v>0</v>
      </c>
      <c r="Y128" s="0">
        <f t="shared" si="19"/>
        <v>0</v>
      </c>
    </row>
    <row r="129" spans="15:25" x14ac:dyDescent="0.3">
      <c r="O129" t="str" s="0">
        <f>A129&amp;COUNTIF($A$3:$A129,A129)</f>
        <v>0</v>
      </c>
      <c r="P129" s="0">
        <f t="shared" ref="P129:P192" si="20">B129</f>
        <v>0</v>
      </c>
      <c r="Q129" s="0">
        <f t="shared" ref="Q129:Q192" si="21">C129</f>
        <v>0</v>
      </c>
      <c r="R129" s="0">
        <f t="shared" ref="R129:R192" si="22">D129</f>
        <v>0</v>
      </c>
      <c r="S129" s="0">
        <f t="shared" ref="S129:S192" si="23">E129</f>
        <v>0</v>
      </c>
      <c r="T129" s="0">
        <f t="shared" ref="T129:T192" si="24">F129</f>
        <v>0</v>
      </c>
      <c r="U129" s="0">
        <f t="shared" ref="U129:U192" si="25">G129</f>
        <v>0</v>
      </c>
      <c r="V129" s="0">
        <f t="shared" ref="V129:V192" si="26">H129</f>
        <v>0</v>
      </c>
      <c r="W129" s="0">
        <f t="shared" ref="W129:W192" si="27">I129</f>
        <v>0</v>
      </c>
      <c r="X129" s="0">
        <f t="shared" ref="X129:X192" si="28">J129</f>
        <v>0</v>
      </c>
      <c r="Y129" s="0">
        <f t="shared" ref="Y129:Y192" si="29">K129</f>
        <v>0</v>
      </c>
    </row>
    <row r="130" spans="15:25" x14ac:dyDescent="0.3">
      <c r="O130" t="str" s="0">
        <f>A130&amp;COUNTIF($A$3:$A130,A130)</f>
        <v>0</v>
      </c>
      <c r="P130" s="0">
        <f t="shared" si="20"/>
        <v>0</v>
      </c>
      <c r="Q130" s="0">
        <f t="shared" si="21"/>
        <v>0</v>
      </c>
      <c r="R130" s="0">
        <f t="shared" si="22"/>
        <v>0</v>
      </c>
      <c r="S130" s="0">
        <f t="shared" si="23"/>
        <v>0</v>
      </c>
      <c r="T130" s="0">
        <f t="shared" si="24"/>
        <v>0</v>
      </c>
      <c r="U130" s="0">
        <f t="shared" si="25"/>
        <v>0</v>
      </c>
      <c r="V130" s="0">
        <f t="shared" si="26"/>
        <v>0</v>
      </c>
      <c r="W130" s="0">
        <f t="shared" si="27"/>
        <v>0</v>
      </c>
      <c r="X130" s="0">
        <f t="shared" si="28"/>
        <v>0</v>
      </c>
      <c r="Y130" s="0">
        <f t="shared" si="29"/>
        <v>0</v>
      </c>
    </row>
    <row r="131" spans="15:25" x14ac:dyDescent="0.3">
      <c r="O131" t="str" s="0">
        <f>A131&amp;COUNTIF($A$3:$A131,A131)</f>
        <v>0</v>
      </c>
      <c r="P131" s="0">
        <f t="shared" si="20"/>
        <v>0</v>
      </c>
      <c r="Q131" s="0">
        <f t="shared" si="21"/>
        <v>0</v>
      </c>
      <c r="R131" s="0">
        <f t="shared" si="22"/>
        <v>0</v>
      </c>
      <c r="S131" s="0">
        <f t="shared" si="23"/>
        <v>0</v>
      </c>
      <c r="T131" s="0">
        <f t="shared" si="24"/>
        <v>0</v>
      </c>
      <c r="U131" s="0">
        <f t="shared" si="25"/>
        <v>0</v>
      </c>
      <c r="V131" s="0">
        <f t="shared" si="26"/>
        <v>0</v>
      </c>
      <c r="W131" s="0">
        <f t="shared" si="27"/>
        <v>0</v>
      </c>
      <c r="X131" s="0">
        <f t="shared" si="28"/>
        <v>0</v>
      </c>
      <c r="Y131" s="0">
        <f t="shared" si="29"/>
        <v>0</v>
      </c>
    </row>
    <row r="132" spans="15:25" x14ac:dyDescent="0.3">
      <c r="O132" t="str" s="0">
        <f>A132&amp;COUNTIF($A$3:$A132,A132)</f>
        <v>0</v>
      </c>
      <c r="P132" s="0">
        <f t="shared" si="20"/>
        <v>0</v>
      </c>
      <c r="Q132" s="0">
        <f t="shared" si="21"/>
        <v>0</v>
      </c>
      <c r="R132" s="0">
        <f t="shared" si="22"/>
        <v>0</v>
      </c>
      <c r="S132" s="0">
        <f t="shared" si="23"/>
        <v>0</v>
      </c>
      <c r="T132" s="0">
        <f t="shared" si="24"/>
        <v>0</v>
      </c>
      <c r="U132" s="0">
        <f t="shared" si="25"/>
        <v>0</v>
      </c>
      <c r="V132" s="0">
        <f t="shared" si="26"/>
        <v>0</v>
      </c>
      <c r="W132" s="0">
        <f t="shared" si="27"/>
        <v>0</v>
      </c>
      <c r="X132" s="0">
        <f t="shared" si="28"/>
        <v>0</v>
      </c>
      <c r="Y132" s="0">
        <f t="shared" si="29"/>
        <v>0</v>
      </c>
    </row>
    <row r="133" spans="15:25" x14ac:dyDescent="0.3">
      <c r="O133" t="str" s="0">
        <f>A133&amp;COUNTIF($A$3:$A133,A133)</f>
        <v>0</v>
      </c>
      <c r="P133" s="0">
        <f t="shared" si="20"/>
        <v>0</v>
      </c>
      <c r="Q133" s="0">
        <f t="shared" si="21"/>
        <v>0</v>
      </c>
      <c r="R133" s="0">
        <f t="shared" si="22"/>
        <v>0</v>
      </c>
      <c r="S133" s="0">
        <f t="shared" si="23"/>
        <v>0</v>
      </c>
      <c r="T133" s="0">
        <f t="shared" si="24"/>
        <v>0</v>
      </c>
      <c r="U133" s="0">
        <f t="shared" si="25"/>
        <v>0</v>
      </c>
      <c r="V133" s="0">
        <f t="shared" si="26"/>
        <v>0</v>
      </c>
      <c r="W133" s="0">
        <f t="shared" si="27"/>
        <v>0</v>
      </c>
      <c r="X133" s="0">
        <f t="shared" si="28"/>
        <v>0</v>
      </c>
      <c r="Y133" s="0">
        <f t="shared" si="29"/>
        <v>0</v>
      </c>
    </row>
    <row r="134" spans="15:25" x14ac:dyDescent="0.3">
      <c r="O134" t="str" s="0">
        <f>A134&amp;COUNTIF($A$3:$A134,A134)</f>
        <v>0</v>
      </c>
      <c r="P134" s="0">
        <f t="shared" si="20"/>
        <v>0</v>
      </c>
      <c r="Q134" s="0">
        <f t="shared" si="21"/>
        <v>0</v>
      </c>
      <c r="R134" s="0">
        <f t="shared" si="22"/>
        <v>0</v>
      </c>
      <c r="S134" s="0">
        <f t="shared" si="23"/>
        <v>0</v>
      </c>
      <c r="T134" s="0">
        <f t="shared" si="24"/>
        <v>0</v>
      </c>
      <c r="U134" s="0">
        <f t="shared" si="25"/>
        <v>0</v>
      </c>
      <c r="V134" s="0">
        <f t="shared" si="26"/>
        <v>0</v>
      </c>
      <c r="W134" s="0">
        <f t="shared" si="27"/>
        <v>0</v>
      </c>
      <c r="X134" s="0">
        <f t="shared" si="28"/>
        <v>0</v>
      </c>
      <c r="Y134" s="0">
        <f t="shared" si="29"/>
        <v>0</v>
      </c>
    </row>
    <row r="135" spans="15:25" x14ac:dyDescent="0.3">
      <c r="O135" t="str" s="0">
        <f>A135&amp;COUNTIF($A$3:$A135,A135)</f>
        <v>0</v>
      </c>
      <c r="P135" s="0">
        <f t="shared" si="20"/>
        <v>0</v>
      </c>
      <c r="Q135" s="0">
        <f t="shared" si="21"/>
        <v>0</v>
      </c>
      <c r="R135" s="0">
        <f t="shared" si="22"/>
        <v>0</v>
      </c>
      <c r="S135" s="0">
        <f t="shared" si="23"/>
        <v>0</v>
      </c>
      <c r="T135" s="0">
        <f t="shared" si="24"/>
        <v>0</v>
      </c>
      <c r="U135" s="0">
        <f t="shared" si="25"/>
        <v>0</v>
      </c>
      <c r="V135" s="0">
        <f t="shared" si="26"/>
        <v>0</v>
      </c>
      <c r="W135" s="0">
        <f t="shared" si="27"/>
        <v>0</v>
      </c>
      <c r="X135" s="0">
        <f t="shared" si="28"/>
        <v>0</v>
      </c>
      <c r="Y135" s="0">
        <f t="shared" si="29"/>
        <v>0</v>
      </c>
    </row>
    <row r="136" spans="15:25" x14ac:dyDescent="0.3">
      <c r="O136" t="str" s="0">
        <f>A136&amp;COUNTIF($A$3:$A136,A136)</f>
        <v>0</v>
      </c>
      <c r="P136" s="0">
        <f t="shared" si="20"/>
        <v>0</v>
      </c>
      <c r="Q136" s="0">
        <f t="shared" si="21"/>
        <v>0</v>
      </c>
      <c r="R136" s="0">
        <f t="shared" si="22"/>
        <v>0</v>
      </c>
      <c r="S136" s="0">
        <f t="shared" si="23"/>
        <v>0</v>
      </c>
      <c r="T136" s="0">
        <f t="shared" si="24"/>
        <v>0</v>
      </c>
      <c r="U136" s="0">
        <f t="shared" si="25"/>
        <v>0</v>
      </c>
      <c r="V136" s="0">
        <f t="shared" si="26"/>
        <v>0</v>
      </c>
      <c r="W136" s="0">
        <f t="shared" si="27"/>
        <v>0</v>
      </c>
      <c r="X136" s="0">
        <f t="shared" si="28"/>
        <v>0</v>
      </c>
      <c r="Y136" s="0">
        <f t="shared" si="29"/>
        <v>0</v>
      </c>
    </row>
    <row r="137" spans="15:25" x14ac:dyDescent="0.3">
      <c r="O137" t="str" s="0">
        <f>A137&amp;COUNTIF($A$3:$A137,A137)</f>
        <v>0</v>
      </c>
      <c r="P137" s="0">
        <f t="shared" si="20"/>
        <v>0</v>
      </c>
      <c r="Q137" s="0">
        <f t="shared" si="21"/>
        <v>0</v>
      </c>
      <c r="R137" s="0">
        <f t="shared" si="22"/>
        <v>0</v>
      </c>
      <c r="S137" s="0">
        <f t="shared" si="23"/>
        <v>0</v>
      </c>
      <c r="T137" s="0">
        <f t="shared" si="24"/>
        <v>0</v>
      </c>
      <c r="U137" s="0">
        <f t="shared" si="25"/>
        <v>0</v>
      </c>
      <c r="V137" s="0">
        <f t="shared" si="26"/>
        <v>0</v>
      </c>
      <c r="W137" s="0">
        <f t="shared" si="27"/>
        <v>0</v>
      </c>
      <c r="X137" s="0">
        <f t="shared" si="28"/>
        <v>0</v>
      </c>
      <c r="Y137" s="0">
        <f t="shared" si="29"/>
        <v>0</v>
      </c>
    </row>
    <row r="138" spans="15:25" x14ac:dyDescent="0.3">
      <c r="O138" t="str" s="0">
        <f>A138&amp;COUNTIF($A$3:$A138,A138)</f>
        <v>0</v>
      </c>
      <c r="P138" s="0">
        <f t="shared" si="20"/>
        <v>0</v>
      </c>
      <c r="Q138" s="0">
        <f t="shared" si="21"/>
        <v>0</v>
      </c>
      <c r="R138" s="0">
        <f t="shared" si="22"/>
        <v>0</v>
      </c>
      <c r="S138" s="0">
        <f t="shared" si="23"/>
        <v>0</v>
      </c>
      <c r="T138" s="0">
        <f t="shared" si="24"/>
        <v>0</v>
      </c>
      <c r="U138" s="0">
        <f t="shared" si="25"/>
        <v>0</v>
      </c>
      <c r="V138" s="0">
        <f t="shared" si="26"/>
        <v>0</v>
      </c>
      <c r="W138" s="0">
        <f t="shared" si="27"/>
        <v>0</v>
      </c>
      <c r="X138" s="0">
        <f t="shared" si="28"/>
        <v>0</v>
      </c>
      <c r="Y138" s="0">
        <f t="shared" si="29"/>
        <v>0</v>
      </c>
    </row>
    <row r="139" spans="15:25" x14ac:dyDescent="0.3">
      <c r="O139" t="str" s="0">
        <f>A139&amp;COUNTIF($A$3:$A139,A139)</f>
        <v>0</v>
      </c>
      <c r="P139" s="0">
        <f t="shared" si="20"/>
        <v>0</v>
      </c>
      <c r="Q139" s="0">
        <f t="shared" si="21"/>
        <v>0</v>
      </c>
      <c r="R139" s="0">
        <f t="shared" si="22"/>
        <v>0</v>
      </c>
      <c r="S139" s="0">
        <f t="shared" si="23"/>
        <v>0</v>
      </c>
      <c r="T139" s="0">
        <f t="shared" si="24"/>
        <v>0</v>
      </c>
      <c r="U139" s="0">
        <f t="shared" si="25"/>
        <v>0</v>
      </c>
      <c r="V139" s="0">
        <f t="shared" si="26"/>
        <v>0</v>
      </c>
      <c r="W139" s="0">
        <f t="shared" si="27"/>
        <v>0</v>
      </c>
      <c r="X139" s="0">
        <f t="shared" si="28"/>
        <v>0</v>
      </c>
      <c r="Y139" s="0">
        <f t="shared" si="29"/>
        <v>0</v>
      </c>
    </row>
    <row r="140" spans="15:25" x14ac:dyDescent="0.3">
      <c r="O140" t="str" s="0">
        <f>A140&amp;COUNTIF($A$3:$A140,A140)</f>
        <v>0</v>
      </c>
      <c r="P140" s="0">
        <f t="shared" si="20"/>
        <v>0</v>
      </c>
      <c r="Q140" s="0">
        <f t="shared" si="21"/>
        <v>0</v>
      </c>
      <c r="R140" s="0">
        <f t="shared" si="22"/>
        <v>0</v>
      </c>
      <c r="S140" s="0">
        <f t="shared" si="23"/>
        <v>0</v>
      </c>
      <c r="T140" s="0">
        <f t="shared" si="24"/>
        <v>0</v>
      </c>
      <c r="U140" s="0">
        <f t="shared" si="25"/>
        <v>0</v>
      </c>
      <c r="V140" s="0">
        <f t="shared" si="26"/>
        <v>0</v>
      </c>
      <c r="W140" s="0">
        <f t="shared" si="27"/>
        <v>0</v>
      </c>
      <c r="X140" s="0">
        <f t="shared" si="28"/>
        <v>0</v>
      </c>
      <c r="Y140" s="0">
        <f t="shared" si="29"/>
        <v>0</v>
      </c>
    </row>
    <row r="141" spans="15:25" x14ac:dyDescent="0.3">
      <c r="O141" t="str" s="0">
        <f>A141&amp;COUNTIF($A$3:$A141,A141)</f>
        <v>0</v>
      </c>
      <c r="P141" s="0">
        <f t="shared" si="20"/>
        <v>0</v>
      </c>
      <c r="Q141" s="0">
        <f t="shared" si="21"/>
        <v>0</v>
      </c>
      <c r="R141" s="0">
        <f t="shared" si="22"/>
        <v>0</v>
      </c>
      <c r="S141" s="0">
        <f t="shared" si="23"/>
        <v>0</v>
      </c>
      <c r="T141" s="0">
        <f t="shared" si="24"/>
        <v>0</v>
      </c>
      <c r="U141" s="0">
        <f t="shared" si="25"/>
        <v>0</v>
      </c>
      <c r="V141" s="0">
        <f t="shared" si="26"/>
        <v>0</v>
      </c>
      <c r="W141" s="0">
        <f t="shared" si="27"/>
        <v>0</v>
      </c>
      <c r="X141" s="0">
        <f t="shared" si="28"/>
        <v>0</v>
      </c>
      <c r="Y141" s="0">
        <f t="shared" si="29"/>
        <v>0</v>
      </c>
    </row>
    <row r="142" spans="15:25" x14ac:dyDescent="0.3">
      <c r="O142" t="str" s="0">
        <f>A142&amp;COUNTIF($A$3:$A142,A142)</f>
        <v>0</v>
      </c>
      <c r="P142" s="0">
        <f t="shared" si="20"/>
        <v>0</v>
      </c>
      <c r="Q142" s="0">
        <f t="shared" si="21"/>
        <v>0</v>
      </c>
      <c r="R142" s="0">
        <f t="shared" si="22"/>
        <v>0</v>
      </c>
      <c r="S142" s="0">
        <f t="shared" si="23"/>
        <v>0</v>
      </c>
      <c r="T142" s="0">
        <f t="shared" si="24"/>
        <v>0</v>
      </c>
      <c r="U142" s="0">
        <f t="shared" si="25"/>
        <v>0</v>
      </c>
      <c r="V142" s="0">
        <f t="shared" si="26"/>
        <v>0</v>
      </c>
      <c r="W142" s="0">
        <f t="shared" si="27"/>
        <v>0</v>
      </c>
      <c r="X142" s="0">
        <f t="shared" si="28"/>
        <v>0</v>
      </c>
      <c r="Y142" s="0">
        <f t="shared" si="29"/>
        <v>0</v>
      </c>
    </row>
    <row r="143" spans="15:25" x14ac:dyDescent="0.3">
      <c r="O143" t="str" s="0">
        <f>A143&amp;COUNTIF($A$3:$A143,A143)</f>
        <v>0</v>
      </c>
      <c r="P143" s="0">
        <f t="shared" si="20"/>
        <v>0</v>
      </c>
      <c r="Q143" s="0">
        <f t="shared" si="21"/>
        <v>0</v>
      </c>
      <c r="R143" s="0">
        <f t="shared" si="22"/>
        <v>0</v>
      </c>
      <c r="S143" s="0">
        <f t="shared" si="23"/>
        <v>0</v>
      </c>
      <c r="T143" s="0">
        <f t="shared" si="24"/>
        <v>0</v>
      </c>
      <c r="U143" s="0">
        <f t="shared" si="25"/>
        <v>0</v>
      </c>
      <c r="V143" s="0">
        <f t="shared" si="26"/>
        <v>0</v>
      </c>
      <c r="W143" s="0">
        <f t="shared" si="27"/>
        <v>0</v>
      </c>
      <c r="X143" s="0">
        <f t="shared" si="28"/>
        <v>0</v>
      </c>
      <c r="Y143" s="0">
        <f t="shared" si="29"/>
        <v>0</v>
      </c>
    </row>
    <row r="144" spans="15:25" x14ac:dyDescent="0.3">
      <c r="O144" t="str" s="0">
        <f>A144&amp;COUNTIF($A$3:$A144,A144)</f>
        <v>0</v>
      </c>
      <c r="P144" s="0">
        <f t="shared" si="20"/>
        <v>0</v>
      </c>
      <c r="Q144" s="0">
        <f t="shared" si="21"/>
        <v>0</v>
      </c>
      <c r="R144" s="0">
        <f t="shared" si="22"/>
        <v>0</v>
      </c>
      <c r="S144" s="0">
        <f t="shared" si="23"/>
        <v>0</v>
      </c>
      <c r="T144" s="0">
        <f t="shared" si="24"/>
        <v>0</v>
      </c>
      <c r="U144" s="0">
        <f t="shared" si="25"/>
        <v>0</v>
      </c>
      <c r="V144" s="0">
        <f t="shared" si="26"/>
        <v>0</v>
      </c>
      <c r="W144" s="0">
        <f t="shared" si="27"/>
        <v>0</v>
      </c>
      <c r="X144" s="0">
        <f t="shared" si="28"/>
        <v>0</v>
      </c>
      <c r="Y144" s="0">
        <f t="shared" si="29"/>
        <v>0</v>
      </c>
    </row>
    <row r="145" spans="15:25" x14ac:dyDescent="0.3">
      <c r="O145" t="str" s="0">
        <f>A145&amp;COUNTIF($A$3:$A145,A145)</f>
        <v>0</v>
      </c>
      <c r="P145" s="0">
        <f t="shared" si="20"/>
        <v>0</v>
      </c>
      <c r="Q145" s="0">
        <f t="shared" si="21"/>
        <v>0</v>
      </c>
      <c r="R145" s="0">
        <f t="shared" si="22"/>
        <v>0</v>
      </c>
      <c r="S145" s="0">
        <f t="shared" si="23"/>
        <v>0</v>
      </c>
      <c r="T145" s="0">
        <f t="shared" si="24"/>
        <v>0</v>
      </c>
      <c r="U145" s="0">
        <f t="shared" si="25"/>
        <v>0</v>
      </c>
      <c r="V145" s="0">
        <f t="shared" si="26"/>
        <v>0</v>
      </c>
      <c r="W145" s="0">
        <f t="shared" si="27"/>
        <v>0</v>
      </c>
      <c r="X145" s="0">
        <f t="shared" si="28"/>
        <v>0</v>
      </c>
      <c r="Y145" s="0">
        <f t="shared" si="29"/>
        <v>0</v>
      </c>
    </row>
    <row r="146" spans="15:25" x14ac:dyDescent="0.3">
      <c r="O146" t="str" s="0">
        <f>A146&amp;COUNTIF($A$3:$A146,A146)</f>
        <v>0</v>
      </c>
      <c r="P146" s="0">
        <f t="shared" si="20"/>
        <v>0</v>
      </c>
      <c r="Q146" s="0">
        <f t="shared" si="21"/>
        <v>0</v>
      </c>
      <c r="R146" s="0">
        <f t="shared" si="22"/>
        <v>0</v>
      </c>
      <c r="S146" s="0">
        <f t="shared" si="23"/>
        <v>0</v>
      </c>
      <c r="T146" s="0">
        <f t="shared" si="24"/>
        <v>0</v>
      </c>
      <c r="U146" s="0">
        <f t="shared" si="25"/>
        <v>0</v>
      </c>
      <c r="V146" s="0">
        <f t="shared" si="26"/>
        <v>0</v>
      </c>
      <c r="W146" s="0">
        <f t="shared" si="27"/>
        <v>0</v>
      </c>
      <c r="X146" s="0">
        <f t="shared" si="28"/>
        <v>0</v>
      </c>
      <c r="Y146" s="0">
        <f t="shared" si="29"/>
        <v>0</v>
      </c>
    </row>
    <row r="147" spans="15:25" x14ac:dyDescent="0.3">
      <c r="O147" t="str" s="0">
        <f>A147&amp;COUNTIF($A$3:$A147,A147)</f>
        <v>0</v>
      </c>
      <c r="P147" s="0">
        <f t="shared" si="20"/>
        <v>0</v>
      </c>
      <c r="Q147" s="0">
        <f t="shared" si="21"/>
        <v>0</v>
      </c>
      <c r="R147" s="0">
        <f t="shared" si="22"/>
        <v>0</v>
      </c>
      <c r="S147" s="0">
        <f t="shared" si="23"/>
        <v>0</v>
      </c>
      <c r="T147" s="0">
        <f t="shared" si="24"/>
        <v>0</v>
      </c>
      <c r="U147" s="0">
        <f t="shared" si="25"/>
        <v>0</v>
      </c>
      <c r="V147" s="0">
        <f t="shared" si="26"/>
        <v>0</v>
      </c>
      <c r="W147" s="0">
        <f t="shared" si="27"/>
        <v>0</v>
      </c>
      <c r="X147" s="0">
        <f t="shared" si="28"/>
        <v>0</v>
      </c>
      <c r="Y147" s="0">
        <f t="shared" si="29"/>
        <v>0</v>
      </c>
    </row>
    <row r="148" spans="15:25" x14ac:dyDescent="0.3">
      <c r="O148" t="str" s="0">
        <f>A148&amp;COUNTIF($A$3:$A148,A148)</f>
        <v>0</v>
      </c>
      <c r="P148" s="0">
        <f t="shared" si="20"/>
        <v>0</v>
      </c>
      <c r="Q148" s="0">
        <f t="shared" si="21"/>
        <v>0</v>
      </c>
      <c r="R148" s="0">
        <f t="shared" si="22"/>
        <v>0</v>
      </c>
      <c r="S148" s="0">
        <f t="shared" si="23"/>
        <v>0</v>
      </c>
      <c r="T148" s="0">
        <f t="shared" si="24"/>
        <v>0</v>
      </c>
      <c r="U148" s="0">
        <f t="shared" si="25"/>
        <v>0</v>
      </c>
      <c r="V148" s="0">
        <f t="shared" si="26"/>
        <v>0</v>
      </c>
      <c r="W148" s="0">
        <f t="shared" si="27"/>
        <v>0</v>
      </c>
      <c r="X148" s="0">
        <f t="shared" si="28"/>
        <v>0</v>
      </c>
      <c r="Y148" s="0">
        <f t="shared" si="29"/>
        <v>0</v>
      </c>
    </row>
    <row r="149" spans="15:25" x14ac:dyDescent="0.3">
      <c r="O149" t="str" s="0">
        <f>A149&amp;COUNTIF($A$3:$A149,A149)</f>
        <v>0</v>
      </c>
      <c r="P149" s="0">
        <f t="shared" si="20"/>
        <v>0</v>
      </c>
      <c r="Q149" s="0">
        <f t="shared" si="21"/>
        <v>0</v>
      </c>
      <c r="R149" s="0">
        <f t="shared" si="22"/>
        <v>0</v>
      </c>
      <c r="S149" s="0">
        <f t="shared" si="23"/>
        <v>0</v>
      </c>
      <c r="T149" s="0">
        <f t="shared" si="24"/>
        <v>0</v>
      </c>
      <c r="U149" s="0">
        <f t="shared" si="25"/>
        <v>0</v>
      </c>
      <c r="V149" s="0">
        <f t="shared" si="26"/>
        <v>0</v>
      </c>
      <c r="W149" s="0">
        <f t="shared" si="27"/>
        <v>0</v>
      </c>
      <c r="X149" s="0">
        <f t="shared" si="28"/>
        <v>0</v>
      </c>
      <c r="Y149" s="0">
        <f t="shared" si="29"/>
        <v>0</v>
      </c>
    </row>
    <row r="150" spans="15:25" x14ac:dyDescent="0.3">
      <c r="O150" t="str" s="0">
        <f>A150&amp;COUNTIF($A$3:$A150,A150)</f>
        <v>0</v>
      </c>
      <c r="P150" s="0">
        <f t="shared" si="20"/>
        <v>0</v>
      </c>
      <c r="Q150" s="0">
        <f t="shared" si="21"/>
        <v>0</v>
      </c>
      <c r="R150" s="0">
        <f t="shared" si="22"/>
        <v>0</v>
      </c>
      <c r="S150" s="0">
        <f t="shared" si="23"/>
        <v>0</v>
      </c>
      <c r="T150" s="0">
        <f t="shared" si="24"/>
        <v>0</v>
      </c>
      <c r="U150" s="0">
        <f t="shared" si="25"/>
        <v>0</v>
      </c>
      <c r="V150" s="0">
        <f t="shared" si="26"/>
        <v>0</v>
      </c>
      <c r="W150" s="0">
        <f t="shared" si="27"/>
        <v>0</v>
      </c>
      <c r="X150" s="0">
        <f t="shared" si="28"/>
        <v>0</v>
      </c>
      <c r="Y150" s="0">
        <f t="shared" si="29"/>
        <v>0</v>
      </c>
    </row>
    <row r="151" spans="15:25" x14ac:dyDescent="0.3">
      <c r="O151" t="str" s="0">
        <f>A151&amp;COUNTIF($A$3:$A151,A151)</f>
        <v>0</v>
      </c>
      <c r="P151" s="0">
        <f t="shared" si="20"/>
        <v>0</v>
      </c>
      <c r="Q151" s="0">
        <f t="shared" si="21"/>
        <v>0</v>
      </c>
      <c r="R151" s="0">
        <f t="shared" si="22"/>
        <v>0</v>
      </c>
      <c r="S151" s="0">
        <f t="shared" si="23"/>
        <v>0</v>
      </c>
      <c r="T151" s="0">
        <f t="shared" si="24"/>
        <v>0</v>
      </c>
      <c r="U151" s="0">
        <f t="shared" si="25"/>
        <v>0</v>
      </c>
      <c r="V151" s="0">
        <f t="shared" si="26"/>
        <v>0</v>
      </c>
      <c r="W151" s="0">
        <f t="shared" si="27"/>
        <v>0</v>
      </c>
      <c r="X151" s="0">
        <f t="shared" si="28"/>
        <v>0</v>
      </c>
      <c r="Y151" s="0">
        <f t="shared" si="29"/>
        <v>0</v>
      </c>
    </row>
    <row r="152" spans="15:25" x14ac:dyDescent="0.3">
      <c r="O152" t="str" s="0">
        <f>A152&amp;COUNTIF($A$3:$A152,A152)</f>
        <v>0</v>
      </c>
      <c r="P152" s="0">
        <f t="shared" si="20"/>
        <v>0</v>
      </c>
      <c r="Q152" s="0">
        <f t="shared" si="21"/>
        <v>0</v>
      </c>
      <c r="R152" s="0">
        <f t="shared" si="22"/>
        <v>0</v>
      </c>
      <c r="S152" s="0">
        <f t="shared" si="23"/>
        <v>0</v>
      </c>
      <c r="T152" s="0">
        <f t="shared" si="24"/>
        <v>0</v>
      </c>
      <c r="U152" s="0">
        <f t="shared" si="25"/>
        <v>0</v>
      </c>
      <c r="V152" s="0">
        <f t="shared" si="26"/>
        <v>0</v>
      </c>
      <c r="W152" s="0">
        <f t="shared" si="27"/>
        <v>0</v>
      </c>
      <c r="X152" s="0">
        <f t="shared" si="28"/>
        <v>0</v>
      </c>
      <c r="Y152" s="0">
        <f t="shared" si="29"/>
        <v>0</v>
      </c>
    </row>
    <row r="153" spans="15:25" x14ac:dyDescent="0.3">
      <c r="O153" t="str" s="0">
        <f>A153&amp;COUNTIF($A$3:$A153,A153)</f>
        <v>0</v>
      </c>
      <c r="P153" s="0">
        <f t="shared" si="20"/>
        <v>0</v>
      </c>
      <c r="Q153" s="0">
        <f t="shared" si="21"/>
        <v>0</v>
      </c>
      <c r="R153" s="0">
        <f t="shared" si="22"/>
        <v>0</v>
      </c>
      <c r="S153" s="0">
        <f t="shared" si="23"/>
        <v>0</v>
      </c>
      <c r="T153" s="0">
        <f t="shared" si="24"/>
        <v>0</v>
      </c>
      <c r="U153" s="0">
        <f t="shared" si="25"/>
        <v>0</v>
      </c>
      <c r="V153" s="0">
        <f t="shared" si="26"/>
        <v>0</v>
      </c>
      <c r="W153" s="0">
        <f t="shared" si="27"/>
        <v>0</v>
      </c>
      <c r="X153" s="0">
        <f t="shared" si="28"/>
        <v>0</v>
      </c>
      <c r="Y153" s="0">
        <f t="shared" si="29"/>
        <v>0</v>
      </c>
    </row>
    <row r="154" spans="15:25" x14ac:dyDescent="0.3">
      <c r="O154" t="str" s="0">
        <f>A154&amp;COUNTIF($A$3:$A154,A154)</f>
        <v>0</v>
      </c>
      <c r="P154" s="0">
        <f t="shared" si="20"/>
        <v>0</v>
      </c>
      <c r="Q154" s="0">
        <f t="shared" si="21"/>
        <v>0</v>
      </c>
      <c r="R154" s="0">
        <f t="shared" si="22"/>
        <v>0</v>
      </c>
      <c r="S154" s="0">
        <f t="shared" si="23"/>
        <v>0</v>
      </c>
      <c r="T154" s="0">
        <f t="shared" si="24"/>
        <v>0</v>
      </c>
      <c r="U154" s="0">
        <f t="shared" si="25"/>
        <v>0</v>
      </c>
      <c r="V154" s="0">
        <f t="shared" si="26"/>
        <v>0</v>
      </c>
      <c r="W154" s="0">
        <f t="shared" si="27"/>
        <v>0</v>
      </c>
      <c r="X154" s="0">
        <f t="shared" si="28"/>
        <v>0</v>
      </c>
      <c r="Y154" s="0">
        <f t="shared" si="29"/>
        <v>0</v>
      </c>
    </row>
    <row r="155" spans="15:25" x14ac:dyDescent="0.3">
      <c r="O155" t="str" s="0">
        <f>A155&amp;COUNTIF($A$3:$A155,A155)</f>
        <v>0</v>
      </c>
      <c r="P155" s="0">
        <f t="shared" si="20"/>
        <v>0</v>
      </c>
      <c r="Q155" s="0">
        <f t="shared" si="21"/>
        <v>0</v>
      </c>
      <c r="R155" s="0">
        <f t="shared" si="22"/>
        <v>0</v>
      </c>
      <c r="S155" s="0">
        <f t="shared" si="23"/>
        <v>0</v>
      </c>
      <c r="T155" s="0">
        <f t="shared" si="24"/>
        <v>0</v>
      </c>
      <c r="U155" s="0">
        <f t="shared" si="25"/>
        <v>0</v>
      </c>
      <c r="V155" s="0">
        <f t="shared" si="26"/>
        <v>0</v>
      </c>
      <c r="W155" s="0">
        <f t="shared" si="27"/>
        <v>0</v>
      </c>
      <c r="X155" s="0">
        <f t="shared" si="28"/>
        <v>0</v>
      </c>
      <c r="Y155" s="0">
        <f t="shared" si="29"/>
        <v>0</v>
      </c>
    </row>
    <row r="156" spans="15:25" x14ac:dyDescent="0.3">
      <c r="O156" t="str" s="0">
        <f>A156&amp;COUNTIF($A$3:$A156,A156)</f>
        <v>0</v>
      </c>
      <c r="P156" s="0">
        <f t="shared" si="20"/>
        <v>0</v>
      </c>
      <c r="Q156" s="0">
        <f t="shared" si="21"/>
        <v>0</v>
      </c>
      <c r="R156" s="0">
        <f t="shared" si="22"/>
        <v>0</v>
      </c>
      <c r="S156" s="0">
        <f t="shared" si="23"/>
        <v>0</v>
      </c>
      <c r="T156" s="0">
        <f t="shared" si="24"/>
        <v>0</v>
      </c>
      <c r="U156" s="0">
        <f t="shared" si="25"/>
        <v>0</v>
      </c>
      <c r="V156" s="0">
        <f t="shared" si="26"/>
        <v>0</v>
      </c>
      <c r="W156" s="0">
        <f t="shared" si="27"/>
        <v>0</v>
      </c>
      <c r="X156" s="0">
        <f t="shared" si="28"/>
        <v>0</v>
      </c>
      <c r="Y156" s="0">
        <f t="shared" si="29"/>
        <v>0</v>
      </c>
    </row>
    <row r="157" spans="15:25" x14ac:dyDescent="0.3">
      <c r="O157" t="str" s="0">
        <f>A157&amp;COUNTIF($A$3:$A157,A157)</f>
        <v>0</v>
      </c>
      <c r="P157" s="0">
        <f t="shared" si="20"/>
        <v>0</v>
      </c>
      <c r="Q157" s="0">
        <f t="shared" si="21"/>
        <v>0</v>
      </c>
      <c r="R157" s="0">
        <f t="shared" si="22"/>
        <v>0</v>
      </c>
      <c r="S157" s="0">
        <f t="shared" si="23"/>
        <v>0</v>
      </c>
      <c r="T157" s="0">
        <f t="shared" si="24"/>
        <v>0</v>
      </c>
      <c r="U157" s="0">
        <f t="shared" si="25"/>
        <v>0</v>
      </c>
      <c r="V157" s="0">
        <f t="shared" si="26"/>
        <v>0</v>
      </c>
      <c r="W157" s="0">
        <f t="shared" si="27"/>
        <v>0</v>
      </c>
      <c r="X157" s="0">
        <f t="shared" si="28"/>
        <v>0</v>
      </c>
      <c r="Y157" s="0">
        <f t="shared" si="29"/>
        <v>0</v>
      </c>
    </row>
    <row r="158" spans="15:25" x14ac:dyDescent="0.3">
      <c r="O158" t="str" s="0">
        <f>A158&amp;COUNTIF($A$3:$A158,A158)</f>
        <v>0</v>
      </c>
      <c r="P158" s="0">
        <f t="shared" si="20"/>
        <v>0</v>
      </c>
      <c r="Q158" s="0">
        <f t="shared" si="21"/>
        <v>0</v>
      </c>
      <c r="R158" s="0">
        <f t="shared" si="22"/>
        <v>0</v>
      </c>
      <c r="S158" s="0">
        <f t="shared" si="23"/>
        <v>0</v>
      </c>
      <c r="T158" s="0">
        <f t="shared" si="24"/>
        <v>0</v>
      </c>
      <c r="U158" s="0">
        <f t="shared" si="25"/>
        <v>0</v>
      </c>
      <c r="V158" s="0">
        <f t="shared" si="26"/>
        <v>0</v>
      </c>
      <c r="W158" s="0">
        <f t="shared" si="27"/>
        <v>0</v>
      </c>
      <c r="X158" s="0">
        <f t="shared" si="28"/>
        <v>0</v>
      </c>
      <c r="Y158" s="0">
        <f t="shared" si="29"/>
        <v>0</v>
      </c>
    </row>
    <row r="159" spans="15:25" x14ac:dyDescent="0.3">
      <c r="O159" t="str" s="0">
        <f>A159&amp;COUNTIF($A$3:$A159,A159)</f>
        <v>0</v>
      </c>
      <c r="P159" s="0">
        <f t="shared" si="20"/>
        <v>0</v>
      </c>
      <c r="Q159" s="0">
        <f t="shared" si="21"/>
        <v>0</v>
      </c>
      <c r="R159" s="0">
        <f t="shared" si="22"/>
        <v>0</v>
      </c>
      <c r="S159" s="0">
        <f t="shared" si="23"/>
        <v>0</v>
      </c>
      <c r="T159" s="0">
        <f t="shared" si="24"/>
        <v>0</v>
      </c>
      <c r="U159" s="0">
        <f t="shared" si="25"/>
        <v>0</v>
      </c>
      <c r="V159" s="0">
        <f t="shared" si="26"/>
        <v>0</v>
      </c>
      <c r="W159" s="0">
        <f t="shared" si="27"/>
        <v>0</v>
      </c>
      <c r="X159" s="0">
        <f t="shared" si="28"/>
        <v>0</v>
      </c>
      <c r="Y159" s="0">
        <f t="shared" si="29"/>
        <v>0</v>
      </c>
    </row>
    <row r="160" spans="15:25" x14ac:dyDescent="0.3">
      <c r="O160" t="str" s="0">
        <f>A160&amp;COUNTIF($A$3:$A160,A160)</f>
        <v>0</v>
      </c>
      <c r="P160" s="0">
        <f t="shared" si="20"/>
        <v>0</v>
      </c>
      <c r="Q160" s="0">
        <f t="shared" si="21"/>
        <v>0</v>
      </c>
      <c r="R160" s="0">
        <f t="shared" si="22"/>
        <v>0</v>
      </c>
      <c r="S160" s="0">
        <f t="shared" si="23"/>
        <v>0</v>
      </c>
      <c r="T160" s="0">
        <f t="shared" si="24"/>
        <v>0</v>
      </c>
      <c r="U160" s="0">
        <f t="shared" si="25"/>
        <v>0</v>
      </c>
      <c r="V160" s="0">
        <f t="shared" si="26"/>
        <v>0</v>
      </c>
      <c r="W160" s="0">
        <f t="shared" si="27"/>
        <v>0</v>
      </c>
      <c r="X160" s="0">
        <f t="shared" si="28"/>
        <v>0</v>
      </c>
      <c r="Y160" s="0">
        <f t="shared" si="29"/>
        <v>0</v>
      </c>
    </row>
    <row r="161" spans="15:25" x14ac:dyDescent="0.3">
      <c r="O161" t="str" s="0">
        <f>A161&amp;COUNTIF($A$3:$A161,A161)</f>
        <v>0</v>
      </c>
      <c r="P161" s="0">
        <f t="shared" si="20"/>
        <v>0</v>
      </c>
      <c r="Q161" s="0">
        <f t="shared" si="21"/>
        <v>0</v>
      </c>
      <c r="R161" s="0">
        <f t="shared" si="22"/>
        <v>0</v>
      </c>
      <c r="S161" s="0">
        <f t="shared" si="23"/>
        <v>0</v>
      </c>
      <c r="T161" s="0">
        <f t="shared" si="24"/>
        <v>0</v>
      </c>
      <c r="U161" s="0">
        <f t="shared" si="25"/>
        <v>0</v>
      </c>
      <c r="V161" s="0">
        <f t="shared" si="26"/>
        <v>0</v>
      </c>
      <c r="W161" s="0">
        <f t="shared" si="27"/>
        <v>0</v>
      </c>
      <c r="X161" s="0">
        <f t="shared" si="28"/>
        <v>0</v>
      </c>
      <c r="Y161" s="0">
        <f t="shared" si="29"/>
        <v>0</v>
      </c>
    </row>
    <row r="162" spans="15:25" x14ac:dyDescent="0.3">
      <c r="O162" t="str" s="0">
        <f>A162&amp;COUNTIF($A$3:$A162,A162)</f>
        <v>0</v>
      </c>
      <c r="P162" s="0">
        <f t="shared" si="20"/>
        <v>0</v>
      </c>
      <c r="Q162" s="0">
        <f t="shared" si="21"/>
        <v>0</v>
      </c>
      <c r="R162" s="0">
        <f t="shared" si="22"/>
        <v>0</v>
      </c>
      <c r="S162" s="0">
        <f t="shared" si="23"/>
        <v>0</v>
      </c>
      <c r="T162" s="0">
        <f t="shared" si="24"/>
        <v>0</v>
      </c>
      <c r="U162" s="0">
        <f t="shared" si="25"/>
        <v>0</v>
      </c>
      <c r="V162" s="0">
        <f t="shared" si="26"/>
        <v>0</v>
      </c>
      <c r="W162" s="0">
        <f t="shared" si="27"/>
        <v>0</v>
      </c>
      <c r="X162" s="0">
        <f t="shared" si="28"/>
        <v>0</v>
      </c>
      <c r="Y162" s="0">
        <f t="shared" si="29"/>
        <v>0</v>
      </c>
    </row>
    <row r="163" spans="15:25" x14ac:dyDescent="0.3">
      <c r="O163" t="str" s="0">
        <f>A163&amp;COUNTIF($A$3:$A163,A163)</f>
        <v>0</v>
      </c>
      <c r="P163" s="0">
        <f t="shared" si="20"/>
        <v>0</v>
      </c>
      <c r="Q163" s="0">
        <f t="shared" si="21"/>
        <v>0</v>
      </c>
      <c r="R163" s="0">
        <f t="shared" si="22"/>
        <v>0</v>
      </c>
      <c r="S163" s="0">
        <f t="shared" si="23"/>
        <v>0</v>
      </c>
      <c r="T163" s="0">
        <f t="shared" si="24"/>
        <v>0</v>
      </c>
      <c r="U163" s="0">
        <f t="shared" si="25"/>
        <v>0</v>
      </c>
      <c r="V163" s="0">
        <f t="shared" si="26"/>
        <v>0</v>
      </c>
      <c r="W163" s="0">
        <f t="shared" si="27"/>
        <v>0</v>
      </c>
      <c r="X163" s="0">
        <f t="shared" si="28"/>
        <v>0</v>
      </c>
      <c r="Y163" s="0">
        <f t="shared" si="29"/>
        <v>0</v>
      </c>
    </row>
    <row r="164" spans="15:25" x14ac:dyDescent="0.3">
      <c r="O164" t="str" s="0">
        <f>A164&amp;COUNTIF($A$3:$A164,A164)</f>
        <v>0</v>
      </c>
      <c r="P164" s="0">
        <f t="shared" si="20"/>
        <v>0</v>
      </c>
      <c r="Q164" s="0">
        <f t="shared" si="21"/>
        <v>0</v>
      </c>
      <c r="R164" s="0">
        <f t="shared" si="22"/>
        <v>0</v>
      </c>
      <c r="S164" s="0">
        <f t="shared" si="23"/>
        <v>0</v>
      </c>
      <c r="T164" s="0">
        <f t="shared" si="24"/>
        <v>0</v>
      </c>
      <c r="U164" s="0">
        <f t="shared" si="25"/>
        <v>0</v>
      </c>
      <c r="V164" s="0">
        <f t="shared" si="26"/>
        <v>0</v>
      </c>
      <c r="W164" s="0">
        <f t="shared" si="27"/>
        <v>0</v>
      </c>
      <c r="X164" s="0">
        <f t="shared" si="28"/>
        <v>0</v>
      </c>
      <c r="Y164" s="0">
        <f t="shared" si="29"/>
        <v>0</v>
      </c>
    </row>
    <row r="165" spans="15:25" x14ac:dyDescent="0.3">
      <c r="O165" t="str" s="0">
        <f>A165&amp;COUNTIF($A$3:$A165,A165)</f>
        <v>0</v>
      </c>
      <c r="P165" s="0">
        <f t="shared" si="20"/>
        <v>0</v>
      </c>
      <c r="Q165" s="0">
        <f t="shared" si="21"/>
        <v>0</v>
      </c>
      <c r="R165" s="0">
        <f t="shared" si="22"/>
        <v>0</v>
      </c>
      <c r="S165" s="0">
        <f t="shared" si="23"/>
        <v>0</v>
      </c>
      <c r="T165" s="0">
        <f t="shared" si="24"/>
        <v>0</v>
      </c>
      <c r="U165" s="0">
        <f t="shared" si="25"/>
        <v>0</v>
      </c>
      <c r="V165" s="0">
        <f t="shared" si="26"/>
        <v>0</v>
      </c>
      <c r="W165" s="0">
        <f t="shared" si="27"/>
        <v>0</v>
      </c>
      <c r="X165" s="0">
        <f t="shared" si="28"/>
        <v>0</v>
      </c>
      <c r="Y165" s="0">
        <f t="shared" si="29"/>
        <v>0</v>
      </c>
    </row>
    <row r="166" spans="15:25" x14ac:dyDescent="0.3">
      <c r="O166" t="str" s="0">
        <f>A166&amp;COUNTIF($A$3:$A166,A166)</f>
        <v>0</v>
      </c>
      <c r="P166" s="0">
        <f t="shared" si="20"/>
        <v>0</v>
      </c>
      <c r="Q166" s="0">
        <f t="shared" si="21"/>
        <v>0</v>
      </c>
      <c r="R166" s="0">
        <f t="shared" si="22"/>
        <v>0</v>
      </c>
      <c r="S166" s="0">
        <f t="shared" si="23"/>
        <v>0</v>
      </c>
      <c r="T166" s="0">
        <f t="shared" si="24"/>
        <v>0</v>
      </c>
      <c r="U166" s="0">
        <f t="shared" si="25"/>
        <v>0</v>
      </c>
      <c r="V166" s="0">
        <f t="shared" si="26"/>
        <v>0</v>
      </c>
      <c r="W166" s="0">
        <f t="shared" si="27"/>
        <v>0</v>
      </c>
      <c r="X166" s="0">
        <f t="shared" si="28"/>
        <v>0</v>
      </c>
      <c r="Y166" s="0">
        <f t="shared" si="29"/>
        <v>0</v>
      </c>
    </row>
    <row r="167" spans="15:25" x14ac:dyDescent="0.3">
      <c r="O167" t="str" s="0">
        <f>A167&amp;COUNTIF($A$3:$A167,A167)</f>
        <v>0</v>
      </c>
      <c r="P167" s="0">
        <f t="shared" si="20"/>
        <v>0</v>
      </c>
      <c r="Q167" s="0">
        <f t="shared" si="21"/>
        <v>0</v>
      </c>
      <c r="R167" s="0">
        <f t="shared" si="22"/>
        <v>0</v>
      </c>
      <c r="S167" s="0">
        <f t="shared" si="23"/>
        <v>0</v>
      </c>
      <c r="T167" s="0">
        <f t="shared" si="24"/>
        <v>0</v>
      </c>
      <c r="U167" s="0">
        <f t="shared" si="25"/>
        <v>0</v>
      </c>
      <c r="V167" s="0">
        <f t="shared" si="26"/>
        <v>0</v>
      </c>
      <c r="W167" s="0">
        <f t="shared" si="27"/>
        <v>0</v>
      </c>
      <c r="X167" s="0">
        <f t="shared" si="28"/>
        <v>0</v>
      </c>
      <c r="Y167" s="0">
        <f t="shared" si="29"/>
        <v>0</v>
      </c>
    </row>
    <row r="168" spans="15:25" x14ac:dyDescent="0.3">
      <c r="O168" t="str" s="0">
        <f>A168&amp;COUNTIF($A$3:$A168,A168)</f>
        <v>0</v>
      </c>
      <c r="P168" s="0">
        <f t="shared" si="20"/>
        <v>0</v>
      </c>
      <c r="Q168" s="0">
        <f t="shared" si="21"/>
        <v>0</v>
      </c>
      <c r="R168" s="0">
        <f t="shared" si="22"/>
        <v>0</v>
      </c>
      <c r="S168" s="0">
        <f t="shared" si="23"/>
        <v>0</v>
      </c>
      <c r="T168" s="0">
        <f t="shared" si="24"/>
        <v>0</v>
      </c>
      <c r="U168" s="0">
        <f t="shared" si="25"/>
        <v>0</v>
      </c>
      <c r="V168" s="0">
        <f t="shared" si="26"/>
        <v>0</v>
      </c>
      <c r="W168" s="0">
        <f t="shared" si="27"/>
        <v>0</v>
      </c>
      <c r="X168" s="0">
        <f t="shared" si="28"/>
        <v>0</v>
      </c>
      <c r="Y168" s="0">
        <f t="shared" si="29"/>
        <v>0</v>
      </c>
    </row>
    <row r="169" spans="15:25" x14ac:dyDescent="0.3">
      <c r="O169" t="str" s="0">
        <f>A169&amp;COUNTIF($A$3:$A169,A169)</f>
        <v>0</v>
      </c>
      <c r="P169" s="0">
        <f t="shared" si="20"/>
        <v>0</v>
      </c>
      <c r="Q169" s="0">
        <f t="shared" si="21"/>
        <v>0</v>
      </c>
      <c r="R169" s="0">
        <f t="shared" si="22"/>
        <v>0</v>
      </c>
      <c r="S169" s="0">
        <f t="shared" si="23"/>
        <v>0</v>
      </c>
      <c r="T169" s="0">
        <f t="shared" si="24"/>
        <v>0</v>
      </c>
      <c r="U169" s="0">
        <f t="shared" si="25"/>
        <v>0</v>
      </c>
      <c r="V169" s="0">
        <f t="shared" si="26"/>
        <v>0</v>
      </c>
      <c r="W169" s="0">
        <f t="shared" si="27"/>
        <v>0</v>
      </c>
      <c r="X169" s="0">
        <f t="shared" si="28"/>
        <v>0</v>
      </c>
      <c r="Y169" s="0">
        <f t="shared" si="29"/>
        <v>0</v>
      </c>
    </row>
    <row r="170" spans="15:25" x14ac:dyDescent="0.3">
      <c r="O170" t="str" s="0">
        <f>A170&amp;COUNTIF($A$3:$A170,A170)</f>
        <v>0</v>
      </c>
      <c r="P170" s="0">
        <f t="shared" si="20"/>
        <v>0</v>
      </c>
      <c r="Q170" s="0">
        <f t="shared" si="21"/>
        <v>0</v>
      </c>
      <c r="R170" s="0">
        <f t="shared" si="22"/>
        <v>0</v>
      </c>
      <c r="S170" s="0">
        <f t="shared" si="23"/>
        <v>0</v>
      </c>
      <c r="T170" s="0">
        <f t="shared" si="24"/>
        <v>0</v>
      </c>
      <c r="U170" s="0">
        <f t="shared" si="25"/>
        <v>0</v>
      </c>
      <c r="V170" s="0">
        <f t="shared" si="26"/>
        <v>0</v>
      </c>
      <c r="W170" s="0">
        <f t="shared" si="27"/>
        <v>0</v>
      </c>
      <c r="X170" s="0">
        <f t="shared" si="28"/>
        <v>0</v>
      </c>
      <c r="Y170" s="0">
        <f t="shared" si="29"/>
        <v>0</v>
      </c>
    </row>
    <row r="171" spans="15:25" x14ac:dyDescent="0.3">
      <c r="O171" t="str" s="0">
        <f>A171&amp;COUNTIF($A$3:$A171,A171)</f>
        <v>0</v>
      </c>
      <c r="P171" s="0">
        <f t="shared" si="20"/>
        <v>0</v>
      </c>
      <c r="Q171" s="0">
        <f t="shared" si="21"/>
        <v>0</v>
      </c>
      <c r="R171" s="0">
        <f t="shared" si="22"/>
        <v>0</v>
      </c>
      <c r="S171" s="0">
        <f t="shared" si="23"/>
        <v>0</v>
      </c>
      <c r="T171" s="0">
        <f t="shared" si="24"/>
        <v>0</v>
      </c>
      <c r="U171" s="0">
        <f t="shared" si="25"/>
        <v>0</v>
      </c>
      <c r="V171" s="0">
        <f t="shared" si="26"/>
        <v>0</v>
      </c>
      <c r="W171" s="0">
        <f t="shared" si="27"/>
        <v>0</v>
      </c>
      <c r="X171" s="0">
        <f t="shared" si="28"/>
        <v>0</v>
      </c>
      <c r="Y171" s="0">
        <f t="shared" si="29"/>
        <v>0</v>
      </c>
    </row>
    <row r="172" spans="15:25" x14ac:dyDescent="0.3">
      <c r="O172" t="str" s="0">
        <f>A172&amp;COUNTIF($A$3:$A172,A172)</f>
        <v>0</v>
      </c>
      <c r="P172" s="0">
        <f t="shared" si="20"/>
        <v>0</v>
      </c>
      <c r="Q172" s="0">
        <f t="shared" si="21"/>
        <v>0</v>
      </c>
      <c r="R172" s="0">
        <f t="shared" si="22"/>
        <v>0</v>
      </c>
      <c r="S172" s="0">
        <f t="shared" si="23"/>
        <v>0</v>
      </c>
      <c r="T172" s="0">
        <f t="shared" si="24"/>
        <v>0</v>
      </c>
      <c r="U172" s="0">
        <f t="shared" si="25"/>
        <v>0</v>
      </c>
      <c r="V172" s="0">
        <f t="shared" si="26"/>
        <v>0</v>
      </c>
      <c r="W172" s="0">
        <f t="shared" si="27"/>
        <v>0</v>
      </c>
      <c r="X172" s="0">
        <f t="shared" si="28"/>
        <v>0</v>
      </c>
      <c r="Y172" s="0">
        <f t="shared" si="29"/>
        <v>0</v>
      </c>
    </row>
    <row r="173" spans="15:25" x14ac:dyDescent="0.3">
      <c r="O173" t="str" s="0">
        <f>A173&amp;COUNTIF($A$3:$A173,A173)</f>
        <v>0</v>
      </c>
      <c r="P173" s="0">
        <f t="shared" si="20"/>
        <v>0</v>
      </c>
      <c r="Q173" s="0">
        <f t="shared" si="21"/>
        <v>0</v>
      </c>
      <c r="R173" s="0">
        <f t="shared" si="22"/>
        <v>0</v>
      </c>
      <c r="S173" s="0">
        <f t="shared" si="23"/>
        <v>0</v>
      </c>
      <c r="T173" s="0">
        <f t="shared" si="24"/>
        <v>0</v>
      </c>
      <c r="U173" s="0">
        <f t="shared" si="25"/>
        <v>0</v>
      </c>
      <c r="V173" s="0">
        <f t="shared" si="26"/>
        <v>0</v>
      </c>
      <c r="W173" s="0">
        <f t="shared" si="27"/>
        <v>0</v>
      </c>
      <c r="X173" s="0">
        <f t="shared" si="28"/>
        <v>0</v>
      </c>
      <c r="Y173" s="0">
        <f t="shared" si="29"/>
        <v>0</v>
      </c>
    </row>
    <row r="174" spans="15:25" x14ac:dyDescent="0.3">
      <c r="O174" t="str" s="0">
        <f>A174&amp;COUNTIF($A$3:$A174,A174)</f>
        <v>0</v>
      </c>
      <c r="P174" s="0">
        <f t="shared" si="20"/>
        <v>0</v>
      </c>
      <c r="Q174" s="0">
        <f t="shared" si="21"/>
        <v>0</v>
      </c>
      <c r="R174" s="0">
        <f t="shared" si="22"/>
        <v>0</v>
      </c>
      <c r="S174" s="0">
        <f t="shared" si="23"/>
        <v>0</v>
      </c>
      <c r="T174" s="0">
        <f t="shared" si="24"/>
        <v>0</v>
      </c>
      <c r="U174" s="0">
        <f t="shared" si="25"/>
        <v>0</v>
      </c>
      <c r="V174" s="0">
        <f t="shared" si="26"/>
        <v>0</v>
      </c>
      <c r="W174" s="0">
        <f t="shared" si="27"/>
        <v>0</v>
      </c>
      <c r="X174" s="0">
        <f t="shared" si="28"/>
        <v>0</v>
      </c>
      <c r="Y174" s="0">
        <f t="shared" si="29"/>
        <v>0</v>
      </c>
    </row>
    <row r="175" spans="15:25" x14ac:dyDescent="0.3">
      <c r="O175" t="str" s="0">
        <f>A175&amp;COUNTIF($A$3:$A175,A175)</f>
        <v>0</v>
      </c>
      <c r="P175" s="0">
        <f t="shared" si="20"/>
        <v>0</v>
      </c>
      <c r="Q175" s="0">
        <f t="shared" si="21"/>
        <v>0</v>
      </c>
      <c r="R175" s="0">
        <f t="shared" si="22"/>
        <v>0</v>
      </c>
      <c r="S175" s="0">
        <f t="shared" si="23"/>
        <v>0</v>
      </c>
      <c r="T175" s="0">
        <f t="shared" si="24"/>
        <v>0</v>
      </c>
      <c r="U175" s="0">
        <f t="shared" si="25"/>
        <v>0</v>
      </c>
      <c r="V175" s="0">
        <f t="shared" si="26"/>
        <v>0</v>
      </c>
      <c r="W175" s="0">
        <f t="shared" si="27"/>
        <v>0</v>
      </c>
      <c r="X175" s="0">
        <f t="shared" si="28"/>
        <v>0</v>
      </c>
      <c r="Y175" s="0">
        <f t="shared" si="29"/>
        <v>0</v>
      </c>
    </row>
    <row r="176" spans="15:25" x14ac:dyDescent="0.3">
      <c r="O176" t="str" s="0">
        <f>A176&amp;COUNTIF($A$3:$A176,A176)</f>
        <v>0</v>
      </c>
      <c r="P176" s="0">
        <f t="shared" si="20"/>
        <v>0</v>
      </c>
      <c r="Q176" s="0">
        <f t="shared" si="21"/>
        <v>0</v>
      </c>
      <c r="R176" s="0">
        <f t="shared" si="22"/>
        <v>0</v>
      </c>
      <c r="S176" s="0">
        <f t="shared" si="23"/>
        <v>0</v>
      </c>
      <c r="T176" s="0">
        <f t="shared" si="24"/>
        <v>0</v>
      </c>
      <c r="U176" s="0">
        <f t="shared" si="25"/>
        <v>0</v>
      </c>
      <c r="V176" s="0">
        <f t="shared" si="26"/>
        <v>0</v>
      </c>
      <c r="W176" s="0">
        <f t="shared" si="27"/>
        <v>0</v>
      </c>
      <c r="X176" s="0">
        <f t="shared" si="28"/>
        <v>0</v>
      </c>
      <c r="Y176" s="0">
        <f t="shared" si="29"/>
        <v>0</v>
      </c>
    </row>
    <row r="177" spans="15:25" x14ac:dyDescent="0.3">
      <c r="O177" t="str" s="0">
        <f>A177&amp;COUNTIF($A$3:$A177,A177)</f>
        <v>0</v>
      </c>
      <c r="P177" s="0">
        <f t="shared" si="20"/>
        <v>0</v>
      </c>
      <c r="Q177" s="0">
        <f t="shared" si="21"/>
        <v>0</v>
      </c>
      <c r="R177" s="0">
        <f t="shared" si="22"/>
        <v>0</v>
      </c>
      <c r="S177" s="0">
        <f t="shared" si="23"/>
        <v>0</v>
      </c>
      <c r="T177" s="0">
        <f t="shared" si="24"/>
        <v>0</v>
      </c>
      <c r="U177" s="0">
        <f t="shared" si="25"/>
        <v>0</v>
      </c>
      <c r="V177" s="0">
        <f t="shared" si="26"/>
        <v>0</v>
      </c>
      <c r="W177" s="0">
        <f t="shared" si="27"/>
        <v>0</v>
      </c>
      <c r="X177" s="0">
        <f t="shared" si="28"/>
        <v>0</v>
      </c>
      <c r="Y177" s="0">
        <f t="shared" si="29"/>
        <v>0</v>
      </c>
    </row>
    <row r="178" spans="15:25" x14ac:dyDescent="0.3">
      <c r="O178" t="str" s="0">
        <f>A178&amp;COUNTIF($A$3:$A178,A178)</f>
        <v>0</v>
      </c>
      <c r="P178" s="0">
        <f t="shared" si="20"/>
        <v>0</v>
      </c>
      <c r="Q178" s="0">
        <f t="shared" si="21"/>
        <v>0</v>
      </c>
      <c r="R178" s="0">
        <f t="shared" si="22"/>
        <v>0</v>
      </c>
      <c r="S178" s="0">
        <f t="shared" si="23"/>
        <v>0</v>
      </c>
      <c r="T178" s="0">
        <f t="shared" si="24"/>
        <v>0</v>
      </c>
      <c r="U178" s="0">
        <f t="shared" si="25"/>
        <v>0</v>
      </c>
      <c r="V178" s="0">
        <f t="shared" si="26"/>
        <v>0</v>
      </c>
      <c r="W178" s="0">
        <f t="shared" si="27"/>
        <v>0</v>
      </c>
      <c r="X178" s="0">
        <f t="shared" si="28"/>
        <v>0</v>
      </c>
      <c r="Y178" s="0">
        <f t="shared" si="29"/>
        <v>0</v>
      </c>
    </row>
    <row r="179" spans="15:25" x14ac:dyDescent="0.3">
      <c r="O179" t="str" s="0">
        <f>A179&amp;COUNTIF($A$3:$A179,A179)</f>
        <v>0</v>
      </c>
      <c r="P179" s="0">
        <f t="shared" si="20"/>
        <v>0</v>
      </c>
      <c r="Q179" s="0">
        <f t="shared" si="21"/>
        <v>0</v>
      </c>
      <c r="R179" s="0">
        <f t="shared" si="22"/>
        <v>0</v>
      </c>
      <c r="S179" s="0">
        <f t="shared" si="23"/>
        <v>0</v>
      </c>
      <c r="T179" s="0">
        <f t="shared" si="24"/>
        <v>0</v>
      </c>
      <c r="U179" s="0">
        <f t="shared" si="25"/>
        <v>0</v>
      </c>
      <c r="V179" s="0">
        <f t="shared" si="26"/>
        <v>0</v>
      </c>
      <c r="W179" s="0">
        <f t="shared" si="27"/>
        <v>0</v>
      </c>
      <c r="X179" s="0">
        <f t="shared" si="28"/>
        <v>0</v>
      </c>
      <c r="Y179" s="0">
        <f t="shared" si="29"/>
        <v>0</v>
      </c>
    </row>
    <row r="180" spans="15:25" x14ac:dyDescent="0.3">
      <c r="O180" t="str" s="0">
        <f>A180&amp;COUNTIF($A$3:$A180,A180)</f>
        <v>0</v>
      </c>
      <c r="P180" s="0">
        <f t="shared" si="20"/>
        <v>0</v>
      </c>
      <c r="Q180" s="0">
        <f t="shared" si="21"/>
        <v>0</v>
      </c>
      <c r="R180" s="0">
        <f t="shared" si="22"/>
        <v>0</v>
      </c>
      <c r="S180" s="0">
        <f t="shared" si="23"/>
        <v>0</v>
      </c>
      <c r="T180" s="0">
        <f t="shared" si="24"/>
        <v>0</v>
      </c>
      <c r="U180" s="0">
        <f t="shared" si="25"/>
        <v>0</v>
      </c>
      <c r="V180" s="0">
        <f t="shared" si="26"/>
        <v>0</v>
      </c>
      <c r="W180" s="0">
        <f t="shared" si="27"/>
        <v>0</v>
      </c>
      <c r="X180" s="0">
        <f t="shared" si="28"/>
        <v>0</v>
      </c>
      <c r="Y180" s="0">
        <f t="shared" si="29"/>
        <v>0</v>
      </c>
    </row>
    <row r="181" spans="15:25" x14ac:dyDescent="0.3">
      <c r="O181" t="str" s="0">
        <f>A181&amp;COUNTIF($A$3:$A181,A181)</f>
        <v>0</v>
      </c>
      <c r="P181" s="0">
        <f t="shared" si="20"/>
        <v>0</v>
      </c>
      <c r="Q181" s="0">
        <f t="shared" si="21"/>
        <v>0</v>
      </c>
      <c r="R181" s="0">
        <f t="shared" si="22"/>
        <v>0</v>
      </c>
      <c r="S181" s="0">
        <f t="shared" si="23"/>
        <v>0</v>
      </c>
      <c r="T181" s="0">
        <f t="shared" si="24"/>
        <v>0</v>
      </c>
      <c r="U181" s="0">
        <f t="shared" si="25"/>
        <v>0</v>
      </c>
      <c r="V181" s="0">
        <f t="shared" si="26"/>
        <v>0</v>
      </c>
      <c r="W181" s="0">
        <f t="shared" si="27"/>
        <v>0</v>
      </c>
      <c r="X181" s="0">
        <f t="shared" si="28"/>
        <v>0</v>
      </c>
      <c r="Y181" s="0">
        <f t="shared" si="29"/>
        <v>0</v>
      </c>
    </row>
    <row r="182" spans="15:25" x14ac:dyDescent="0.3">
      <c r="O182" t="str" s="0">
        <f>A182&amp;COUNTIF($A$3:$A182,A182)</f>
        <v>0</v>
      </c>
      <c r="P182" s="0">
        <f t="shared" si="20"/>
        <v>0</v>
      </c>
      <c r="Q182" s="0">
        <f t="shared" si="21"/>
        <v>0</v>
      </c>
      <c r="R182" s="0">
        <f t="shared" si="22"/>
        <v>0</v>
      </c>
      <c r="S182" s="0">
        <f t="shared" si="23"/>
        <v>0</v>
      </c>
      <c r="T182" s="0">
        <f t="shared" si="24"/>
        <v>0</v>
      </c>
      <c r="U182" s="0">
        <f t="shared" si="25"/>
        <v>0</v>
      </c>
      <c r="V182" s="0">
        <f t="shared" si="26"/>
        <v>0</v>
      </c>
      <c r="W182" s="0">
        <f t="shared" si="27"/>
        <v>0</v>
      </c>
      <c r="X182" s="0">
        <f t="shared" si="28"/>
        <v>0</v>
      </c>
      <c r="Y182" s="0">
        <f t="shared" si="29"/>
        <v>0</v>
      </c>
    </row>
    <row r="183" spans="15:25" x14ac:dyDescent="0.3">
      <c r="O183" t="str" s="0">
        <f>A183&amp;COUNTIF($A$3:$A183,A183)</f>
        <v>0</v>
      </c>
      <c r="P183" s="0">
        <f t="shared" si="20"/>
        <v>0</v>
      </c>
      <c r="Q183" s="0">
        <f t="shared" si="21"/>
        <v>0</v>
      </c>
      <c r="R183" s="0">
        <f t="shared" si="22"/>
        <v>0</v>
      </c>
      <c r="S183" s="0">
        <f t="shared" si="23"/>
        <v>0</v>
      </c>
      <c r="T183" s="0">
        <f t="shared" si="24"/>
        <v>0</v>
      </c>
      <c r="U183" s="0">
        <f t="shared" si="25"/>
        <v>0</v>
      </c>
      <c r="V183" s="0">
        <f t="shared" si="26"/>
        <v>0</v>
      </c>
      <c r="W183" s="0">
        <f t="shared" si="27"/>
        <v>0</v>
      </c>
      <c r="X183" s="0">
        <f t="shared" si="28"/>
        <v>0</v>
      </c>
      <c r="Y183" s="0">
        <f t="shared" si="29"/>
        <v>0</v>
      </c>
    </row>
    <row r="184" spans="15:25" x14ac:dyDescent="0.3">
      <c r="O184" t="str" s="0">
        <f>A184&amp;COUNTIF($A$3:$A184,A184)</f>
        <v>0</v>
      </c>
      <c r="P184" s="0">
        <f t="shared" si="20"/>
        <v>0</v>
      </c>
      <c r="Q184" s="0">
        <f t="shared" si="21"/>
        <v>0</v>
      </c>
      <c r="R184" s="0">
        <f t="shared" si="22"/>
        <v>0</v>
      </c>
      <c r="S184" s="0">
        <f t="shared" si="23"/>
        <v>0</v>
      </c>
      <c r="T184" s="0">
        <f t="shared" si="24"/>
        <v>0</v>
      </c>
      <c r="U184" s="0">
        <f t="shared" si="25"/>
        <v>0</v>
      </c>
      <c r="V184" s="0">
        <f t="shared" si="26"/>
        <v>0</v>
      </c>
      <c r="W184" s="0">
        <f t="shared" si="27"/>
        <v>0</v>
      </c>
      <c r="X184" s="0">
        <f t="shared" si="28"/>
        <v>0</v>
      </c>
      <c r="Y184" s="0">
        <f t="shared" si="29"/>
        <v>0</v>
      </c>
    </row>
    <row r="185" spans="15:25" x14ac:dyDescent="0.3">
      <c r="O185" t="str" s="0">
        <f>A185&amp;COUNTIF($A$3:$A185,A185)</f>
        <v>0</v>
      </c>
      <c r="P185" s="0">
        <f t="shared" si="20"/>
        <v>0</v>
      </c>
      <c r="Q185" s="0">
        <f t="shared" si="21"/>
        <v>0</v>
      </c>
      <c r="R185" s="0">
        <f t="shared" si="22"/>
        <v>0</v>
      </c>
      <c r="S185" s="0">
        <f t="shared" si="23"/>
        <v>0</v>
      </c>
      <c r="T185" s="0">
        <f t="shared" si="24"/>
        <v>0</v>
      </c>
      <c r="U185" s="0">
        <f t="shared" si="25"/>
        <v>0</v>
      </c>
      <c r="V185" s="0">
        <f t="shared" si="26"/>
        <v>0</v>
      </c>
      <c r="W185" s="0">
        <f t="shared" si="27"/>
        <v>0</v>
      </c>
      <c r="X185" s="0">
        <f t="shared" si="28"/>
        <v>0</v>
      </c>
      <c r="Y185" s="0">
        <f t="shared" si="29"/>
        <v>0</v>
      </c>
    </row>
    <row r="186" spans="15:25" x14ac:dyDescent="0.3">
      <c r="O186" t="str" s="0">
        <f>A186&amp;COUNTIF($A$3:$A186,A186)</f>
        <v>0</v>
      </c>
      <c r="P186" s="0">
        <f t="shared" si="20"/>
        <v>0</v>
      </c>
      <c r="Q186" s="0">
        <f t="shared" si="21"/>
        <v>0</v>
      </c>
      <c r="R186" s="0">
        <f t="shared" si="22"/>
        <v>0</v>
      </c>
      <c r="S186" s="0">
        <f t="shared" si="23"/>
        <v>0</v>
      </c>
      <c r="T186" s="0">
        <f t="shared" si="24"/>
        <v>0</v>
      </c>
      <c r="U186" s="0">
        <f t="shared" si="25"/>
        <v>0</v>
      </c>
      <c r="V186" s="0">
        <f t="shared" si="26"/>
        <v>0</v>
      </c>
      <c r="W186" s="0">
        <f t="shared" si="27"/>
        <v>0</v>
      </c>
      <c r="X186" s="0">
        <f t="shared" si="28"/>
        <v>0</v>
      </c>
      <c r="Y186" s="0">
        <f t="shared" si="29"/>
        <v>0</v>
      </c>
    </row>
    <row r="187" spans="15:25" x14ac:dyDescent="0.3">
      <c r="O187" t="str" s="0">
        <f>A187&amp;COUNTIF($A$3:$A187,A187)</f>
        <v>0</v>
      </c>
      <c r="P187" s="0">
        <f t="shared" si="20"/>
        <v>0</v>
      </c>
      <c r="Q187" s="0">
        <f t="shared" si="21"/>
        <v>0</v>
      </c>
      <c r="R187" s="0">
        <f t="shared" si="22"/>
        <v>0</v>
      </c>
      <c r="S187" s="0">
        <f t="shared" si="23"/>
        <v>0</v>
      </c>
      <c r="T187" s="0">
        <f t="shared" si="24"/>
        <v>0</v>
      </c>
      <c r="U187" s="0">
        <f t="shared" si="25"/>
        <v>0</v>
      </c>
      <c r="V187" s="0">
        <f t="shared" si="26"/>
        <v>0</v>
      </c>
      <c r="W187" s="0">
        <f t="shared" si="27"/>
        <v>0</v>
      </c>
      <c r="X187" s="0">
        <f t="shared" si="28"/>
        <v>0</v>
      </c>
      <c r="Y187" s="0">
        <f t="shared" si="29"/>
        <v>0</v>
      </c>
    </row>
    <row r="188" spans="15:25" x14ac:dyDescent="0.3">
      <c r="O188" t="str" s="0">
        <f>A188&amp;COUNTIF($A$3:$A188,A188)</f>
        <v>0</v>
      </c>
      <c r="P188" s="0">
        <f t="shared" si="20"/>
        <v>0</v>
      </c>
      <c r="Q188" s="0">
        <f t="shared" si="21"/>
        <v>0</v>
      </c>
      <c r="R188" s="0">
        <f t="shared" si="22"/>
        <v>0</v>
      </c>
      <c r="S188" s="0">
        <f t="shared" si="23"/>
        <v>0</v>
      </c>
      <c r="T188" s="0">
        <f t="shared" si="24"/>
        <v>0</v>
      </c>
      <c r="U188" s="0">
        <f t="shared" si="25"/>
        <v>0</v>
      </c>
      <c r="V188" s="0">
        <f t="shared" si="26"/>
        <v>0</v>
      </c>
      <c r="W188" s="0">
        <f t="shared" si="27"/>
        <v>0</v>
      </c>
      <c r="X188" s="0">
        <f t="shared" si="28"/>
        <v>0</v>
      </c>
      <c r="Y188" s="0">
        <f t="shared" si="29"/>
        <v>0</v>
      </c>
    </row>
    <row r="189" spans="15:25" x14ac:dyDescent="0.3">
      <c r="O189" t="str" s="0">
        <f>A189&amp;COUNTIF($A$3:$A189,A189)</f>
        <v>0</v>
      </c>
      <c r="P189" s="0">
        <f t="shared" si="20"/>
        <v>0</v>
      </c>
      <c r="Q189" s="0">
        <f t="shared" si="21"/>
        <v>0</v>
      </c>
      <c r="R189" s="0">
        <f t="shared" si="22"/>
        <v>0</v>
      </c>
      <c r="S189" s="0">
        <f t="shared" si="23"/>
        <v>0</v>
      </c>
      <c r="T189" s="0">
        <f t="shared" si="24"/>
        <v>0</v>
      </c>
      <c r="U189" s="0">
        <f t="shared" si="25"/>
        <v>0</v>
      </c>
      <c r="V189" s="0">
        <f t="shared" si="26"/>
        <v>0</v>
      </c>
      <c r="W189" s="0">
        <f t="shared" si="27"/>
        <v>0</v>
      </c>
      <c r="X189" s="0">
        <f t="shared" si="28"/>
        <v>0</v>
      </c>
      <c r="Y189" s="0">
        <f t="shared" si="29"/>
        <v>0</v>
      </c>
    </row>
    <row r="190" spans="15:25" x14ac:dyDescent="0.3">
      <c r="O190" t="str" s="0">
        <f>A190&amp;COUNTIF($A$3:$A190,A190)</f>
        <v>0</v>
      </c>
      <c r="P190" s="0">
        <f t="shared" si="20"/>
        <v>0</v>
      </c>
      <c r="Q190" s="0">
        <f t="shared" si="21"/>
        <v>0</v>
      </c>
      <c r="R190" s="0">
        <f t="shared" si="22"/>
        <v>0</v>
      </c>
      <c r="S190" s="0">
        <f t="shared" si="23"/>
        <v>0</v>
      </c>
      <c r="T190" s="0">
        <f t="shared" si="24"/>
        <v>0</v>
      </c>
      <c r="U190" s="0">
        <f t="shared" si="25"/>
        <v>0</v>
      </c>
      <c r="V190" s="0">
        <f t="shared" si="26"/>
        <v>0</v>
      </c>
      <c r="W190" s="0">
        <f t="shared" si="27"/>
        <v>0</v>
      </c>
      <c r="X190" s="0">
        <f t="shared" si="28"/>
        <v>0</v>
      </c>
      <c r="Y190" s="0">
        <f t="shared" si="29"/>
        <v>0</v>
      </c>
    </row>
    <row r="191" spans="15:25" x14ac:dyDescent="0.3">
      <c r="O191" t="str" s="0">
        <f>A191&amp;COUNTIF($A$3:$A191,A191)</f>
        <v>0</v>
      </c>
      <c r="P191" s="0">
        <f t="shared" si="20"/>
        <v>0</v>
      </c>
      <c r="Q191" s="0">
        <f t="shared" si="21"/>
        <v>0</v>
      </c>
      <c r="R191" s="0">
        <f t="shared" si="22"/>
        <v>0</v>
      </c>
      <c r="S191" s="0">
        <f t="shared" si="23"/>
        <v>0</v>
      </c>
      <c r="T191" s="0">
        <f t="shared" si="24"/>
        <v>0</v>
      </c>
      <c r="U191" s="0">
        <f t="shared" si="25"/>
        <v>0</v>
      </c>
      <c r="V191" s="0">
        <f t="shared" si="26"/>
        <v>0</v>
      </c>
      <c r="W191" s="0">
        <f t="shared" si="27"/>
        <v>0</v>
      </c>
      <c r="X191" s="0">
        <f t="shared" si="28"/>
        <v>0</v>
      </c>
      <c r="Y191" s="0">
        <f t="shared" si="29"/>
        <v>0</v>
      </c>
    </row>
    <row r="192" spans="15:25" x14ac:dyDescent="0.3">
      <c r="O192" t="str" s="0">
        <f>A192&amp;COUNTIF($A$3:$A192,A192)</f>
        <v>0</v>
      </c>
      <c r="P192" s="0">
        <f t="shared" si="20"/>
        <v>0</v>
      </c>
      <c r="Q192" s="0">
        <f t="shared" si="21"/>
        <v>0</v>
      </c>
      <c r="R192" s="0">
        <f t="shared" si="22"/>
        <v>0</v>
      </c>
      <c r="S192" s="0">
        <f t="shared" si="23"/>
        <v>0</v>
      </c>
      <c r="T192" s="0">
        <f t="shared" si="24"/>
        <v>0</v>
      </c>
      <c r="U192" s="0">
        <f t="shared" si="25"/>
        <v>0</v>
      </c>
      <c r="V192" s="0">
        <f t="shared" si="26"/>
        <v>0</v>
      </c>
      <c r="W192" s="0">
        <f t="shared" si="27"/>
        <v>0</v>
      </c>
      <c r="X192" s="0">
        <f t="shared" si="28"/>
        <v>0</v>
      </c>
      <c r="Y192" s="0">
        <f t="shared" si="29"/>
        <v>0</v>
      </c>
    </row>
    <row r="193" spans="15:25" x14ac:dyDescent="0.3">
      <c r="O193" t="str" s="0">
        <f>A193&amp;COUNTIF($A$3:$A193,A193)</f>
        <v>0</v>
      </c>
      <c r="P193" s="0">
        <f t="shared" ref="P193:P225" si="30">B193</f>
        <v>0</v>
      </c>
      <c r="Q193" s="0">
        <f t="shared" ref="Q193:Q225" si="31">C193</f>
        <v>0</v>
      </c>
      <c r="R193" s="0">
        <f t="shared" ref="R193:R225" si="32">D193</f>
        <v>0</v>
      </c>
      <c r="S193" s="0">
        <f t="shared" ref="S193:S225" si="33">E193</f>
        <v>0</v>
      </c>
      <c r="T193" s="0">
        <f t="shared" ref="T193:T225" si="34">F193</f>
        <v>0</v>
      </c>
      <c r="U193" s="0">
        <f t="shared" ref="U193:U225" si="35">G193</f>
        <v>0</v>
      </c>
      <c r="V193" s="0">
        <f t="shared" ref="V193:V225" si="36">H193</f>
        <v>0</v>
      </c>
      <c r="W193" s="0">
        <f t="shared" ref="W193:W225" si="37">I193</f>
        <v>0</v>
      </c>
      <c r="X193" s="0">
        <f t="shared" ref="X193:X225" si="38">J193</f>
        <v>0</v>
      </c>
      <c r="Y193" s="0">
        <f t="shared" ref="Y193:Y225" si="39">K193</f>
        <v>0</v>
      </c>
    </row>
    <row r="194" spans="15:25" x14ac:dyDescent="0.3">
      <c r="O194" t="str" s="0">
        <f>A194&amp;COUNTIF($A$3:$A194,A194)</f>
        <v>0</v>
      </c>
      <c r="P194" s="0">
        <f t="shared" si="30"/>
        <v>0</v>
      </c>
      <c r="Q194" s="0">
        <f t="shared" si="31"/>
        <v>0</v>
      </c>
      <c r="R194" s="0">
        <f t="shared" si="32"/>
        <v>0</v>
      </c>
      <c r="S194" s="0">
        <f t="shared" si="33"/>
        <v>0</v>
      </c>
      <c r="T194" s="0">
        <f t="shared" si="34"/>
        <v>0</v>
      </c>
      <c r="U194" s="0">
        <f t="shared" si="35"/>
        <v>0</v>
      </c>
      <c r="V194" s="0">
        <f t="shared" si="36"/>
        <v>0</v>
      </c>
      <c r="W194" s="0">
        <f t="shared" si="37"/>
        <v>0</v>
      </c>
      <c r="X194" s="0">
        <f t="shared" si="38"/>
        <v>0</v>
      </c>
      <c r="Y194" s="0">
        <f t="shared" si="39"/>
        <v>0</v>
      </c>
    </row>
    <row r="195" spans="15:25" x14ac:dyDescent="0.3">
      <c r="O195" t="str" s="0">
        <f>A195&amp;COUNTIF($A$3:$A195,A195)</f>
        <v>0</v>
      </c>
      <c r="P195" s="0">
        <f t="shared" si="30"/>
        <v>0</v>
      </c>
      <c r="Q195" s="0">
        <f t="shared" si="31"/>
        <v>0</v>
      </c>
      <c r="R195" s="0">
        <f t="shared" si="32"/>
        <v>0</v>
      </c>
      <c r="S195" s="0">
        <f t="shared" si="33"/>
        <v>0</v>
      </c>
      <c r="T195" s="0">
        <f t="shared" si="34"/>
        <v>0</v>
      </c>
      <c r="U195" s="0">
        <f t="shared" si="35"/>
        <v>0</v>
      </c>
      <c r="V195" s="0">
        <f t="shared" si="36"/>
        <v>0</v>
      </c>
      <c r="W195" s="0">
        <f t="shared" si="37"/>
        <v>0</v>
      </c>
      <c r="X195" s="0">
        <f t="shared" si="38"/>
        <v>0</v>
      </c>
      <c r="Y195" s="0">
        <f t="shared" si="39"/>
        <v>0</v>
      </c>
    </row>
    <row r="196" spans="15:25" x14ac:dyDescent="0.3">
      <c r="O196" t="str" s="0">
        <f>A196&amp;COUNTIF($A$3:$A196,A196)</f>
        <v>0</v>
      </c>
      <c r="P196" s="0">
        <f t="shared" si="30"/>
        <v>0</v>
      </c>
      <c r="Q196" s="0">
        <f t="shared" si="31"/>
        <v>0</v>
      </c>
      <c r="R196" s="0">
        <f t="shared" si="32"/>
        <v>0</v>
      </c>
      <c r="S196" s="0">
        <f t="shared" si="33"/>
        <v>0</v>
      </c>
      <c r="T196" s="0">
        <f t="shared" si="34"/>
        <v>0</v>
      </c>
      <c r="U196" s="0">
        <f t="shared" si="35"/>
        <v>0</v>
      </c>
      <c r="V196" s="0">
        <f t="shared" si="36"/>
        <v>0</v>
      </c>
      <c r="W196" s="0">
        <f t="shared" si="37"/>
        <v>0</v>
      </c>
      <c r="X196" s="0">
        <f t="shared" si="38"/>
        <v>0</v>
      </c>
      <c r="Y196" s="0">
        <f t="shared" si="39"/>
        <v>0</v>
      </c>
    </row>
    <row r="197" spans="15:25" x14ac:dyDescent="0.3">
      <c r="O197" t="str" s="0">
        <f>A197&amp;COUNTIF($A$3:$A197,A197)</f>
        <v>0</v>
      </c>
      <c r="P197" s="0">
        <f t="shared" si="30"/>
        <v>0</v>
      </c>
      <c r="Q197" s="0">
        <f t="shared" si="31"/>
        <v>0</v>
      </c>
      <c r="R197" s="0">
        <f t="shared" si="32"/>
        <v>0</v>
      </c>
      <c r="S197" s="0">
        <f t="shared" si="33"/>
        <v>0</v>
      </c>
      <c r="T197" s="0">
        <f t="shared" si="34"/>
        <v>0</v>
      </c>
      <c r="U197" s="0">
        <f t="shared" si="35"/>
        <v>0</v>
      </c>
      <c r="V197" s="0">
        <f t="shared" si="36"/>
        <v>0</v>
      </c>
      <c r="W197" s="0">
        <f t="shared" si="37"/>
        <v>0</v>
      </c>
      <c r="X197" s="0">
        <f t="shared" si="38"/>
        <v>0</v>
      </c>
      <c r="Y197" s="0">
        <f t="shared" si="39"/>
        <v>0</v>
      </c>
    </row>
    <row r="198" spans="15:25" x14ac:dyDescent="0.3">
      <c r="O198" t="str" s="0">
        <f>A198&amp;COUNTIF($A$3:$A198,A198)</f>
        <v>0</v>
      </c>
      <c r="P198" s="0">
        <f t="shared" si="30"/>
        <v>0</v>
      </c>
      <c r="Q198" s="0">
        <f t="shared" si="31"/>
        <v>0</v>
      </c>
      <c r="R198" s="0">
        <f t="shared" si="32"/>
        <v>0</v>
      </c>
      <c r="S198" s="0">
        <f t="shared" si="33"/>
        <v>0</v>
      </c>
      <c r="T198" s="0">
        <f t="shared" si="34"/>
        <v>0</v>
      </c>
      <c r="U198" s="0">
        <f t="shared" si="35"/>
        <v>0</v>
      </c>
      <c r="V198" s="0">
        <f t="shared" si="36"/>
        <v>0</v>
      </c>
      <c r="W198" s="0">
        <f t="shared" si="37"/>
        <v>0</v>
      </c>
      <c r="X198" s="0">
        <f t="shared" si="38"/>
        <v>0</v>
      </c>
      <c r="Y198" s="0">
        <f t="shared" si="39"/>
        <v>0</v>
      </c>
    </row>
    <row r="199" spans="15:25" x14ac:dyDescent="0.3">
      <c r="O199" t="str" s="0">
        <f>A199&amp;COUNTIF($A$3:$A199,A199)</f>
        <v>0</v>
      </c>
      <c r="P199" s="0">
        <f t="shared" si="30"/>
        <v>0</v>
      </c>
      <c r="Q199" s="0">
        <f t="shared" si="31"/>
        <v>0</v>
      </c>
      <c r="R199" s="0">
        <f t="shared" si="32"/>
        <v>0</v>
      </c>
      <c r="S199" s="0">
        <f t="shared" si="33"/>
        <v>0</v>
      </c>
      <c r="T199" s="0">
        <f t="shared" si="34"/>
        <v>0</v>
      </c>
      <c r="U199" s="0">
        <f t="shared" si="35"/>
        <v>0</v>
      </c>
      <c r="V199" s="0">
        <f t="shared" si="36"/>
        <v>0</v>
      </c>
      <c r="W199" s="0">
        <f t="shared" si="37"/>
        <v>0</v>
      </c>
      <c r="X199" s="0">
        <f t="shared" si="38"/>
        <v>0</v>
      </c>
      <c r="Y199" s="0">
        <f t="shared" si="39"/>
        <v>0</v>
      </c>
    </row>
    <row r="200" spans="15:25" x14ac:dyDescent="0.3">
      <c r="O200" t="str" s="0">
        <f>A200&amp;COUNTIF($A$3:$A200,A200)</f>
        <v>0</v>
      </c>
      <c r="P200" s="0">
        <f t="shared" si="30"/>
        <v>0</v>
      </c>
      <c r="Q200" s="0">
        <f t="shared" si="31"/>
        <v>0</v>
      </c>
      <c r="R200" s="0">
        <f t="shared" si="32"/>
        <v>0</v>
      </c>
      <c r="S200" s="0">
        <f t="shared" si="33"/>
        <v>0</v>
      </c>
      <c r="T200" s="0">
        <f t="shared" si="34"/>
        <v>0</v>
      </c>
      <c r="U200" s="0">
        <f t="shared" si="35"/>
        <v>0</v>
      </c>
      <c r="V200" s="0">
        <f t="shared" si="36"/>
        <v>0</v>
      </c>
      <c r="W200" s="0">
        <f t="shared" si="37"/>
        <v>0</v>
      </c>
      <c r="X200" s="0">
        <f t="shared" si="38"/>
        <v>0</v>
      </c>
      <c r="Y200" s="0">
        <f t="shared" si="39"/>
        <v>0</v>
      </c>
    </row>
    <row r="201" spans="15:25" x14ac:dyDescent="0.3">
      <c r="O201" t="str" s="0">
        <f>A201&amp;COUNTIF($A$3:$A201,A201)</f>
        <v>0</v>
      </c>
      <c r="P201" s="0">
        <f t="shared" si="30"/>
        <v>0</v>
      </c>
      <c r="Q201" s="0">
        <f t="shared" si="31"/>
        <v>0</v>
      </c>
      <c r="R201" s="0">
        <f t="shared" si="32"/>
        <v>0</v>
      </c>
      <c r="S201" s="0">
        <f t="shared" si="33"/>
        <v>0</v>
      </c>
      <c r="T201" s="0">
        <f t="shared" si="34"/>
        <v>0</v>
      </c>
      <c r="U201" s="0">
        <f t="shared" si="35"/>
        <v>0</v>
      </c>
      <c r="V201" s="0">
        <f t="shared" si="36"/>
        <v>0</v>
      </c>
      <c r="W201" s="0">
        <f t="shared" si="37"/>
        <v>0</v>
      </c>
      <c r="X201" s="0">
        <f t="shared" si="38"/>
        <v>0</v>
      </c>
      <c r="Y201" s="0">
        <f t="shared" si="39"/>
        <v>0</v>
      </c>
    </row>
    <row r="202" spans="15:25" x14ac:dyDescent="0.3">
      <c r="O202" t="str" s="0">
        <f>A202&amp;COUNTIF($A$3:$A202,A202)</f>
        <v>0</v>
      </c>
      <c r="P202" s="0">
        <f t="shared" si="30"/>
        <v>0</v>
      </c>
      <c r="Q202" s="0">
        <f t="shared" si="31"/>
        <v>0</v>
      </c>
      <c r="R202" s="0">
        <f t="shared" si="32"/>
        <v>0</v>
      </c>
      <c r="S202" s="0">
        <f t="shared" si="33"/>
        <v>0</v>
      </c>
      <c r="T202" s="0">
        <f t="shared" si="34"/>
        <v>0</v>
      </c>
      <c r="U202" s="0">
        <f t="shared" si="35"/>
        <v>0</v>
      </c>
      <c r="V202" s="0">
        <f t="shared" si="36"/>
        <v>0</v>
      </c>
      <c r="W202" s="0">
        <f t="shared" si="37"/>
        <v>0</v>
      </c>
      <c r="X202" s="0">
        <f t="shared" si="38"/>
        <v>0</v>
      </c>
      <c r="Y202" s="0">
        <f t="shared" si="39"/>
        <v>0</v>
      </c>
    </row>
    <row r="203" spans="15:25" x14ac:dyDescent="0.3">
      <c r="O203" t="str" s="0">
        <f>A203&amp;COUNTIF($A$3:$A203,A203)</f>
        <v>0</v>
      </c>
      <c r="P203" s="0">
        <f t="shared" si="30"/>
        <v>0</v>
      </c>
      <c r="Q203" s="0">
        <f t="shared" si="31"/>
        <v>0</v>
      </c>
      <c r="R203" s="0">
        <f t="shared" si="32"/>
        <v>0</v>
      </c>
      <c r="S203" s="0">
        <f t="shared" si="33"/>
        <v>0</v>
      </c>
      <c r="T203" s="0">
        <f t="shared" si="34"/>
        <v>0</v>
      </c>
      <c r="U203" s="0">
        <f t="shared" si="35"/>
        <v>0</v>
      </c>
      <c r="V203" s="0">
        <f t="shared" si="36"/>
        <v>0</v>
      </c>
      <c r="W203" s="0">
        <f t="shared" si="37"/>
        <v>0</v>
      </c>
      <c r="X203" s="0">
        <f t="shared" si="38"/>
        <v>0</v>
      </c>
      <c r="Y203" s="0">
        <f t="shared" si="39"/>
        <v>0</v>
      </c>
    </row>
    <row r="204" spans="15:25" x14ac:dyDescent="0.3">
      <c r="O204" t="str" s="0">
        <f>A204&amp;COUNTIF($A$3:$A204,A204)</f>
        <v>0</v>
      </c>
      <c r="P204" s="0">
        <f t="shared" si="30"/>
        <v>0</v>
      </c>
      <c r="Q204" s="0">
        <f t="shared" si="31"/>
        <v>0</v>
      </c>
      <c r="R204" s="0">
        <f t="shared" si="32"/>
        <v>0</v>
      </c>
      <c r="S204" s="0">
        <f t="shared" si="33"/>
        <v>0</v>
      </c>
      <c r="T204" s="0">
        <f t="shared" si="34"/>
        <v>0</v>
      </c>
      <c r="U204" s="0">
        <f t="shared" si="35"/>
        <v>0</v>
      </c>
      <c r="V204" s="0">
        <f t="shared" si="36"/>
        <v>0</v>
      </c>
      <c r="W204" s="0">
        <f t="shared" si="37"/>
        <v>0</v>
      </c>
      <c r="X204" s="0">
        <f t="shared" si="38"/>
        <v>0</v>
      </c>
      <c r="Y204" s="0">
        <f t="shared" si="39"/>
        <v>0</v>
      </c>
    </row>
    <row r="205" spans="15:25" x14ac:dyDescent="0.3">
      <c r="O205" t="str" s="0">
        <f>A205&amp;COUNTIF($A$3:$A205,A205)</f>
        <v>0</v>
      </c>
      <c r="P205" s="0">
        <f t="shared" si="30"/>
        <v>0</v>
      </c>
      <c r="Q205" s="0">
        <f t="shared" si="31"/>
        <v>0</v>
      </c>
      <c r="R205" s="0">
        <f t="shared" si="32"/>
        <v>0</v>
      </c>
      <c r="S205" s="0">
        <f t="shared" si="33"/>
        <v>0</v>
      </c>
      <c r="T205" s="0">
        <f t="shared" si="34"/>
        <v>0</v>
      </c>
      <c r="U205" s="0">
        <f t="shared" si="35"/>
        <v>0</v>
      </c>
      <c r="V205" s="0">
        <f t="shared" si="36"/>
        <v>0</v>
      </c>
      <c r="W205" s="0">
        <f t="shared" si="37"/>
        <v>0</v>
      </c>
      <c r="X205" s="0">
        <f t="shared" si="38"/>
        <v>0</v>
      </c>
      <c r="Y205" s="0">
        <f t="shared" si="39"/>
        <v>0</v>
      </c>
    </row>
    <row r="206" spans="15:25" x14ac:dyDescent="0.3">
      <c r="O206" t="str" s="0">
        <f>A206&amp;COUNTIF($A$3:$A206,A206)</f>
        <v>0</v>
      </c>
      <c r="P206" s="0">
        <f t="shared" si="30"/>
        <v>0</v>
      </c>
      <c r="Q206" s="0">
        <f t="shared" si="31"/>
        <v>0</v>
      </c>
      <c r="R206" s="0">
        <f t="shared" si="32"/>
        <v>0</v>
      </c>
      <c r="S206" s="0">
        <f t="shared" si="33"/>
        <v>0</v>
      </c>
      <c r="T206" s="0">
        <f t="shared" si="34"/>
        <v>0</v>
      </c>
      <c r="U206" s="0">
        <f t="shared" si="35"/>
        <v>0</v>
      </c>
      <c r="V206" s="0">
        <f t="shared" si="36"/>
        <v>0</v>
      </c>
      <c r="W206" s="0">
        <f t="shared" si="37"/>
        <v>0</v>
      </c>
      <c r="X206" s="0">
        <f t="shared" si="38"/>
        <v>0</v>
      </c>
      <c r="Y206" s="0">
        <f t="shared" si="39"/>
        <v>0</v>
      </c>
    </row>
    <row r="207" spans="15:25" x14ac:dyDescent="0.3">
      <c r="O207" t="str" s="0">
        <f>A207&amp;COUNTIF($A$3:$A207,A207)</f>
        <v>0</v>
      </c>
      <c r="P207" s="0">
        <f t="shared" si="30"/>
        <v>0</v>
      </c>
      <c r="Q207" s="0">
        <f t="shared" si="31"/>
        <v>0</v>
      </c>
      <c r="R207" s="0">
        <f t="shared" si="32"/>
        <v>0</v>
      </c>
      <c r="S207" s="0">
        <f t="shared" si="33"/>
        <v>0</v>
      </c>
      <c r="T207" s="0">
        <f t="shared" si="34"/>
        <v>0</v>
      </c>
      <c r="U207" s="0">
        <f t="shared" si="35"/>
        <v>0</v>
      </c>
      <c r="V207" s="0">
        <f t="shared" si="36"/>
        <v>0</v>
      </c>
      <c r="W207" s="0">
        <f t="shared" si="37"/>
        <v>0</v>
      </c>
      <c r="X207" s="0">
        <f t="shared" si="38"/>
        <v>0</v>
      </c>
      <c r="Y207" s="0">
        <f t="shared" si="39"/>
        <v>0</v>
      </c>
    </row>
    <row r="208" spans="15:25" x14ac:dyDescent="0.3">
      <c r="O208" t="str" s="0">
        <f>A208&amp;COUNTIF($A$3:$A208,A208)</f>
        <v>0</v>
      </c>
      <c r="P208" s="0">
        <f t="shared" si="30"/>
        <v>0</v>
      </c>
      <c r="Q208" s="0">
        <f t="shared" si="31"/>
        <v>0</v>
      </c>
      <c r="R208" s="0">
        <f t="shared" si="32"/>
        <v>0</v>
      </c>
      <c r="S208" s="0">
        <f t="shared" si="33"/>
        <v>0</v>
      </c>
      <c r="T208" s="0">
        <f t="shared" si="34"/>
        <v>0</v>
      </c>
      <c r="U208" s="0">
        <f t="shared" si="35"/>
        <v>0</v>
      </c>
      <c r="V208" s="0">
        <f t="shared" si="36"/>
        <v>0</v>
      </c>
      <c r="W208" s="0">
        <f t="shared" si="37"/>
        <v>0</v>
      </c>
      <c r="X208" s="0">
        <f t="shared" si="38"/>
        <v>0</v>
      </c>
      <c r="Y208" s="0">
        <f t="shared" si="39"/>
        <v>0</v>
      </c>
    </row>
    <row r="209" spans="15:25" x14ac:dyDescent="0.3">
      <c r="O209" t="str" s="0">
        <f>A209&amp;COUNTIF($A$3:$A209,A209)</f>
        <v>0</v>
      </c>
      <c r="P209" s="0">
        <f t="shared" si="30"/>
        <v>0</v>
      </c>
      <c r="Q209" s="0">
        <f t="shared" si="31"/>
        <v>0</v>
      </c>
      <c r="R209" s="0">
        <f t="shared" si="32"/>
        <v>0</v>
      </c>
      <c r="S209" s="0">
        <f t="shared" si="33"/>
        <v>0</v>
      </c>
      <c r="T209" s="0">
        <f t="shared" si="34"/>
        <v>0</v>
      </c>
      <c r="U209" s="0">
        <f t="shared" si="35"/>
        <v>0</v>
      </c>
      <c r="V209" s="0">
        <f t="shared" si="36"/>
        <v>0</v>
      </c>
      <c r="W209" s="0">
        <f t="shared" si="37"/>
        <v>0</v>
      </c>
      <c r="X209" s="0">
        <f t="shared" si="38"/>
        <v>0</v>
      </c>
      <c r="Y209" s="0">
        <f t="shared" si="39"/>
        <v>0</v>
      </c>
    </row>
    <row r="210" spans="15:25" x14ac:dyDescent="0.3">
      <c r="O210" t="str" s="0">
        <f>A210&amp;COUNTIF($A$3:$A210,A210)</f>
        <v>0</v>
      </c>
      <c r="P210" s="0">
        <f t="shared" si="30"/>
        <v>0</v>
      </c>
      <c r="Q210" s="0">
        <f t="shared" si="31"/>
        <v>0</v>
      </c>
      <c r="R210" s="0">
        <f t="shared" si="32"/>
        <v>0</v>
      </c>
      <c r="S210" s="0">
        <f t="shared" si="33"/>
        <v>0</v>
      </c>
      <c r="T210" s="0">
        <f t="shared" si="34"/>
        <v>0</v>
      </c>
      <c r="U210" s="0">
        <f t="shared" si="35"/>
        <v>0</v>
      </c>
      <c r="V210" s="0">
        <f t="shared" si="36"/>
        <v>0</v>
      </c>
      <c r="W210" s="0">
        <f t="shared" si="37"/>
        <v>0</v>
      </c>
      <c r="X210" s="0">
        <f t="shared" si="38"/>
        <v>0</v>
      </c>
      <c r="Y210" s="0">
        <f t="shared" si="39"/>
        <v>0</v>
      </c>
    </row>
    <row r="211" spans="15:25" x14ac:dyDescent="0.3">
      <c r="O211" t="str" s="0">
        <f>A211&amp;COUNTIF($A$3:$A211,A211)</f>
        <v>0</v>
      </c>
      <c r="P211" s="0">
        <f t="shared" si="30"/>
        <v>0</v>
      </c>
      <c r="Q211" s="0">
        <f t="shared" si="31"/>
        <v>0</v>
      </c>
      <c r="R211" s="0">
        <f t="shared" si="32"/>
        <v>0</v>
      </c>
      <c r="S211" s="0">
        <f t="shared" si="33"/>
        <v>0</v>
      </c>
      <c r="T211" s="0">
        <f t="shared" si="34"/>
        <v>0</v>
      </c>
      <c r="U211" s="0">
        <f t="shared" si="35"/>
        <v>0</v>
      </c>
      <c r="V211" s="0">
        <f t="shared" si="36"/>
        <v>0</v>
      </c>
      <c r="W211" s="0">
        <f t="shared" si="37"/>
        <v>0</v>
      </c>
      <c r="X211" s="0">
        <f t="shared" si="38"/>
        <v>0</v>
      </c>
      <c r="Y211" s="0">
        <f t="shared" si="39"/>
        <v>0</v>
      </c>
    </row>
    <row r="212" spans="15:25" x14ac:dyDescent="0.3">
      <c r="O212" t="str" s="0">
        <f>A212&amp;COUNTIF($A$3:$A212,A212)</f>
        <v>0</v>
      </c>
      <c r="P212" s="0">
        <f t="shared" si="30"/>
        <v>0</v>
      </c>
      <c r="Q212" s="0">
        <f t="shared" si="31"/>
        <v>0</v>
      </c>
      <c r="R212" s="0">
        <f t="shared" si="32"/>
        <v>0</v>
      </c>
      <c r="S212" s="0">
        <f t="shared" si="33"/>
        <v>0</v>
      </c>
      <c r="T212" s="0">
        <f t="shared" si="34"/>
        <v>0</v>
      </c>
      <c r="U212" s="0">
        <f t="shared" si="35"/>
        <v>0</v>
      </c>
      <c r="V212" s="0">
        <f t="shared" si="36"/>
        <v>0</v>
      </c>
      <c r="W212" s="0">
        <f t="shared" si="37"/>
        <v>0</v>
      </c>
      <c r="X212" s="0">
        <f t="shared" si="38"/>
        <v>0</v>
      </c>
      <c r="Y212" s="0">
        <f t="shared" si="39"/>
        <v>0</v>
      </c>
    </row>
    <row r="213" spans="15:25" x14ac:dyDescent="0.3">
      <c r="O213" t="str" s="0">
        <f>A213&amp;COUNTIF($A$3:$A213,A213)</f>
        <v>0</v>
      </c>
      <c r="P213" s="0">
        <f t="shared" si="30"/>
        <v>0</v>
      </c>
      <c r="Q213" s="0">
        <f t="shared" si="31"/>
        <v>0</v>
      </c>
      <c r="R213" s="0">
        <f t="shared" si="32"/>
        <v>0</v>
      </c>
      <c r="S213" s="0">
        <f t="shared" si="33"/>
        <v>0</v>
      </c>
      <c r="T213" s="0">
        <f t="shared" si="34"/>
        <v>0</v>
      </c>
      <c r="U213" s="0">
        <f t="shared" si="35"/>
        <v>0</v>
      </c>
      <c r="V213" s="0">
        <f t="shared" si="36"/>
        <v>0</v>
      </c>
      <c r="W213" s="0">
        <f t="shared" si="37"/>
        <v>0</v>
      </c>
      <c r="X213" s="0">
        <f t="shared" si="38"/>
        <v>0</v>
      </c>
      <c r="Y213" s="0">
        <f t="shared" si="39"/>
        <v>0</v>
      </c>
    </row>
    <row r="214" spans="15:25" x14ac:dyDescent="0.3">
      <c r="O214" t="str" s="0">
        <f>A214&amp;COUNTIF($A$3:$A214,A214)</f>
        <v>0</v>
      </c>
      <c r="P214" s="0">
        <f t="shared" si="30"/>
        <v>0</v>
      </c>
      <c r="Q214" s="0">
        <f t="shared" si="31"/>
        <v>0</v>
      </c>
      <c r="R214" s="0">
        <f t="shared" si="32"/>
        <v>0</v>
      </c>
      <c r="S214" s="0">
        <f t="shared" si="33"/>
        <v>0</v>
      </c>
      <c r="T214" s="0">
        <f t="shared" si="34"/>
        <v>0</v>
      </c>
      <c r="U214" s="0">
        <f t="shared" si="35"/>
        <v>0</v>
      </c>
      <c r="V214" s="0">
        <f t="shared" si="36"/>
        <v>0</v>
      </c>
      <c r="W214" s="0">
        <f t="shared" si="37"/>
        <v>0</v>
      </c>
      <c r="X214" s="0">
        <f t="shared" si="38"/>
        <v>0</v>
      </c>
      <c r="Y214" s="0">
        <f t="shared" si="39"/>
        <v>0</v>
      </c>
    </row>
    <row r="215" spans="15:25" x14ac:dyDescent="0.3">
      <c r="O215" t="str" s="0">
        <f>A215&amp;COUNTIF($A$3:$A215,A215)</f>
        <v>0</v>
      </c>
      <c r="P215" s="0">
        <f t="shared" si="30"/>
        <v>0</v>
      </c>
      <c r="Q215" s="0">
        <f t="shared" si="31"/>
        <v>0</v>
      </c>
      <c r="R215" s="0">
        <f t="shared" si="32"/>
        <v>0</v>
      </c>
      <c r="S215" s="0">
        <f t="shared" si="33"/>
        <v>0</v>
      </c>
      <c r="T215" s="0">
        <f t="shared" si="34"/>
        <v>0</v>
      </c>
      <c r="U215" s="0">
        <f t="shared" si="35"/>
        <v>0</v>
      </c>
      <c r="V215" s="0">
        <f t="shared" si="36"/>
        <v>0</v>
      </c>
      <c r="W215" s="0">
        <f t="shared" si="37"/>
        <v>0</v>
      </c>
      <c r="X215" s="0">
        <f t="shared" si="38"/>
        <v>0</v>
      </c>
      <c r="Y215" s="0">
        <f t="shared" si="39"/>
        <v>0</v>
      </c>
    </row>
    <row r="216" spans="15:25" x14ac:dyDescent="0.3">
      <c r="O216" t="str" s="0">
        <f>A216&amp;COUNTIF($A$3:$A216,A216)</f>
        <v>0</v>
      </c>
      <c r="P216" s="0">
        <f t="shared" si="30"/>
        <v>0</v>
      </c>
      <c r="Q216" s="0">
        <f t="shared" si="31"/>
        <v>0</v>
      </c>
      <c r="R216" s="0">
        <f t="shared" si="32"/>
        <v>0</v>
      </c>
      <c r="S216" s="0">
        <f t="shared" si="33"/>
        <v>0</v>
      </c>
      <c r="T216" s="0">
        <f t="shared" si="34"/>
        <v>0</v>
      </c>
      <c r="U216" s="0">
        <f t="shared" si="35"/>
        <v>0</v>
      </c>
      <c r="V216" s="0">
        <f t="shared" si="36"/>
        <v>0</v>
      </c>
      <c r="W216" s="0">
        <f t="shared" si="37"/>
        <v>0</v>
      </c>
      <c r="X216" s="0">
        <f t="shared" si="38"/>
        <v>0</v>
      </c>
      <c r="Y216" s="0">
        <f t="shared" si="39"/>
        <v>0</v>
      </c>
    </row>
    <row r="217" spans="15:25" x14ac:dyDescent="0.3">
      <c r="O217" t="str" s="0">
        <f>A217&amp;COUNTIF($A$3:$A217,A217)</f>
        <v>0</v>
      </c>
      <c r="P217" s="0">
        <f t="shared" si="30"/>
        <v>0</v>
      </c>
      <c r="Q217" s="0">
        <f t="shared" si="31"/>
        <v>0</v>
      </c>
      <c r="R217" s="0">
        <f t="shared" si="32"/>
        <v>0</v>
      </c>
      <c r="S217" s="0">
        <f t="shared" si="33"/>
        <v>0</v>
      </c>
      <c r="T217" s="0">
        <f t="shared" si="34"/>
        <v>0</v>
      </c>
      <c r="U217" s="0">
        <f t="shared" si="35"/>
        <v>0</v>
      </c>
      <c r="V217" s="0">
        <f t="shared" si="36"/>
        <v>0</v>
      </c>
      <c r="W217" s="0">
        <f t="shared" si="37"/>
        <v>0</v>
      </c>
      <c r="X217" s="0">
        <f t="shared" si="38"/>
        <v>0</v>
      </c>
      <c r="Y217" s="0">
        <f t="shared" si="39"/>
        <v>0</v>
      </c>
    </row>
    <row r="218" spans="15:25" x14ac:dyDescent="0.3">
      <c r="O218" t="str" s="0">
        <f>A218&amp;COUNTIF($A$3:$A218,A218)</f>
        <v>0</v>
      </c>
      <c r="P218" s="0">
        <f t="shared" si="30"/>
        <v>0</v>
      </c>
      <c r="Q218" s="0">
        <f t="shared" si="31"/>
        <v>0</v>
      </c>
      <c r="R218" s="0">
        <f t="shared" si="32"/>
        <v>0</v>
      </c>
      <c r="S218" s="0">
        <f t="shared" si="33"/>
        <v>0</v>
      </c>
      <c r="T218" s="0">
        <f t="shared" si="34"/>
        <v>0</v>
      </c>
      <c r="U218" s="0">
        <f t="shared" si="35"/>
        <v>0</v>
      </c>
      <c r="V218" s="0">
        <f t="shared" si="36"/>
        <v>0</v>
      </c>
      <c r="W218" s="0">
        <f t="shared" si="37"/>
        <v>0</v>
      </c>
      <c r="X218" s="0">
        <f t="shared" si="38"/>
        <v>0</v>
      </c>
      <c r="Y218" s="0">
        <f t="shared" si="39"/>
        <v>0</v>
      </c>
    </row>
    <row r="219" spans="15:25" x14ac:dyDescent="0.3">
      <c r="O219" t="str" s="0">
        <f>A219&amp;COUNTIF($A$3:$A219,A219)</f>
        <v>0</v>
      </c>
      <c r="P219" s="0">
        <f t="shared" si="30"/>
        <v>0</v>
      </c>
      <c r="Q219" s="0">
        <f t="shared" si="31"/>
        <v>0</v>
      </c>
      <c r="R219" s="0">
        <f t="shared" si="32"/>
        <v>0</v>
      </c>
      <c r="S219" s="0">
        <f t="shared" si="33"/>
        <v>0</v>
      </c>
      <c r="T219" s="0">
        <f t="shared" si="34"/>
        <v>0</v>
      </c>
      <c r="U219" s="0">
        <f t="shared" si="35"/>
        <v>0</v>
      </c>
      <c r="V219" s="0">
        <f t="shared" si="36"/>
        <v>0</v>
      </c>
      <c r="W219" s="0">
        <f t="shared" si="37"/>
        <v>0</v>
      </c>
      <c r="X219" s="0">
        <f t="shared" si="38"/>
        <v>0</v>
      </c>
      <c r="Y219" s="0">
        <f t="shared" si="39"/>
        <v>0</v>
      </c>
    </row>
    <row r="220" spans="15:25" x14ac:dyDescent="0.3">
      <c r="O220" t="str" s="0">
        <f>A220&amp;COUNTIF($A$3:$A220,A220)</f>
        <v>0</v>
      </c>
      <c r="P220" s="0">
        <f t="shared" si="30"/>
        <v>0</v>
      </c>
      <c r="Q220" s="0">
        <f t="shared" si="31"/>
        <v>0</v>
      </c>
      <c r="R220" s="0">
        <f t="shared" si="32"/>
        <v>0</v>
      </c>
      <c r="S220" s="0">
        <f t="shared" si="33"/>
        <v>0</v>
      </c>
      <c r="T220" s="0">
        <f t="shared" si="34"/>
        <v>0</v>
      </c>
      <c r="U220" s="0">
        <f t="shared" si="35"/>
        <v>0</v>
      </c>
      <c r="V220" s="0">
        <f t="shared" si="36"/>
        <v>0</v>
      </c>
      <c r="W220" s="0">
        <f t="shared" si="37"/>
        <v>0</v>
      </c>
      <c r="X220" s="0">
        <f t="shared" si="38"/>
        <v>0</v>
      </c>
      <c r="Y220" s="0">
        <f t="shared" si="39"/>
        <v>0</v>
      </c>
    </row>
    <row r="221" spans="15:25" x14ac:dyDescent="0.3">
      <c r="O221" t="str" s="0">
        <f>A221&amp;COUNTIF($A$3:$A221,A221)</f>
        <v>0</v>
      </c>
      <c r="P221" s="0">
        <f t="shared" si="30"/>
        <v>0</v>
      </c>
      <c r="Q221" s="0">
        <f t="shared" si="31"/>
        <v>0</v>
      </c>
      <c r="R221" s="0">
        <f t="shared" si="32"/>
        <v>0</v>
      </c>
      <c r="S221" s="0">
        <f t="shared" si="33"/>
        <v>0</v>
      </c>
      <c r="T221" s="0">
        <f t="shared" si="34"/>
        <v>0</v>
      </c>
      <c r="U221" s="0">
        <f t="shared" si="35"/>
        <v>0</v>
      </c>
      <c r="V221" s="0">
        <f t="shared" si="36"/>
        <v>0</v>
      </c>
      <c r="W221" s="0">
        <f t="shared" si="37"/>
        <v>0</v>
      </c>
      <c r="X221" s="0">
        <f t="shared" si="38"/>
        <v>0</v>
      </c>
      <c r="Y221" s="0">
        <f t="shared" si="39"/>
        <v>0</v>
      </c>
    </row>
    <row r="222" spans="15:25" x14ac:dyDescent="0.3">
      <c r="O222" t="str" s="0">
        <f>A222&amp;COUNTIF($A$3:$A222,A222)</f>
        <v>0</v>
      </c>
      <c r="P222" s="0">
        <f t="shared" si="30"/>
        <v>0</v>
      </c>
      <c r="Q222" s="0">
        <f t="shared" si="31"/>
        <v>0</v>
      </c>
      <c r="R222" s="0">
        <f t="shared" si="32"/>
        <v>0</v>
      </c>
      <c r="S222" s="0">
        <f t="shared" si="33"/>
        <v>0</v>
      </c>
      <c r="T222" s="0">
        <f t="shared" si="34"/>
        <v>0</v>
      </c>
      <c r="U222" s="0">
        <f t="shared" si="35"/>
        <v>0</v>
      </c>
      <c r="V222" s="0">
        <f t="shared" si="36"/>
        <v>0</v>
      </c>
      <c r="W222" s="0">
        <f t="shared" si="37"/>
        <v>0</v>
      </c>
      <c r="X222" s="0">
        <f t="shared" si="38"/>
        <v>0</v>
      </c>
      <c r="Y222" s="0">
        <f t="shared" si="39"/>
        <v>0</v>
      </c>
    </row>
    <row r="223" spans="15:25" x14ac:dyDescent="0.3">
      <c r="O223" t="str" s="0">
        <f>A223&amp;COUNTIF($A$3:$A223,A223)</f>
        <v>0</v>
      </c>
      <c r="P223" s="0">
        <f t="shared" si="30"/>
        <v>0</v>
      </c>
      <c r="Q223" s="0">
        <f t="shared" si="31"/>
        <v>0</v>
      </c>
      <c r="R223" s="0">
        <f t="shared" si="32"/>
        <v>0</v>
      </c>
      <c r="S223" s="0">
        <f t="shared" si="33"/>
        <v>0</v>
      </c>
      <c r="T223" s="0">
        <f t="shared" si="34"/>
        <v>0</v>
      </c>
      <c r="U223" s="0">
        <f t="shared" si="35"/>
        <v>0</v>
      </c>
      <c r="V223" s="0">
        <f t="shared" si="36"/>
        <v>0</v>
      </c>
      <c r="W223" s="0">
        <f t="shared" si="37"/>
        <v>0</v>
      </c>
      <c r="X223" s="0">
        <f t="shared" si="38"/>
        <v>0</v>
      </c>
      <c r="Y223" s="0">
        <f t="shared" si="39"/>
        <v>0</v>
      </c>
    </row>
    <row r="224" spans="15:25" x14ac:dyDescent="0.3">
      <c r="O224" t="str" s="0">
        <f>A224&amp;COUNTIF($A$3:$A224,A224)</f>
        <v>0</v>
      </c>
      <c r="P224" s="0">
        <f t="shared" si="30"/>
        <v>0</v>
      </c>
      <c r="Q224" s="0">
        <f t="shared" si="31"/>
        <v>0</v>
      </c>
      <c r="R224" s="0">
        <f t="shared" si="32"/>
        <v>0</v>
      </c>
      <c r="S224" s="0">
        <f t="shared" si="33"/>
        <v>0</v>
      </c>
      <c r="T224" s="0">
        <f t="shared" si="34"/>
        <v>0</v>
      </c>
      <c r="U224" s="0">
        <f t="shared" si="35"/>
        <v>0</v>
      </c>
      <c r="V224" s="0">
        <f t="shared" si="36"/>
        <v>0</v>
      </c>
      <c r="W224" s="0">
        <f t="shared" si="37"/>
        <v>0</v>
      </c>
      <c r="X224" s="0">
        <f t="shared" si="38"/>
        <v>0</v>
      </c>
      <c r="Y224" s="0">
        <f t="shared" si="39"/>
        <v>0</v>
      </c>
    </row>
    <row r="225" spans="15:25" x14ac:dyDescent="0.3">
      <c r="O225" t="str" s="0">
        <f>A225&amp;COUNTIF($A$3:$A225,A225)</f>
        <v>0</v>
      </c>
      <c r="P225" s="0">
        <f t="shared" si="30"/>
        <v>0</v>
      </c>
      <c r="Q225" s="0">
        <f t="shared" si="31"/>
        <v>0</v>
      </c>
      <c r="R225" s="0">
        <f t="shared" si="32"/>
        <v>0</v>
      </c>
      <c r="S225" s="0">
        <f t="shared" si="33"/>
        <v>0</v>
      </c>
      <c r="T225" s="0">
        <f t="shared" si="34"/>
        <v>0</v>
      </c>
      <c r="U225" s="0">
        <f t="shared" si="35"/>
        <v>0</v>
      </c>
      <c r="V225" s="0">
        <f t="shared" si="36"/>
        <v>0</v>
      </c>
      <c r="W225" s="0">
        <f t="shared" si="37"/>
        <v>0</v>
      </c>
      <c r="X225" s="0">
        <f t="shared" si="38"/>
        <v>0</v>
      </c>
      <c r="Y225" s="0">
        <f t="shared" si="39"/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5AF4B74-6602-4E26-A20D-E27290007F5A}">
            <xm:f>$O1=Summary!$F$29</xm:f>
            <x14:dxf>
              <fill>
                <patternFill>
                  <bgColor theme="4" tint="-0.24994659260841701"/>
                </patternFill>
              </fill>
            </x14:dxf>
          </x14:cfRule>
          <x14:cfRule type="expression" priority="2" id="{6E27A46E-F86D-4B89-A7CA-0696A055ECD7}">
            <xm:f>$A1=Summary!$E$29</xm:f>
            <x14:dxf>
              <fill>
                <patternFill>
                  <bgColor rgb="FF00B050"/>
                </patternFill>
              </fill>
            </x14:dxf>
          </x14:cfRule>
          <xm:sqref>A1:AF225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9"/>
  <sheetViews>
    <sheetView showFormulas="1" workbookViewId="0">
      <selection activeCell="A64" sqref="A64:XFD64"/>
    </sheetView>
  </sheetViews>
  <sheetFormatPr defaultRowHeight="14.4" x14ac:dyDescent="0.3"/>
  <cols>
    <col min="1" max="1" bestFit="true" customWidth="true" width="89.0"/>
    <col min="2" max="11" bestFit="true" customWidth="true" width="16.0"/>
  </cols>
  <sheetData>
    <row r="1" spans="1:11" x14ac:dyDescent="0.3">
      <c r="A1" s="158" t="s">
        <v>590</v>
      </c>
      <c r="B1" s="158" t="s">
        <v>298</v>
      </c>
      <c r="C1" s="158" t="s">
        <v>299</v>
      </c>
      <c r="D1" s="158" t="s">
        <v>300</v>
      </c>
      <c r="E1" s="158" t="s">
        <v>301</v>
      </c>
      <c r="F1" s="158" t="s">
        <v>302</v>
      </c>
      <c r="G1" s="158" t="s">
        <v>303</v>
      </c>
      <c r="H1" s="158" t="s">
        <v>304</v>
      </c>
      <c r="I1" s="158" t="s">
        <v>305</v>
      </c>
      <c r="J1" s="158" t="s">
        <v>306</v>
      </c>
      <c r="K1" s="158" t="s">
        <v>307</v>
      </c>
    </row>
    <row r="2" spans="1:11" x14ac:dyDescent="0.3">
      <c r="A2" t="s" s="0">
        <v>192</v>
      </c>
      <c r="B2" s="159" t="s">
        <v>591</v>
      </c>
      <c r="C2" s="159" t="s">
        <v>592</v>
      </c>
      <c r="D2" s="159" t="s">
        <v>593</v>
      </c>
      <c r="E2" s="159" t="s">
        <v>594</v>
      </c>
      <c r="F2" s="159" t="s">
        <v>595</v>
      </c>
      <c r="G2" s="159" t="s">
        <v>596</v>
      </c>
      <c r="H2" s="159" t="s">
        <v>597</v>
      </c>
      <c r="I2" s="159" t="s">
        <v>598</v>
      </c>
      <c r="J2" s="159" t="s">
        <v>599</v>
      </c>
      <c r="K2" s="159" t="s">
        <v>600</v>
      </c>
    </row>
    <row r="3" spans="1:11" x14ac:dyDescent="0.3">
      <c r="A3" t="s" s="0">
        <v>601</v>
      </c>
      <c r="B3" s="159" t="s">
        <v>602</v>
      </c>
      <c r="C3" s="159" t="s">
        <v>603</v>
      </c>
      <c r="D3" s="159" t="s">
        <v>604</v>
      </c>
      <c r="E3" s="159" t="s">
        <v>605</v>
      </c>
      <c r="F3" s="159" t="s">
        <v>606</v>
      </c>
      <c r="G3" s="159" t="s">
        <v>607</v>
      </c>
      <c r="H3" s="159" t="s">
        <v>608</v>
      </c>
      <c r="I3" s="159" t="s">
        <v>609</v>
      </c>
      <c r="J3" s="159" t="s">
        <v>610</v>
      </c>
      <c r="K3" s="159" t="s">
        <v>611</v>
      </c>
    </row>
    <row r="4" spans="1:11" x14ac:dyDescent="0.3">
      <c r="A4" t="s" s="0">
        <v>612</v>
      </c>
      <c r="B4" s="159" t="s">
        <v>613</v>
      </c>
      <c r="C4" s="159" t="s">
        <v>614</v>
      </c>
      <c r="D4" s="159" t="s">
        <v>615</v>
      </c>
      <c r="E4" s="159" t="s">
        <v>616</v>
      </c>
      <c r="F4" s="159" t="s">
        <v>617</v>
      </c>
      <c r="G4" s="159" t="s">
        <v>618</v>
      </c>
      <c r="H4" s="159" t="s">
        <v>619</v>
      </c>
      <c r="I4" s="159" t="s">
        <v>620</v>
      </c>
      <c r="J4" s="159" t="s">
        <v>621</v>
      </c>
      <c r="K4" s="159" t="s">
        <v>622</v>
      </c>
    </row>
    <row r="5" spans="1:11" x14ac:dyDescent="0.3">
      <c r="A5" t="s" s="0">
        <v>623</v>
      </c>
      <c r="B5" s="159" t="s">
        <v>624</v>
      </c>
      <c r="C5" s="159" t="s">
        <v>614</v>
      </c>
      <c r="D5" s="159" t="s">
        <v>615</v>
      </c>
      <c r="E5" s="159" t="s">
        <v>616</v>
      </c>
      <c r="F5" s="159" t="s">
        <v>617</v>
      </c>
      <c r="G5" s="159" t="s">
        <v>618</v>
      </c>
      <c r="H5" s="159" t="s">
        <v>619</v>
      </c>
      <c r="I5" s="159" t="s">
        <v>620</v>
      </c>
      <c r="J5" s="159" t="s">
        <v>621</v>
      </c>
      <c r="K5" s="159" t="s">
        <v>622</v>
      </c>
    </row>
    <row r="6" spans="1:11" x14ac:dyDescent="0.3">
      <c r="A6" t="s" s="0">
        <v>625</v>
      </c>
      <c r="B6" s="159" t="s">
        <v>626</v>
      </c>
      <c r="C6" t="s" s="0">
        <v>338</v>
      </c>
      <c r="D6" t="s" s="0">
        <v>338</v>
      </c>
      <c r="E6" t="s" s="0">
        <v>338</v>
      </c>
      <c r="F6" t="s" s="0">
        <v>338</v>
      </c>
      <c r="G6" t="s" s="0">
        <v>338</v>
      </c>
      <c r="H6" t="s" s="0">
        <v>338</v>
      </c>
      <c r="I6" t="s" s="0">
        <v>338</v>
      </c>
      <c r="J6" t="s" s="0">
        <v>338</v>
      </c>
      <c r="K6" t="s" s="0">
        <v>338</v>
      </c>
    </row>
    <row r="7" spans="1:11" x14ac:dyDescent="0.3">
      <c r="A7" t="s" s="0">
        <v>627</v>
      </c>
      <c r="B7" s="159" t="s">
        <v>628</v>
      </c>
      <c r="C7" s="159" t="s">
        <v>629</v>
      </c>
      <c r="D7" s="159" t="s">
        <v>630</v>
      </c>
      <c r="E7" s="159" t="s">
        <v>631</v>
      </c>
      <c r="F7" s="159" t="s">
        <v>632</v>
      </c>
      <c r="G7" s="159" t="s">
        <v>633</v>
      </c>
      <c r="H7" s="159" t="s">
        <v>634</v>
      </c>
      <c r="I7" s="159" t="s">
        <v>635</v>
      </c>
      <c r="J7" s="159" t="s">
        <v>636</v>
      </c>
      <c r="K7" s="159" t="s">
        <v>637</v>
      </c>
    </row>
    <row r="8" spans="1:11" x14ac:dyDescent="0.3">
      <c r="A8" t="s" s="0">
        <v>638</v>
      </c>
      <c r="B8" s="159" t="s">
        <v>639</v>
      </c>
      <c r="C8" s="159" t="s">
        <v>640</v>
      </c>
      <c r="D8" s="159" t="s">
        <v>641</v>
      </c>
      <c r="E8" s="159" t="s">
        <v>642</v>
      </c>
      <c r="F8" s="159" t="s">
        <v>643</v>
      </c>
      <c r="G8" s="159" t="s">
        <v>644</v>
      </c>
      <c r="H8" s="159" t="s">
        <v>645</v>
      </c>
      <c r="I8" s="159" t="s">
        <v>646</v>
      </c>
      <c r="J8" s="159" t="s">
        <v>647</v>
      </c>
      <c r="K8" s="159" t="s">
        <v>648</v>
      </c>
    </row>
    <row r="9" spans="1:11" x14ac:dyDescent="0.3">
      <c r="A9" t="s" s="0">
        <v>649</v>
      </c>
      <c r="B9" s="159" t="s">
        <v>650</v>
      </c>
      <c r="C9" s="159" t="s">
        <v>651</v>
      </c>
      <c r="D9" s="159" t="s">
        <v>652</v>
      </c>
      <c r="E9" s="159" t="s">
        <v>653</v>
      </c>
      <c r="F9" s="159" t="s">
        <v>654</v>
      </c>
      <c r="G9" s="159" t="s">
        <v>655</v>
      </c>
      <c r="H9" s="159" t="s">
        <v>656</v>
      </c>
      <c r="I9" s="159" t="s">
        <v>657</v>
      </c>
      <c r="J9" s="159" t="s">
        <v>658</v>
      </c>
      <c r="K9" s="159" t="s">
        <v>659</v>
      </c>
    </row>
    <row r="10" spans="1:11" x14ac:dyDescent="0.3">
      <c r="A10" t="s" s="0">
        <v>660</v>
      </c>
      <c r="B10" s="159" t="s">
        <v>661</v>
      </c>
      <c r="C10" s="159" t="s">
        <v>662</v>
      </c>
      <c r="D10" s="159" t="s">
        <v>663</v>
      </c>
      <c r="E10" s="159" t="s">
        <v>664</v>
      </c>
      <c r="F10" s="159" t="s">
        <v>665</v>
      </c>
      <c r="G10" s="159" t="s">
        <v>666</v>
      </c>
      <c r="H10" s="159" t="s">
        <v>667</v>
      </c>
      <c r="I10" s="159" t="s">
        <v>668</v>
      </c>
      <c r="J10" s="159" t="s">
        <v>669</v>
      </c>
      <c r="K10" s="159" t="s">
        <v>670</v>
      </c>
    </row>
    <row r="11" spans="1:11" x14ac:dyDescent="0.3">
      <c r="A11" t="s" s="0">
        <v>671</v>
      </c>
      <c r="B11" t="s" s="0">
        <v>338</v>
      </c>
      <c r="C11" s="159" t="s">
        <v>662</v>
      </c>
      <c r="D11" s="159" t="s">
        <v>672</v>
      </c>
      <c r="E11" s="159" t="s">
        <v>673</v>
      </c>
      <c r="F11" s="159" t="s">
        <v>674</v>
      </c>
      <c r="G11" s="159" t="s">
        <v>675</v>
      </c>
      <c r="H11" s="159" t="s">
        <v>676</v>
      </c>
      <c r="I11" s="159" t="s">
        <v>677</v>
      </c>
      <c r="J11" s="159" t="s">
        <v>678</v>
      </c>
      <c r="K11" s="159" t="s">
        <v>679</v>
      </c>
    </row>
    <row r="12" spans="1:11" x14ac:dyDescent="0.3">
      <c r="A12" t="s" s="0">
        <v>680</v>
      </c>
      <c r="B12" t="s" s="0">
        <v>338</v>
      </c>
      <c r="C12" s="159" t="s">
        <v>681</v>
      </c>
      <c r="D12" s="159" t="s">
        <v>682</v>
      </c>
      <c r="E12" s="159" t="s">
        <v>683</v>
      </c>
      <c r="F12" s="159" t="s">
        <v>684</v>
      </c>
      <c r="G12" s="159" t="s">
        <v>685</v>
      </c>
      <c r="H12" s="159" t="s">
        <v>686</v>
      </c>
      <c r="I12" s="159" t="s">
        <v>687</v>
      </c>
      <c r="J12" s="159" t="s">
        <v>688</v>
      </c>
      <c r="K12" s="159" t="s">
        <v>689</v>
      </c>
    </row>
    <row r="13" spans="1:11" x14ac:dyDescent="0.3">
      <c r="A13" t="s" s="0">
        <v>690</v>
      </c>
      <c r="B13" t="s" s="0">
        <v>338</v>
      </c>
      <c r="C13" s="159" t="s">
        <v>691</v>
      </c>
      <c r="D13" s="159" t="s">
        <v>692</v>
      </c>
      <c r="E13" s="159" t="s">
        <v>693</v>
      </c>
      <c r="F13" s="159" t="s">
        <v>694</v>
      </c>
      <c r="G13" s="159" t="s">
        <v>695</v>
      </c>
      <c r="H13" s="159" t="s">
        <v>696</v>
      </c>
      <c r="I13" s="159" t="s">
        <v>697</v>
      </c>
      <c r="J13" s="159" t="s">
        <v>698</v>
      </c>
      <c r="K13" s="159" t="s">
        <v>699</v>
      </c>
    </row>
    <row r="14" spans="1:11" x14ac:dyDescent="0.3">
      <c r="A14" t="s" s="0">
        <v>700</v>
      </c>
      <c r="B14" t="s" s="0">
        <v>338</v>
      </c>
      <c r="C14" t="s" s="0">
        <v>338</v>
      </c>
      <c r="D14" s="159" t="s">
        <v>701</v>
      </c>
      <c r="E14" s="159" t="s">
        <v>702</v>
      </c>
      <c r="F14" s="159" t="s">
        <v>703</v>
      </c>
      <c r="G14" s="159" t="s">
        <v>704</v>
      </c>
      <c r="H14" s="159" t="s">
        <v>705</v>
      </c>
      <c r="I14" s="159" t="s">
        <v>706</v>
      </c>
      <c r="J14" s="159" t="s">
        <v>707</v>
      </c>
      <c r="K14" s="159" t="s">
        <v>708</v>
      </c>
    </row>
    <row r="15" spans="1:11" x14ac:dyDescent="0.3">
      <c r="A15" t="s" s="0">
        <v>709</v>
      </c>
      <c r="B15" s="159" t="s">
        <v>710</v>
      </c>
      <c r="C15" s="159" t="s">
        <v>711</v>
      </c>
      <c r="D15" s="159" t="s">
        <v>712</v>
      </c>
      <c r="E15" s="159" t="s">
        <v>713</v>
      </c>
      <c r="F15" s="159" t="s">
        <v>714</v>
      </c>
      <c r="G15" s="159" t="s">
        <v>715</v>
      </c>
      <c r="H15" s="159" t="s">
        <v>716</v>
      </c>
      <c r="I15" s="159" t="s">
        <v>717</v>
      </c>
      <c r="J15" s="159" t="s">
        <v>718</v>
      </c>
      <c r="K15" s="159" t="s">
        <v>719</v>
      </c>
    </row>
    <row r="16" spans="1:11" x14ac:dyDescent="0.3">
      <c r="A16" t="s" s="0">
        <v>720</v>
      </c>
      <c r="B16" s="159" t="s">
        <v>721</v>
      </c>
      <c r="C16" s="159" t="s">
        <v>722</v>
      </c>
      <c r="D16" s="159" t="s">
        <v>723</v>
      </c>
      <c r="E16" s="159" t="s">
        <v>724</v>
      </c>
      <c r="F16" s="159" t="s">
        <v>725</v>
      </c>
      <c r="G16" s="159" t="s">
        <v>557</v>
      </c>
      <c r="H16" t="s" s="0">
        <v>338</v>
      </c>
      <c r="I16" t="s" s="0">
        <v>338</v>
      </c>
      <c r="J16" t="s" s="0">
        <v>338</v>
      </c>
      <c r="K16" t="s" s="0">
        <v>338</v>
      </c>
    </row>
    <row r="17" spans="1:11" x14ac:dyDescent="0.3">
      <c r="A17" t="s" s="0">
        <v>726</v>
      </c>
      <c r="B17" s="159" t="s">
        <v>727</v>
      </c>
      <c r="C17" s="159" t="s">
        <v>728</v>
      </c>
      <c r="D17" s="159" t="s">
        <v>729</v>
      </c>
      <c r="E17" s="159" t="s">
        <v>730</v>
      </c>
      <c r="F17" s="159" t="s">
        <v>731</v>
      </c>
      <c r="G17" s="159" t="s">
        <v>732</v>
      </c>
      <c r="H17" s="159" t="s">
        <v>733</v>
      </c>
      <c r="I17" s="159" t="s">
        <v>734</v>
      </c>
      <c r="J17" s="159" t="s">
        <v>735</v>
      </c>
      <c r="K17" s="159" t="s">
        <v>736</v>
      </c>
    </row>
    <row r="18" spans="1:11" x14ac:dyDescent="0.3">
      <c r="A18" t="s" s="0">
        <v>737</v>
      </c>
      <c r="B18" t="s" s="0">
        <v>338</v>
      </c>
      <c r="C18" t="s" s="0">
        <v>338</v>
      </c>
      <c r="D18" s="159" t="s">
        <v>738</v>
      </c>
      <c r="E18" s="159" t="s">
        <v>739</v>
      </c>
      <c r="F18" s="159" t="s">
        <v>740</v>
      </c>
      <c r="G18" s="159" t="s">
        <v>741</v>
      </c>
      <c r="H18" s="159" t="s">
        <v>742</v>
      </c>
      <c r="I18" s="159" t="s">
        <v>743</v>
      </c>
      <c r="J18" s="159" t="s">
        <v>744</v>
      </c>
      <c r="K18" s="159" t="s">
        <v>745</v>
      </c>
    </row>
    <row r="19" spans="1:11" x14ac:dyDescent="0.3">
      <c r="A19" t="s" s="0">
        <v>746</v>
      </c>
      <c r="B19" t="s" s="0">
        <v>338</v>
      </c>
      <c r="C19" t="s" s="0">
        <v>338</v>
      </c>
      <c r="D19" s="159" t="s">
        <v>747</v>
      </c>
      <c r="E19" s="159" t="s">
        <v>748</v>
      </c>
      <c r="F19" s="159" t="s">
        <v>749</v>
      </c>
      <c r="G19" s="159" t="s">
        <v>750</v>
      </c>
      <c r="H19" s="159" t="s">
        <v>751</v>
      </c>
      <c r="I19" t="s" s="0">
        <v>338</v>
      </c>
      <c r="J19" s="159" t="s">
        <v>752</v>
      </c>
      <c r="K19" s="159" t="s">
        <v>753</v>
      </c>
    </row>
    <row r="20" spans="1:11" x14ac:dyDescent="0.3">
      <c r="A20" t="s" s="0">
        <v>754</v>
      </c>
      <c r="B20" t="s" s="0">
        <v>338</v>
      </c>
      <c r="C20" t="s" s="0">
        <v>338</v>
      </c>
      <c r="D20" s="159" t="s">
        <v>755</v>
      </c>
      <c r="E20" s="159" t="s">
        <v>756</v>
      </c>
      <c r="F20" s="159" t="s">
        <v>757</v>
      </c>
      <c r="G20" s="159" t="s">
        <v>758</v>
      </c>
      <c r="H20" s="159" t="s">
        <v>759</v>
      </c>
      <c r="I20" t="s" s="0">
        <v>338</v>
      </c>
      <c r="J20" s="159" t="s">
        <v>760</v>
      </c>
      <c r="K20" s="159" t="s">
        <v>761</v>
      </c>
    </row>
    <row r="21" spans="1:11" x14ac:dyDescent="0.3">
      <c r="A21" t="s" s="0">
        <v>762</v>
      </c>
      <c r="B21" s="159" t="s">
        <v>763</v>
      </c>
      <c r="C21" s="159" t="s">
        <v>764</v>
      </c>
      <c r="D21" s="159" t="s">
        <v>765</v>
      </c>
      <c r="E21" s="159" t="s">
        <v>766</v>
      </c>
      <c r="F21" s="159" t="s">
        <v>767</v>
      </c>
      <c r="G21" s="159" t="s">
        <v>768</v>
      </c>
      <c r="H21" s="159" t="s">
        <v>769</v>
      </c>
      <c r="I21" s="159" t="s">
        <v>770</v>
      </c>
      <c r="J21" s="159" t="s">
        <v>771</v>
      </c>
      <c r="K21" s="159" t="s">
        <v>772</v>
      </c>
    </row>
    <row r="22" spans="1:11" x14ac:dyDescent="0.3">
      <c r="A22" t="s" s="0">
        <v>773</v>
      </c>
      <c r="B22" t="s" s="0">
        <v>338</v>
      </c>
      <c r="C22" t="s" s="0">
        <v>338</v>
      </c>
      <c r="D22" s="159" t="s">
        <v>765</v>
      </c>
      <c r="E22" s="159" t="s">
        <v>766</v>
      </c>
      <c r="F22" s="159" t="s">
        <v>767</v>
      </c>
      <c r="G22" s="159" t="s">
        <v>768</v>
      </c>
      <c r="H22" s="159" t="s">
        <v>769</v>
      </c>
      <c r="I22" s="159" t="s">
        <v>770</v>
      </c>
      <c r="J22" s="159" t="s">
        <v>771</v>
      </c>
      <c r="K22" s="159" t="s">
        <v>772</v>
      </c>
    </row>
    <row r="23" spans="1:11" x14ac:dyDescent="0.3">
      <c r="A23" t="s" s="0">
        <v>774</v>
      </c>
      <c r="B23" s="159" t="s">
        <v>775</v>
      </c>
      <c r="C23" s="159" t="s">
        <v>776</v>
      </c>
      <c r="D23" s="159" t="s">
        <v>777</v>
      </c>
      <c r="E23" s="159" t="s">
        <v>778</v>
      </c>
      <c r="F23" s="159" t="s">
        <v>779</v>
      </c>
      <c r="G23" s="159" t="s">
        <v>780</v>
      </c>
      <c r="H23" s="159" t="s">
        <v>781</v>
      </c>
      <c r="I23" s="159" t="s">
        <v>782</v>
      </c>
      <c r="J23" s="159" t="s">
        <v>783</v>
      </c>
      <c r="K23" s="159" t="s">
        <v>784</v>
      </c>
    </row>
    <row r="24" spans="1:11" x14ac:dyDescent="0.3">
      <c r="A24" t="s" s="0">
        <v>785</v>
      </c>
      <c r="B24" s="159" t="s">
        <v>786</v>
      </c>
      <c r="C24" s="159" t="s">
        <v>787</v>
      </c>
      <c r="D24" t="s" s="0">
        <v>338</v>
      </c>
      <c r="E24" t="s" s="0">
        <v>338</v>
      </c>
      <c r="F24" t="s" s="0">
        <v>338</v>
      </c>
      <c r="G24" t="s" s="0">
        <v>338</v>
      </c>
      <c r="H24" t="s" s="0">
        <v>338</v>
      </c>
      <c r="I24" t="s" s="0">
        <v>338</v>
      </c>
      <c r="J24" t="s" s="0">
        <v>338</v>
      </c>
      <c r="K24" t="s" s="0">
        <v>338</v>
      </c>
    </row>
    <row r="25" spans="1:11" x14ac:dyDescent="0.3">
      <c r="A25" t="s" s="0">
        <v>788</v>
      </c>
      <c r="B25" s="159" t="s">
        <v>789</v>
      </c>
      <c r="C25" s="159" t="s">
        <v>790</v>
      </c>
      <c r="D25" t="s" s="0">
        <v>338</v>
      </c>
      <c r="E25" t="s" s="0">
        <v>338</v>
      </c>
      <c r="F25" t="s" s="0">
        <v>338</v>
      </c>
      <c r="G25" t="s" s="0">
        <v>338</v>
      </c>
      <c r="H25" t="s" s="0">
        <v>338</v>
      </c>
      <c r="I25" t="s" s="0">
        <v>338</v>
      </c>
      <c r="J25" t="s" s="0">
        <v>338</v>
      </c>
      <c r="K25" t="s" s="0">
        <v>338</v>
      </c>
    </row>
    <row r="26" spans="1:11" x14ac:dyDescent="0.3">
      <c r="A26" t="s" s="0">
        <v>791</v>
      </c>
      <c r="B26" s="159" t="s">
        <v>792</v>
      </c>
      <c r="C26" s="159" t="s">
        <v>793</v>
      </c>
      <c r="D26" t="s" s="0">
        <v>338</v>
      </c>
      <c r="E26" t="s" s="0">
        <v>338</v>
      </c>
      <c r="F26" t="s" s="0">
        <v>338</v>
      </c>
      <c r="G26" t="s" s="0">
        <v>338</v>
      </c>
      <c r="H26" t="s" s="0">
        <v>338</v>
      </c>
      <c r="I26" t="s" s="0">
        <v>338</v>
      </c>
      <c r="J26" t="s" s="0">
        <v>338</v>
      </c>
      <c r="K26" t="s" s="0">
        <v>338</v>
      </c>
    </row>
    <row r="27" spans="1:11" x14ac:dyDescent="0.3">
      <c r="A27" t="s" s="0">
        <v>794</v>
      </c>
      <c r="B27" s="159" t="s">
        <v>792</v>
      </c>
      <c r="C27" s="159" t="s">
        <v>793</v>
      </c>
      <c r="D27" t="s" s="0">
        <v>338</v>
      </c>
      <c r="E27" t="s" s="0">
        <v>338</v>
      </c>
      <c r="F27" t="s" s="0">
        <v>338</v>
      </c>
      <c r="G27" t="s" s="0">
        <v>338</v>
      </c>
      <c r="H27" t="s" s="0">
        <v>338</v>
      </c>
      <c r="I27" t="s" s="0">
        <v>338</v>
      </c>
      <c r="J27" t="s" s="0">
        <v>338</v>
      </c>
      <c r="K27" t="s" s="0">
        <v>338</v>
      </c>
    </row>
    <row r="28" spans="1:11" x14ac:dyDescent="0.3">
      <c r="A28" t="s" s="0">
        <v>201</v>
      </c>
      <c r="B28" s="159" t="s">
        <v>795</v>
      </c>
      <c r="C28" s="159" t="s">
        <v>796</v>
      </c>
      <c r="D28" s="159" t="s">
        <v>797</v>
      </c>
      <c r="E28" s="159" t="s">
        <v>798</v>
      </c>
      <c r="F28" s="159" t="s">
        <v>799</v>
      </c>
      <c r="G28" s="159" t="s">
        <v>800</v>
      </c>
      <c r="H28" s="159" t="s">
        <v>801</v>
      </c>
      <c r="I28" s="159" t="s">
        <v>802</v>
      </c>
      <c r="J28" s="159" t="s">
        <v>803</v>
      </c>
      <c r="K28" s="159" t="s">
        <v>804</v>
      </c>
    </row>
    <row r="29" spans="1:11" x14ac:dyDescent="0.3">
      <c r="A29" t="s" s="0">
        <v>805</v>
      </c>
      <c r="B29" s="159" t="s">
        <v>806</v>
      </c>
      <c r="C29" s="159" t="s">
        <v>807</v>
      </c>
      <c r="D29" s="159" t="s">
        <v>808</v>
      </c>
      <c r="E29" s="159" t="s">
        <v>809</v>
      </c>
      <c r="F29" s="159" t="s">
        <v>810</v>
      </c>
      <c r="G29" s="159" t="s">
        <v>811</v>
      </c>
      <c r="H29" s="159" t="s">
        <v>812</v>
      </c>
      <c r="I29" s="159" t="s">
        <v>813</v>
      </c>
      <c r="J29" s="159" t="s">
        <v>814</v>
      </c>
      <c r="K29" s="159" t="s">
        <v>815</v>
      </c>
    </row>
    <row r="30" spans="1:11" x14ac:dyDescent="0.3">
      <c r="A30" t="s" s="0">
        <v>816</v>
      </c>
      <c r="B30" s="159" t="s">
        <v>817</v>
      </c>
      <c r="C30" s="159" t="s">
        <v>818</v>
      </c>
      <c r="D30" s="159" t="s">
        <v>819</v>
      </c>
      <c r="E30" s="159" t="s">
        <v>820</v>
      </c>
      <c r="F30" s="159" t="s">
        <v>821</v>
      </c>
      <c r="G30" s="159" t="s">
        <v>822</v>
      </c>
      <c r="H30" s="159" t="s">
        <v>823</v>
      </c>
      <c r="I30" s="159" t="s">
        <v>824</v>
      </c>
      <c r="J30" s="159" t="s">
        <v>825</v>
      </c>
      <c r="K30" s="159" t="s">
        <v>826</v>
      </c>
    </row>
    <row r="31" spans="1:11" x14ac:dyDescent="0.3">
      <c r="A31" t="s" s="0">
        <v>827</v>
      </c>
      <c r="B31" s="159" t="s">
        <v>817</v>
      </c>
      <c r="C31" s="159" t="s">
        <v>818</v>
      </c>
      <c r="D31" s="159" t="s">
        <v>819</v>
      </c>
      <c r="E31" s="159" t="s">
        <v>820</v>
      </c>
      <c r="F31" s="159" t="s">
        <v>821</v>
      </c>
      <c r="G31" s="159" t="s">
        <v>822</v>
      </c>
      <c r="H31" s="159" t="s">
        <v>823</v>
      </c>
      <c r="I31" s="159" t="s">
        <v>824</v>
      </c>
      <c r="J31" s="159" t="s">
        <v>825</v>
      </c>
      <c r="K31" s="159" t="s">
        <v>826</v>
      </c>
    </row>
    <row r="32" spans="1:11" x14ac:dyDescent="0.3">
      <c r="A32" t="s" s="0">
        <v>828</v>
      </c>
      <c r="B32" s="159" t="s">
        <v>829</v>
      </c>
      <c r="C32" s="159" t="s">
        <v>830</v>
      </c>
      <c r="D32" s="159" t="s">
        <v>831</v>
      </c>
      <c r="E32" s="159" t="s">
        <v>832</v>
      </c>
      <c r="F32" s="159" t="s">
        <v>833</v>
      </c>
      <c r="G32" s="159" t="s">
        <v>834</v>
      </c>
      <c r="H32" s="159" t="s">
        <v>835</v>
      </c>
      <c r="I32" s="159" t="s">
        <v>836</v>
      </c>
      <c r="J32" s="159" t="s">
        <v>837</v>
      </c>
      <c r="K32" s="159" t="s">
        <v>838</v>
      </c>
    </row>
    <row r="33" spans="1:11" x14ac:dyDescent="0.3">
      <c r="A33" t="s" s="0">
        <v>839</v>
      </c>
      <c r="B33" t="s" s="0">
        <v>338</v>
      </c>
      <c r="C33" t="s" s="0">
        <v>338</v>
      </c>
      <c r="D33" s="159" t="s">
        <v>840</v>
      </c>
      <c r="E33" s="159" t="s">
        <v>841</v>
      </c>
      <c r="F33" s="159" t="s">
        <v>842</v>
      </c>
      <c r="G33" s="159" t="s">
        <v>843</v>
      </c>
      <c r="H33" s="159" t="s">
        <v>844</v>
      </c>
      <c r="I33" s="159" t="s">
        <v>845</v>
      </c>
      <c r="J33" s="159" t="s">
        <v>846</v>
      </c>
      <c r="K33" s="159" t="s">
        <v>847</v>
      </c>
    </row>
    <row r="34" spans="1:11" x14ac:dyDescent="0.3">
      <c r="A34" t="s" s="0">
        <v>848</v>
      </c>
      <c r="B34" s="159" t="s">
        <v>849</v>
      </c>
      <c r="C34" s="159" t="s">
        <v>850</v>
      </c>
      <c r="D34" s="159" t="s">
        <v>851</v>
      </c>
      <c r="E34" s="159" t="s">
        <v>852</v>
      </c>
      <c r="F34" s="159" t="s">
        <v>853</v>
      </c>
      <c r="G34" s="159" t="s">
        <v>854</v>
      </c>
      <c r="H34" s="159" t="s">
        <v>855</v>
      </c>
      <c r="I34" s="159" t="s">
        <v>856</v>
      </c>
      <c r="J34" s="159" t="s">
        <v>857</v>
      </c>
      <c r="K34" s="159" t="s">
        <v>858</v>
      </c>
    </row>
    <row r="35" spans="1:11" x14ac:dyDescent="0.3">
      <c r="A35" t="s" s="0">
        <v>859</v>
      </c>
      <c r="B35" s="159" t="s">
        <v>860</v>
      </c>
      <c r="C35" s="159" t="s">
        <v>861</v>
      </c>
      <c r="D35" s="159" t="s">
        <v>862</v>
      </c>
      <c r="E35" s="159" t="s">
        <v>862</v>
      </c>
      <c r="F35" s="159" t="s">
        <v>863</v>
      </c>
      <c r="G35" s="159" t="s">
        <v>864</v>
      </c>
      <c r="H35" s="159" t="s">
        <v>865</v>
      </c>
      <c r="I35" s="159" t="s">
        <v>866</v>
      </c>
      <c r="J35" s="159" t="s">
        <v>867</v>
      </c>
      <c r="K35" s="159" t="s">
        <v>868</v>
      </c>
    </row>
    <row r="36" spans="1:11" x14ac:dyDescent="0.3">
      <c r="A36" t="s" s="0">
        <v>869</v>
      </c>
      <c r="B36" s="159" t="s">
        <v>870</v>
      </c>
      <c r="C36" s="159" t="s">
        <v>871</v>
      </c>
      <c r="D36" s="159" t="s">
        <v>872</v>
      </c>
      <c r="E36" s="159" t="s">
        <v>873</v>
      </c>
      <c r="F36" s="159" t="s">
        <v>874</v>
      </c>
      <c r="G36" s="159" t="s">
        <v>875</v>
      </c>
      <c r="H36" s="159" t="s">
        <v>876</v>
      </c>
      <c r="I36" s="159" t="s">
        <v>877</v>
      </c>
      <c r="J36" s="159" t="s">
        <v>878</v>
      </c>
      <c r="K36" s="159" t="s">
        <v>879</v>
      </c>
    </row>
    <row r="37" spans="1:11" x14ac:dyDescent="0.3">
      <c r="A37" t="s" s="0">
        <v>880</v>
      </c>
      <c r="B37" s="159" t="s">
        <v>870</v>
      </c>
      <c r="C37" s="159" t="s">
        <v>871</v>
      </c>
      <c r="D37" s="159" t="s">
        <v>872</v>
      </c>
      <c r="E37" s="159" t="s">
        <v>873</v>
      </c>
      <c r="F37" s="159" t="s">
        <v>874</v>
      </c>
      <c r="G37" s="159" t="s">
        <v>875</v>
      </c>
      <c r="H37" s="159" t="s">
        <v>876</v>
      </c>
      <c r="I37" s="159" t="s">
        <v>877</v>
      </c>
      <c r="J37" s="159" t="s">
        <v>878</v>
      </c>
      <c r="K37" s="159" t="s">
        <v>879</v>
      </c>
    </row>
    <row r="38" spans="1:11" x14ac:dyDescent="0.3">
      <c r="A38" t="s" s="0">
        <v>881</v>
      </c>
      <c r="B38" s="159" t="s">
        <v>870</v>
      </c>
      <c r="C38" s="159" t="s">
        <v>882</v>
      </c>
      <c r="D38" s="159" t="s">
        <v>883</v>
      </c>
      <c r="E38" s="159" t="s">
        <v>524</v>
      </c>
      <c r="F38" s="159" t="s">
        <v>884</v>
      </c>
      <c r="G38" s="159" t="s">
        <v>885</v>
      </c>
      <c r="H38" s="159" t="s">
        <v>886</v>
      </c>
      <c r="I38" s="159" t="s">
        <v>887</v>
      </c>
      <c r="J38" s="159" t="s">
        <v>888</v>
      </c>
      <c r="K38" s="159" t="s">
        <v>889</v>
      </c>
    </row>
    <row r="39" spans="1:11" x14ac:dyDescent="0.3">
      <c r="A39" t="s" s="0">
        <v>890</v>
      </c>
      <c r="B39" t="s" s="0">
        <v>338</v>
      </c>
      <c r="C39" t="s" s="0">
        <v>338</v>
      </c>
      <c r="D39" s="159" t="s">
        <v>891</v>
      </c>
      <c r="E39" s="159" t="s">
        <v>892</v>
      </c>
      <c r="F39" s="159" t="s">
        <v>893</v>
      </c>
      <c r="G39" s="159" t="s">
        <v>894</v>
      </c>
      <c r="H39" s="159" t="s">
        <v>895</v>
      </c>
      <c r="I39" s="159" t="s">
        <v>896</v>
      </c>
      <c r="J39" s="159" t="s">
        <v>897</v>
      </c>
      <c r="K39" s="159" t="s">
        <v>898</v>
      </c>
    </row>
    <row r="40" spans="1:11" x14ac:dyDescent="0.3">
      <c r="A40" t="s" s="0">
        <v>899</v>
      </c>
      <c r="B40" t="s" s="0">
        <v>338</v>
      </c>
      <c r="C40" s="159" t="s">
        <v>900</v>
      </c>
      <c r="D40" s="159" t="s">
        <v>901</v>
      </c>
      <c r="E40" s="159" t="s">
        <v>902</v>
      </c>
      <c r="F40" s="159" t="s">
        <v>903</v>
      </c>
      <c r="G40" s="159" t="s">
        <v>904</v>
      </c>
      <c r="H40" s="159" t="s">
        <v>905</v>
      </c>
      <c r="I40" s="159" t="s">
        <v>906</v>
      </c>
      <c r="J40" s="159" t="s">
        <v>907</v>
      </c>
      <c r="K40" s="159" t="s">
        <v>908</v>
      </c>
    </row>
    <row r="41" spans="1:11" x14ac:dyDescent="0.3">
      <c r="A41" t="s" s="0">
        <v>909</v>
      </c>
      <c r="B41" t="s" s="0">
        <v>338</v>
      </c>
      <c r="C41" t="s" s="0">
        <v>338</v>
      </c>
      <c r="D41" s="159" t="s">
        <v>626</v>
      </c>
      <c r="E41" s="159" t="s">
        <v>910</v>
      </c>
      <c r="F41" t="s" s="0">
        <v>338</v>
      </c>
      <c r="G41" t="s" s="0">
        <v>338</v>
      </c>
      <c r="H41" t="s" s="0">
        <v>338</v>
      </c>
      <c r="I41" t="s" s="0">
        <v>338</v>
      </c>
      <c r="J41" t="s" s="0">
        <v>338</v>
      </c>
      <c r="K41" t="s" s="0">
        <v>338</v>
      </c>
    </row>
    <row r="42" spans="1:11" x14ac:dyDescent="0.3">
      <c r="A42" t="s" s="0">
        <v>911</v>
      </c>
      <c r="B42" s="159" t="s">
        <v>870</v>
      </c>
      <c r="C42" s="159" t="s">
        <v>912</v>
      </c>
      <c r="D42" t="s" s="0">
        <v>338</v>
      </c>
      <c r="E42" t="s" s="0">
        <v>338</v>
      </c>
      <c r="F42" t="s" s="0">
        <v>338</v>
      </c>
      <c r="G42" t="s" s="0">
        <v>338</v>
      </c>
      <c r="H42" t="s" s="0">
        <v>338</v>
      </c>
      <c r="I42" t="s" s="0">
        <v>338</v>
      </c>
      <c r="J42" t="s" s="0">
        <v>338</v>
      </c>
      <c r="K42" t="s" s="0">
        <v>338</v>
      </c>
    </row>
    <row r="43" spans="1:11" x14ac:dyDescent="0.3">
      <c r="A43" t="s" s="0">
        <v>913</v>
      </c>
      <c r="B43" t="s" s="0">
        <v>338</v>
      </c>
      <c r="C43" s="159" t="s">
        <v>914</v>
      </c>
      <c r="D43" s="159" t="s">
        <v>915</v>
      </c>
      <c r="E43" s="159" t="s">
        <v>916</v>
      </c>
      <c r="F43" s="159" t="s">
        <v>917</v>
      </c>
      <c r="G43" s="159" t="s">
        <v>918</v>
      </c>
      <c r="H43" s="159" t="s">
        <v>919</v>
      </c>
      <c r="I43" s="159" t="s">
        <v>920</v>
      </c>
      <c r="J43" s="159" t="s">
        <v>921</v>
      </c>
      <c r="K43" s="159" t="s">
        <v>922</v>
      </c>
    </row>
    <row r="44" spans="1:11" x14ac:dyDescent="0.3">
      <c r="A44" t="s" s="0">
        <v>923</v>
      </c>
      <c r="B44" t="s" s="0">
        <v>338</v>
      </c>
      <c r="C44" s="159" t="s">
        <v>914</v>
      </c>
      <c r="D44" t="s" s="0">
        <v>338</v>
      </c>
      <c r="E44" t="s" s="0">
        <v>338</v>
      </c>
      <c r="F44" t="s" s="0">
        <v>338</v>
      </c>
      <c r="G44" t="s" s="0">
        <v>338</v>
      </c>
      <c r="H44" t="s" s="0">
        <v>338</v>
      </c>
      <c r="I44" t="s" s="0">
        <v>338</v>
      </c>
      <c r="J44" t="s" s="0">
        <v>338</v>
      </c>
      <c r="K44" t="s" s="0">
        <v>338</v>
      </c>
    </row>
    <row r="45" spans="1:11" x14ac:dyDescent="0.3">
      <c r="A45" t="s" s="0">
        <v>924</v>
      </c>
      <c r="B45" t="s" s="0">
        <v>338</v>
      </c>
      <c r="C45" s="159" t="s">
        <v>925</v>
      </c>
      <c r="D45" t="s" s="0">
        <v>338</v>
      </c>
      <c r="E45" t="s" s="0">
        <v>338</v>
      </c>
      <c r="F45" t="s" s="0">
        <v>338</v>
      </c>
      <c r="G45" t="s" s="0">
        <v>338</v>
      </c>
      <c r="H45" t="s" s="0">
        <v>338</v>
      </c>
      <c r="I45" t="s" s="0">
        <v>338</v>
      </c>
      <c r="J45" t="s" s="0">
        <v>338</v>
      </c>
      <c r="K45" t="s" s="0">
        <v>338</v>
      </c>
    </row>
    <row r="46" spans="1:11" x14ac:dyDescent="0.3">
      <c r="A46" t="s" s="0">
        <v>926</v>
      </c>
      <c r="B46" t="s" s="0">
        <v>338</v>
      </c>
      <c r="C46" s="159" t="s">
        <v>927</v>
      </c>
      <c r="D46" t="s" s="0">
        <v>338</v>
      </c>
      <c r="E46" t="s" s="0">
        <v>338</v>
      </c>
      <c r="F46" t="s" s="0">
        <v>338</v>
      </c>
      <c r="G46" t="s" s="0">
        <v>338</v>
      </c>
      <c r="H46" t="s" s="0">
        <v>338</v>
      </c>
      <c r="I46" t="s" s="0">
        <v>338</v>
      </c>
      <c r="J46" t="s" s="0">
        <v>338</v>
      </c>
      <c r="K46" t="s" s="0">
        <v>338</v>
      </c>
    </row>
    <row r="47" spans="1:11" x14ac:dyDescent="0.3">
      <c r="A47" t="s" s="0">
        <v>928</v>
      </c>
      <c r="B47" s="159" t="s">
        <v>929</v>
      </c>
      <c r="C47" s="159" t="s">
        <v>930</v>
      </c>
      <c r="D47" s="159" t="s">
        <v>931</v>
      </c>
      <c r="E47" s="159" t="s">
        <v>932</v>
      </c>
      <c r="F47" s="159" t="s">
        <v>933</v>
      </c>
      <c r="G47" s="159" t="s">
        <v>934</v>
      </c>
      <c r="H47" s="159" t="s">
        <v>935</v>
      </c>
      <c r="I47" s="159" t="s">
        <v>936</v>
      </c>
      <c r="J47" s="159" t="s">
        <v>937</v>
      </c>
      <c r="K47" s="159" t="s">
        <v>938</v>
      </c>
    </row>
    <row r="48" spans="1:11" x14ac:dyDescent="0.3">
      <c r="A48" t="s" s="0">
        <v>939</v>
      </c>
      <c r="B48" s="159" t="s">
        <v>940</v>
      </c>
      <c r="C48" s="159" t="s">
        <v>941</v>
      </c>
      <c r="D48" s="159" t="s">
        <v>942</v>
      </c>
      <c r="E48" s="159" t="s">
        <v>943</v>
      </c>
      <c r="F48" s="159" t="s">
        <v>944</v>
      </c>
      <c r="G48" s="159" t="s">
        <v>945</v>
      </c>
      <c r="H48" s="159" t="s">
        <v>946</v>
      </c>
      <c r="I48" s="159" t="s">
        <v>947</v>
      </c>
      <c r="J48" s="159" t="s">
        <v>948</v>
      </c>
      <c r="K48" s="159" t="s">
        <v>949</v>
      </c>
    </row>
    <row r="49" spans="1:11" x14ac:dyDescent="0.3">
      <c r="A49" t="s" s="0">
        <v>950</v>
      </c>
      <c r="B49" s="159" t="s">
        <v>940</v>
      </c>
      <c r="C49" s="159" t="s">
        <v>941</v>
      </c>
      <c r="D49" s="159" t="s">
        <v>942</v>
      </c>
      <c r="E49" s="159" t="s">
        <v>943</v>
      </c>
      <c r="F49" s="159" t="s">
        <v>944</v>
      </c>
      <c r="G49" s="159" t="s">
        <v>945</v>
      </c>
      <c r="H49" s="159" t="s">
        <v>946</v>
      </c>
      <c r="I49" s="159" t="s">
        <v>947</v>
      </c>
      <c r="J49" s="159" t="s">
        <v>948</v>
      </c>
      <c r="K49" s="159" t="s">
        <v>949</v>
      </c>
    </row>
    <row r="50" spans="1:11" x14ac:dyDescent="0.3">
      <c r="A50" t="s" s="0">
        <v>951</v>
      </c>
      <c r="B50" s="159" t="s">
        <v>940</v>
      </c>
      <c r="C50" s="159" t="s">
        <v>941</v>
      </c>
      <c r="D50" s="159" t="s">
        <v>952</v>
      </c>
      <c r="E50" s="159" t="s">
        <v>953</v>
      </c>
      <c r="F50" s="159" t="s">
        <v>954</v>
      </c>
      <c r="G50" s="159" t="s">
        <v>955</v>
      </c>
      <c r="H50" s="159" t="s">
        <v>956</v>
      </c>
      <c r="I50" s="159" t="s">
        <v>957</v>
      </c>
      <c r="J50" s="159" t="s">
        <v>958</v>
      </c>
      <c r="K50" s="159" t="s">
        <v>959</v>
      </c>
    </row>
    <row r="51" spans="1:11" x14ac:dyDescent="0.3">
      <c r="A51" t="s" s="0">
        <v>960</v>
      </c>
      <c r="B51" t="s" s="0">
        <v>338</v>
      </c>
      <c r="C51" t="s" s="0">
        <v>338</v>
      </c>
      <c r="D51" s="159" t="s">
        <v>961</v>
      </c>
      <c r="E51" s="159" t="s">
        <v>962</v>
      </c>
      <c r="F51" s="159" t="s">
        <v>963</v>
      </c>
      <c r="G51" s="159" t="s">
        <v>964</v>
      </c>
      <c r="H51" s="159" t="s">
        <v>965</v>
      </c>
      <c r="I51" s="159" t="s">
        <v>966</v>
      </c>
      <c r="J51" s="159" t="s">
        <v>967</v>
      </c>
      <c r="K51" s="159" t="s">
        <v>968</v>
      </c>
    </row>
    <row r="52" spans="1:11" x14ac:dyDescent="0.3">
      <c r="A52" t="s" s="0">
        <v>969</v>
      </c>
      <c r="B52" t="s" s="0">
        <v>338</v>
      </c>
      <c r="C52" t="s" s="0">
        <v>338</v>
      </c>
      <c r="D52" s="159" t="s">
        <v>970</v>
      </c>
      <c r="E52" s="159" t="s">
        <v>971</v>
      </c>
      <c r="F52" s="159" t="s">
        <v>972</v>
      </c>
      <c r="G52" s="159" t="s">
        <v>973</v>
      </c>
      <c r="H52" s="159" t="s">
        <v>974</v>
      </c>
      <c r="I52" s="159" t="s">
        <v>975</v>
      </c>
      <c r="J52" s="159" t="s">
        <v>976</v>
      </c>
      <c r="K52" s="159" t="s">
        <v>977</v>
      </c>
    </row>
    <row r="53" spans="1:11" x14ac:dyDescent="0.3">
      <c r="A53" t="s" s="0">
        <v>978</v>
      </c>
      <c r="B53" t="s" s="0">
        <v>338</v>
      </c>
      <c r="C53" t="s" s="0">
        <v>338</v>
      </c>
      <c r="D53" s="159" t="s">
        <v>979</v>
      </c>
      <c r="E53" s="159" t="s">
        <v>980</v>
      </c>
      <c r="F53" s="159" t="s">
        <v>980</v>
      </c>
      <c r="G53" s="159" t="s">
        <v>981</v>
      </c>
      <c r="H53" s="159" t="s">
        <v>982</v>
      </c>
      <c r="I53" s="159" t="s">
        <v>983</v>
      </c>
      <c r="J53" s="159" t="s">
        <v>984</v>
      </c>
      <c r="K53" s="159" t="s">
        <v>985</v>
      </c>
    </row>
    <row r="54" spans="1:11" x14ac:dyDescent="0.3">
      <c r="A54" t="s" s="0">
        <v>986</v>
      </c>
      <c r="B54" s="159" t="s">
        <v>987</v>
      </c>
      <c r="C54" s="159" t="s">
        <v>988</v>
      </c>
      <c r="D54" s="159" t="s">
        <v>989</v>
      </c>
      <c r="E54" s="159" t="s">
        <v>990</v>
      </c>
      <c r="F54" s="159" t="s">
        <v>991</v>
      </c>
      <c r="G54" s="159" t="s">
        <v>992</v>
      </c>
      <c r="H54" s="159" t="s">
        <v>993</v>
      </c>
      <c r="I54" s="159" t="s">
        <v>994</v>
      </c>
      <c r="J54" s="159" t="s">
        <v>995</v>
      </c>
      <c r="K54" s="159" t="s">
        <v>996</v>
      </c>
    </row>
    <row r="55" spans="1:11" x14ac:dyDescent="0.3">
      <c r="A55" t="s" s="0">
        <v>997</v>
      </c>
      <c r="B55" s="159" t="s">
        <v>987</v>
      </c>
      <c r="C55" s="159" t="s">
        <v>988</v>
      </c>
      <c r="D55" s="159" t="s">
        <v>989</v>
      </c>
      <c r="E55" s="159" t="s">
        <v>990</v>
      </c>
      <c r="F55" s="159" t="s">
        <v>991</v>
      </c>
      <c r="G55" s="159" t="s">
        <v>992</v>
      </c>
      <c r="H55" s="159" t="s">
        <v>993</v>
      </c>
      <c r="I55" s="159" t="s">
        <v>994</v>
      </c>
      <c r="J55" s="159" t="s">
        <v>995</v>
      </c>
      <c r="K55" s="159" t="s">
        <v>996</v>
      </c>
    </row>
    <row r="56" spans="1:11" x14ac:dyDescent="0.3">
      <c r="A56" t="s" s="0">
        <v>998</v>
      </c>
      <c r="B56" s="159" t="s">
        <v>987</v>
      </c>
      <c r="C56" s="159" t="s">
        <v>988</v>
      </c>
      <c r="D56" s="159" t="s">
        <v>989</v>
      </c>
      <c r="E56" s="159" t="s">
        <v>990</v>
      </c>
      <c r="F56" s="159" t="s">
        <v>991</v>
      </c>
      <c r="G56" s="159" t="s">
        <v>992</v>
      </c>
      <c r="H56" s="159" t="s">
        <v>993</v>
      </c>
      <c r="I56" s="159" t="s">
        <v>994</v>
      </c>
      <c r="J56" s="159" t="s">
        <v>995</v>
      </c>
      <c r="K56" s="159" t="s">
        <v>996</v>
      </c>
    </row>
    <row r="57" spans="1:11" x14ac:dyDescent="0.3">
      <c r="A57" t="s" s="0">
        <v>999</v>
      </c>
      <c r="B57" s="159" t="s">
        <v>1000</v>
      </c>
      <c r="C57" s="159" t="s">
        <v>1001</v>
      </c>
      <c r="D57" s="159" t="s">
        <v>1002</v>
      </c>
      <c r="E57" s="159" t="s">
        <v>1003</v>
      </c>
      <c r="F57" s="159" t="s">
        <v>1004</v>
      </c>
      <c r="G57" s="159" t="s">
        <v>1005</v>
      </c>
      <c r="H57" s="159" t="s">
        <v>1006</v>
      </c>
      <c r="I57" s="159" t="s">
        <v>1007</v>
      </c>
      <c r="J57" s="159" t="s">
        <v>1008</v>
      </c>
      <c r="K57" s="159" t="s">
        <v>1009</v>
      </c>
    </row>
    <row r="58" spans="1:11" x14ac:dyDescent="0.3">
      <c r="A58" t="s" s="0">
        <v>1010</v>
      </c>
      <c r="B58" s="159" t="s">
        <v>1000</v>
      </c>
      <c r="C58" s="159" t="s">
        <v>1001</v>
      </c>
      <c r="D58" s="159" t="s">
        <v>1002</v>
      </c>
      <c r="E58" s="159" t="s">
        <v>1003</v>
      </c>
      <c r="F58" s="159" t="s">
        <v>1004</v>
      </c>
      <c r="G58" s="159" t="s">
        <v>1005</v>
      </c>
      <c r="H58" s="159" t="s">
        <v>1006</v>
      </c>
      <c r="I58" s="159" t="s">
        <v>1007</v>
      </c>
      <c r="J58" s="159" t="s">
        <v>1008</v>
      </c>
      <c r="K58" s="159" t="s">
        <v>1009</v>
      </c>
    </row>
    <row r="59" spans="1:11" x14ac:dyDescent="0.3">
      <c r="A59" t="s" s="0">
        <v>1011</v>
      </c>
      <c r="B59" t="s" s="0">
        <v>338</v>
      </c>
      <c r="C59" t="s" s="0">
        <v>338</v>
      </c>
      <c r="D59" s="159" t="s">
        <v>1012</v>
      </c>
      <c r="E59" s="159" t="s">
        <v>1013</v>
      </c>
      <c r="F59" s="159" t="s">
        <v>1014</v>
      </c>
      <c r="G59" s="159" t="s">
        <v>1015</v>
      </c>
      <c r="H59" s="159" t="s">
        <v>1016</v>
      </c>
      <c r="I59" s="159" t="s">
        <v>1017</v>
      </c>
      <c r="J59" s="159" t="s">
        <v>1018</v>
      </c>
      <c r="K59" s="159" t="s">
        <v>1019</v>
      </c>
    </row>
    <row r="60" spans="1:11" x14ac:dyDescent="0.3">
      <c r="A60" t="s" s="0">
        <v>1020</v>
      </c>
      <c r="B60" t="s" s="0">
        <v>338</v>
      </c>
      <c r="C60" t="s" s="0">
        <v>338</v>
      </c>
      <c r="D60" s="159" t="s">
        <v>1012</v>
      </c>
      <c r="E60" s="159" t="s">
        <v>1013</v>
      </c>
      <c r="F60" s="159" t="s">
        <v>1014</v>
      </c>
      <c r="G60" s="159" t="s">
        <v>1015</v>
      </c>
      <c r="H60" s="159" t="s">
        <v>1016</v>
      </c>
      <c r="I60" s="159" t="s">
        <v>1017</v>
      </c>
      <c r="J60" s="159" t="s">
        <v>1018</v>
      </c>
      <c r="K60" s="159" t="s">
        <v>1019</v>
      </c>
    </row>
    <row r="61" spans="1:11" x14ac:dyDescent="0.3">
      <c r="A61" t="s" s="0">
        <v>1021</v>
      </c>
      <c r="B61" t="s" s="0">
        <v>338</v>
      </c>
      <c r="C61" t="s" s="0">
        <v>338</v>
      </c>
      <c r="D61" s="159" t="s">
        <v>1012</v>
      </c>
      <c r="E61" s="159" t="s">
        <v>1013</v>
      </c>
      <c r="F61" s="159" t="s">
        <v>1014</v>
      </c>
      <c r="G61" s="159" t="s">
        <v>1015</v>
      </c>
      <c r="H61" s="159" t="s">
        <v>1016</v>
      </c>
      <c r="I61" s="159" t="s">
        <v>1017</v>
      </c>
      <c r="J61" s="159" t="s">
        <v>1018</v>
      </c>
      <c r="K61" s="159" t="s">
        <v>1019</v>
      </c>
    </row>
    <row r="62" spans="1:11" x14ac:dyDescent="0.3">
      <c r="A62" t="s" s="0">
        <v>1022</v>
      </c>
      <c r="B62" s="159" t="s">
        <v>1023</v>
      </c>
      <c r="C62" s="159" t="s">
        <v>1024</v>
      </c>
      <c r="D62" s="159" t="s">
        <v>1025</v>
      </c>
      <c r="E62" s="159" t="s">
        <v>1026</v>
      </c>
      <c r="F62" s="159" t="s">
        <v>1027</v>
      </c>
      <c r="G62" s="159" t="s">
        <v>1028</v>
      </c>
      <c r="H62" s="159" t="s">
        <v>1029</v>
      </c>
      <c r="I62" s="159" t="s">
        <v>1030</v>
      </c>
      <c r="J62" s="159" t="s">
        <v>1031</v>
      </c>
      <c r="K62" s="159" t="s">
        <v>1032</v>
      </c>
    </row>
    <row r="63" spans="1:11" x14ac:dyDescent="0.3">
      <c r="A63" t="s" s="0">
        <v>1033</v>
      </c>
      <c r="B63" s="159" t="s">
        <v>1034</v>
      </c>
      <c r="C63" s="159" t="s">
        <v>1035</v>
      </c>
      <c r="D63" s="159" t="s">
        <v>1036</v>
      </c>
      <c r="E63" s="159" t="s">
        <v>1037</v>
      </c>
      <c r="F63" s="159" t="s">
        <v>1038</v>
      </c>
      <c r="G63" s="159" t="s">
        <v>1039</v>
      </c>
      <c r="H63" s="159" t="s">
        <v>1040</v>
      </c>
      <c r="I63" s="159" t="s">
        <v>1041</v>
      </c>
      <c r="J63" s="159" t="s">
        <v>1042</v>
      </c>
      <c r="K63" s="159" t="s">
        <v>1043</v>
      </c>
    </row>
    <row r="64" spans="1:11" x14ac:dyDescent="0.3">
      <c r="A64" t="s" s="0">
        <v>1044</v>
      </c>
      <c r="B64" s="159" t="s">
        <v>1045</v>
      </c>
      <c r="C64" s="159" t="s">
        <v>1046</v>
      </c>
      <c r="D64" s="159" t="s">
        <v>1047</v>
      </c>
      <c r="E64" s="159" t="s">
        <v>1048</v>
      </c>
      <c r="F64" s="159" t="s">
        <v>1049</v>
      </c>
      <c r="G64" s="159" t="s">
        <v>1050</v>
      </c>
      <c r="H64" s="159" t="s">
        <v>1051</v>
      </c>
      <c r="I64" s="159" t="s">
        <v>1052</v>
      </c>
      <c r="J64" s="159" t="s">
        <v>1053</v>
      </c>
      <c r="K64" s="159" t="s">
        <v>1054</v>
      </c>
    </row>
    <row r="65" spans="1:11" x14ac:dyDescent="0.3">
      <c r="A65" t="s" s="0">
        <v>1055</v>
      </c>
      <c r="B65" s="159" t="s">
        <v>1056</v>
      </c>
      <c r="C65" s="159" t="s">
        <v>1057</v>
      </c>
      <c r="D65" s="159" t="s">
        <v>1058</v>
      </c>
      <c r="E65" s="159" t="s">
        <v>1059</v>
      </c>
      <c r="F65" s="159" t="s">
        <v>1060</v>
      </c>
      <c r="G65" s="159" t="s">
        <v>1061</v>
      </c>
      <c r="H65" s="159" t="s">
        <v>1062</v>
      </c>
      <c r="I65" s="159" t="s">
        <v>1063</v>
      </c>
      <c r="J65" s="159" t="s">
        <v>1064</v>
      </c>
      <c r="K65" s="159" t="s">
        <v>1065</v>
      </c>
    </row>
    <row r="66" spans="1:11" x14ac:dyDescent="0.3">
      <c r="A66" t="s" s="0">
        <v>1066</v>
      </c>
      <c r="B66" s="159" t="s">
        <v>1067</v>
      </c>
      <c r="C66" s="159" t="s">
        <v>1068</v>
      </c>
      <c r="D66" s="159" t="s">
        <v>1069</v>
      </c>
      <c r="E66" s="159" t="s">
        <v>1070</v>
      </c>
      <c r="F66" s="159" t="s">
        <v>1071</v>
      </c>
      <c r="G66" s="159" t="s">
        <v>1072</v>
      </c>
      <c r="H66" s="159" t="s">
        <v>1073</v>
      </c>
      <c r="I66" s="159" t="s">
        <v>1074</v>
      </c>
      <c r="J66" s="159" t="s">
        <v>1075</v>
      </c>
      <c r="K66" s="159" t="s">
        <v>1076</v>
      </c>
    </row>
    <row r="67" spans="1:11" x14ac:dyDescent="0.3">
      <c r="A67" t="s" s="0">
        <v>1077</v>
      </c>
      <c r="B67" s="159" t="s">
        <v>1067</v>
      </c>
      <c r="C67" s="159" t="s">
        <v>1068</v>
      </c>
      <c r="D67" s="159" t="s">
        <v>1069</v>
      </c>
      <c r="E67" s="159" t="s">
        <v>1070</v>
      </c>
      <c r="F67" s="159" t="s">
        <v>1071</v>
      </c>
      <c r="G67" s="159" t="s">
        <v>1072</v>
      </c>
      <c r="H67" s="159" t="s">
        <v>1073</v>
      </c>
      <c r="I67" s="159" t="s">
        <v>1074</v>
      </c>
      <c r="J67" s="159" t="s">
        <v>1075</v>
      </c>
      <c r="K67" s="159" t="s">
        <v>1076</v>
      </c>
    </row>
    <row r="68" spans="1:11" x14ac:dyDescent="0.3">
      <c r="A68" t="s" s="0">
        <v>1078</v>
      </c>
      <c r="B68" s="159" t="s">
        <v>1067</v>
      </c>
      <c r="C68" s="159" t="s">
        <v>1068</v>
      </c>
      <c r="D68" t="s" s="0">
        <v>338</v>
      </c>
      <c r="E68" t="s" s="0">
        <v>338</v>
      </c>
      <c r="F68" t="s" s="0">
        <v>338</v>
      </c>
      <c r="G68" t="s" s="0">
        <v>338</v>
      </c>
      <c r="H68" t="s" s="0">
        <v>338</v>
      </c>
      <c r="I68" t="s" s="0">
        <v>338</v>
      </c>
      <c r="J68" t="s" s="0">
        <v>338</v>
      </c>
      <c r="K68" t="s" s="0">
        <v>338</v>
      </c>
    </row>
    <row r="69" spans="1:11" x14ac:dyDescent="0.3">
      <c r="A69" t="s" s="0">
        <v>1079</v>
      </c>
      <c r="B69" s="159" t="s">
        <v>1080</v>
      </c>
      <c r="C69" s="159" t="s">
        <v>1081</v>
      </c>
      <c r="D69" s="159" t="s">
        <v>1082</v>
      </c>
      <c r="E69" s="159" t="s">
        <v>1083</v>
      </c>
      <c r="F69" s="159" t="s">
        <v>1084</v>
      </c>
      <c r="G69" s="159" t="s">
        <v>1085</v>
      </c>
      <c r="H69" s="159" t="s">
        <v>1086</v>
      </c>
      <c r="I69" s="159" t="s">
        <v>1087</v>
      </c>
      <c r="J69" s="159" t="s">
        <v>1088</v>
      </c>
      <c r="K69" s="159" t="s">
        <v>1089</v>
      </c>
    </row>
    <row r="70" spans="1:11" x14ac:dyDescent="0.3">
      <c r="A70" t="s" s="0">
        <v>1090</v>
      </c>
      <c r="B70" s="159" t="s">
        <v>1091</v>
      </c>
      <c r="C70" s="159" t="s">
        <v>1092</v>
      </c>
      <c r="D70" s="159" t="s">
        <v>1093</v>
      </c>
      <c r="E70" s="159" t="s">
        <v>1094</v>
      </c>
      <c r="F70" s="159" t="s">
        <v>1095</v>
      </c>
      <c r="G70" s="159" t="s">
        <v>1096</v>
      </c>
      <c r="H70" s="159" t="s">
        <v>1097</v>
      </c>
      <c r="I70" s="159" t="s">
        <v>1098</v>
      </c>
      <c r="J70" s="159" t="s">
        <v>1099</v>
      </c>
      <c r="K70" s="159" t="s">
        <v>1100</v>
      </c>
    </row>
    <row r="71" spans="1:11" x14ac:dyDescent="0.3">
      <c r="A71" t="s" s="0">
        <v>1101</v>
      </c>
      <c r="B71" s="159" t="s">
        <v>1102</v>
      </c>
      <c r="C71" s="159" t="s">
        <v>1103</v>
      </c>
      <c r="D71" s="159" t="s">
        <v>1104</v>
      </c>
      <c r="E71" s="159" t="s">
        <v>1105</v>
      </c>
      <c r="F71" s="159" t="s">
        <v>1106</v>
      </c>
      <c r="G71" s="159" t="s">
        <v>1107</v>
      </c>
      <c r="H71" s="159" t="s">
        <v>1108</v>
      </c>
      <c r="I71" s="159" t="s">
        <v>1109</v>
      </c>
      <c r="J71" s="159" t="s">
        <v>1110</v>
      </c>
      <c r="K71" s="159" t="s">
        <v>1111</v>
      </c>
    </row>
    <row r="72" spans="1:11" x14ac:dyDescent="0.3">
      <c r="A72" t="s" s="0">
        <v>1112</v>
      </c>
      <c r="B72" s="159" t="s">
        <v>1113</v>
      </c>
      <c r="C72" s="159" t="s">
        <v>1114</v>
      </c>
      <c r="D72" t="s" s="0">
        <v>338</v>
      </c>
      <c r="E72" t="s" s="0">
        <v>338</v>
      </c>
      <c r="F72" t="s" s="0">
        <v>338</v>
      </c>
      <c r="G72" t="s" s="0">
        <v>338</v>
      </c>
      <c r="H72" t="s" s="0">
        <v>338</v>
      </c>
      <c r="I72" t="s" s="0">
        <v>338</v>
      </c>
      <c r="J72" t="s" s="0">
        <v>338</v>
      </c>
      <c r="K72" t="s" s="0">
        <v>338</v>
      </c>
    </row>
    <row r="73" spans="1:11" x14ac:dyDescent="0.3">
      <c r="A73" t="s" s="0">
        <v>1115</v>
      </c>
      <c r="B73" s="159" t="s">
        <v>1116</v>
      </c>
      <c r="C73" s="159" t="s">
        <v>557</v>
      </c>
      <c r="D73" t="s" s="0">
        <v>338</v>
      </c>
      <c r="E73" t="s" s="0">
        <v>338</v>
      </c>
      <c r="F73" t="s" s="0">
        <v>338</v>
      </c>
      <c r="G73" t="s" s="0">
        <v>338</v>
      </c>
      <c r="H73" t="s" s="0">
        <v>338</v>
      </c>
      <c r="I73" t="s" s="0">
        <v>338</v>
      </c>
      <c r="J73" t="s" s="0">
        <v>338</v>
      </c>
      <c r="K73" t="s" s="0">
        <v>338</v>
      </c>
    </row>
    <row r="74" spans="1:11" x14ac:dyDescent="0.3">
      <c r="A74" t="s" s="0">
        <v>1117</v>
      </c>
      <c r="B74" s="159" t="s">
        <v>1118</v>
      </c>
      <c r="C74" s="159" t="s">
        <v>1119</v>
      </c>
      <c r="D74" t="s" s="0">
        <v>338</v>
      </c>
      <c r="E74" t="s" s="0">
        <v>338</v>
      </c>
      <c r="F74" t="s" s="0">
        <v>338</v>
      </c>
      <c r="G74" t="s" s="0">
        <v>338</v>
      </c>
      <c r="H74" t="s" s="0">
        <v>338</v>
      </c>
      <c r="I74" t="s" s="0">
        <v>338</v>
      </c>
      <c r="J74" t="s" s="0">
        <v>338</v>
      </c>
      <c r="K74" t="s" s="0">
        <v>338</v>
      </c>
    </row>
    <row r="75" spans="1:11" x14ac:dyDescent="0.3">
      <c r="A75" t="s" s="0">
        <v>1120</v>
      </c>
      <c r="B75" s="159" t="s">
        <v>1121</v>
      </c>
      <c r="C75" s="159" t="s">
        <v>1122</v>
      </c>
      <c r="D75" s="159" t="s">
        <v>1123</v>
      </c>
      <c r="E75" s="159" t="s">
        <v>1124</v>
      </c>
      <c r="F75" s="159" t="s">
        <v>1125</v>
      </c>
      <c r="G75" s="159" t="s">
        <v>1126</v>
      </c>
      <c r="H75" s="159" t="s">
        <v>1127</v>
      </c>
      <c r="I75" s="159" t="s">
        <v>1128</v>
      </c>
      <c r="J75" s="159" t="s">
        <v>1129</v>
      </c>
      <c r="K75" s="159" t="s">
        <v>1130</v>
      </c>
    </row>
    <row r="76" spans="1:11" x14ac:dyDescent="0.3">
      <c r="A76" t="s" s="0">
        <v>1131</v>
      </c>
      <c r="B76" s="159" t="s">
        <v>1132</v>
      </c>
      <c r="C76" s="159" t="s">
        <v>1133</v>
      </c>
      <c r="D76" s="159" t="s">
        <v>1133</v>
      </c>
      <c r="E76" s="159" t="s">
        <v>1133</v>
      </c>
      <c r="F76" s="159" t="s">
        <v>1133</v>
      </c>
      <c r="G76" s="159" t="s">
        <v>1133</v>
      </c>
      <c r="H76" s="159" t="s">
        <v>1133</v>
      </c>
      <c r="I76" s="159" t="s">
        <v>1133</v>
      </c>
      <c r="J76" s="159" t="s">
        <v>1133</v>
      </c>
      <c r="K76" s="159" t="s">
        <v>1133</v>
      </c>
    </row>
    <row r="77" spans="1:11" x14ac:dyDescent="0.3">
      <c r="A77" t="s" s="0">
        <v>1134</v>
      </c>
      <c r="B77" s="159" t="s">
        <v>1135</v>
      </c>
      <c r="C77" s="159" t="s">
        <v>1136</v>
      </c>
      <c r="D77" s="159" t="s">
        <v>1137</v>
      </c>
      <c r="E77" s="159" t="s">
        <v>1138</v>
      </c>
      <c r="F77" s="159" t="s">
        <v>1139</v>
      </c>
      <c r="G77" s="159" t="s">
        <v>1140</v>
      </c>
      <c r="H77" s="159" t="s">
        <v>1141</v>
      </c>
      <c r="I77" s="159" t="s">
        <v>1142</v>
      </c>
      <c r="J77" s="159" t="s">
        <v>1143</v>
      </c>
      <c r="K77" s="159" t="s">
        <v>1144</v>
      </c>
    </row>
    <row r="78" spans="1:11" x14ac:dyDescent="0.3">
      <c r="A78" t="s" s="0">
        <v>1145</v>
      </c>
      <c r="B78" s="159" t="s">
        <v>1146</v>
      </c>
      <c r="C78" s="159" t="s">
        <v>1147</v>
      </c>
      <c r="D78" s="159" t="s">
        <v>1148</v>
      </c>
      <c r="E78" s="159" t="s">
        <v>1149</v>
      </c>
      <c r="F78" s="159" t="s">
        <v>1150</v>
      </c>
      <c r="G78" s="159" t="s">
        <v>1151</v>
      </c>
      <c r="H78" s="159" t="s">
        <v>1152</v>
      </c>
      <c r="I78" s="159" t="s">
        <v>1153</v>
      </c>
      <c r="J78" s="159" t="s">
        <v>1154</v>
      </c>
      <c r="K78" s="159" t="s">
        <v>1155</v>
      </c>
    </row>
    <row r="79" spans="1:11" x14ac:dyDescent="0.3">
      <c r="A79" t="s" s="0">
        <v>588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20AF1D7-E0E8-469E-BC01-6EBA28FDB520}">
            <xm:f>$A1=Summary!$O$29</xm:f>
            <x14:dxf>
              <fill>
                <patternFill>
                  <bgColor rgb="FF92D050"/>
                </patternFill>
              </fill>
            </x14:dxf>
          </x14:cfRule>
          <x14:cfRule type="expression" priority="2" id="{AF0C7CF5-A266-476D-B91A-EFFCCBD0E33F}">
            <xm:f>$A1=Summary!$L$29</xm:f>
            <x14:dxf>
              <fill>
                <patternFill>
                  <bgColor rgb="FFFF0000"/>
                </patternFill>
              </fill>
            </x14:dxf>
          </x14:cfRule>
          <x14:cfRule type="expression" priority="3" id="{8E29635E-0A2E-4C60-BC59-6A15D4092231}">
            <xm:f>$A1=Summary!$J$29</xm:f>
            <x14:dxf>
              <fill>
                <patternFill>
                  <bgColor theme="5"/>
                </patternFill>
              </fill>
            </x14:dxf>
          </x14:cfRule>
          <x14:cfRule type="expression" priority="4" id="{20452287-BA70-4DE7-BBBF-9B65B4802B92}">
            <xm:f>$A1=Summary!$I$29</xm:f>
            <x14:dxf>
              <fill>
                <patternFill>
                  <bgColor rgb="FFFFFF0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showFormulas="1" topLeftCell="D45" workbookViewId="0">
      <selection activeCell="A51" sqref="A51"/>
    </sheetView>
  </sheetViews>
  <sheetFormatPr defaultRowHeight="14.4" x14ac:dyDescent="0.3"/>
  <cols>
    <col min="1" max="1" customWidth="true" width="51.0"/>
    <col min="2" max="12" customWidth="true" width="14.109375"/>
  </cols>
  <sheetData>
    <row r="1" spans="1:12" x14ac:dyDescent="0.3">
      <c r="A1" s="161" t="s">
        <v>1156</v>
      </c>
      <c r="B1" s="161" t="s">
        <v>298</v>
      </c>
      <c r="C1" s="161" t="s">
        <v>299</v>
      </c>
      <c r="D1" s="161" t="s">
        <v>300</v>
      </c>
      <c r="E1" s="161" t="s">
        <v>301</v>
      </c>
      <c r="F1" s="161" t="s">
        <v>302</v>
      </c>
      <c r="G1" s="161" t="s">
        <v>303</v>
      </c>
      <c r="H1" s="161" t="s">
        <v>304</v>
      </c>
      <c r="I1" s="161" t="s">
        <v>305</v>
      </c>
      <c r="J1" s="161" t="s">
        <v>306</v>
      </c>
      <c r="K1" s="161" t="s">
        <v>307</v>
      </c>
      <c r="L1" s="161" t="s">
        <v>1</v>
      </c>
    </row>
    <row r="2" spans="1:12" x14ac:dyDescent="0.3">
      <c r="A2" s="160" t="s">
        <v>1157</v>
      </c>
      <c r="B2" s="162" t="s">
        <v>1158</v>
      </c>
      <c r="C2" s="162" t="s">
        <v>1159</v>
      </c>
      <c r="D2" s="162" t="s">
        <v>1160</v>
      </c>
      <c r="E2" s="162" t="s">
        <v>1161</v>
      </c>
      <c r="F2" s="162" t="s">
        <v>1162</v>
      </c>
      <c r="G2" s="162" t="s">
        <v>1163</v>
      </c>
      <c r="H2" s="162" t="s">
        <v>1164</v>
      </c>
      <c r="I2" s="162" t="s">
        <v>1165</v>
      </c>
      <c r="J2" s="162" t="s">
        <v>1166</v>
      </c>
      <c r="K2" s="162" t="s">
        <v>1167</v>
      </c>
      <c r="L2" s="162" t="s">
        <v>1168</v>
      </c>
    </row>
    <row r="3" spans="1:12" x14ac:dyDescent="0.3">
      <c r="A3" s="160" t="s">
        <v>1169</v>
      </c>
      <c r="B3" s="162" t="s">
        <v>1158</v>
      </c>
      <c r="C3" s="162" t="s">
        <v>1159</v>
      </c>
      <c r="D3" s="162" t="s">
        <v>1160</v>
      </c>
      <c r="E3" s="162" t="s">
        <v>1161</v>
      </c>
      <c r="F3" s="162" t="s">
        <v>1162</v>
      </c>
      <c r="G3" s="162" t="s">
        <v>1163</v>
      </c>
      <c r="H3" s="162" t="s">
        <v>1164</v>
      </c>
      <c r="I3" s="162" t="s">
        <v>1165</v>
      </c>
      <c r="J3" s="162" t="s">
        <v>1166</v>
      </c>
      <c r="K3" s="162" t="s">
        <v>1167</v>
      </c>
      <c r="L3" s="162" t="s">
        <v>1168</v>
      </c>
    </row>
    <row r="4" spans="1:12" x14ac:dyDescent="0.3">
      <c r="A4" s="160" t="s">
        <v>1170</v>
      </c>
      <c r="B4" s="162" t="s">
        <v>1171</v>
      </c>
      <c r="C4" s="162" t="s">
        <v>1172</v>
      </c>
      <c r="D4" s="162" t="s">
        <v>1173</v>
      </c>
      <c r="E4" s="162" t="s">
        <v>1174</v>
      </c>
      <c r="F4" s="162" t="s">
        <v>1175</v>
      </c>
      <c r="G4" s="162" t="s">
        <v>1176</v>
      </c>
      <c r="H4" s="162" t="s">
        <v>1177</v>
      </c>
      <c r="I4" s="162" t="s">
        <v>1178</v>
      </c>
      <c r="J4" s="162" t="s">
        <v>1179</v>
      </c>
      <c r="K4" s="162" t="s">
        <v>1180</v>
      </c>
      <c r="L4" s="162" t="s">
        <v>1181</v>
      </c>
    </row>
    <row r="5" spans="1:12" x14ac:dyDescent="0.3">
      <c r="A5" s="160" t="s">
        <v>1182</v>
      </c>
      <c r="B5" s="162" t="s">
        <v>515</v>
      </c>
      <c r="C5" s="162" t="s">
        <v>516</v>
      </c>
      <c r="D5" s="162" t="s">
        <v>517</v>
      </c>
      <c r="E5" s="162" t="s">
        <v>518</v>
      </c>
      <c r="F5" s="162" t="s">
        <v>519</v>
      </c>
      <c r="G5" s="162" t="s">
        <v>520</v>
      </c>
      <c r="H5" s="162" t="s">
        <v>521</v>
      </c>
      <c r="I5" s="162" t="s">
        <v>522</v>
      </c>
      <c r="J5" s="162" t="s">
        <v>523</v>
      </c>
      <c r="K5" s="162" t="s">
        <v>524</v>
      </c>
      <c r="L5" s="162" t="s">
        <v>525</v>
      </c>
    </row>
    <row r="6" spans="1:12" x14ac:dyDescent="0.3">
      <c r="A6" s="160" t="s">
        <v>1183</v>
      </c>
      <c r="B6" s="162" t="s">
        <v>1184</v>
      </c>
      <c r="C6" s="162" t="s">
        <v>1185</v>
      </c>
      <c r="D6" s="162" t="s">
        <v>1186</v>
      </c>
      <c r="E6" s="162" t="s">
        <v>1187</v>
      </c>
      <c r="F6" s="162" t="s">
        <v>1188</v>
      </c>
      <c r="G6" s="162" t="s">
        <v>1189</v>
      </c>
      <c r="H6" s="162" t="s">
        <v>1190</v>
      </c>
      <c r="I6" s="162" t="s">
        <v>1191</v>
      </c>
      <c r="J6" s="162" t="s">
        <v>1192</v>
      </c>
      <c r="K6" s="162" t="s">
        <v>1193</v>
      </c>
      <c r="L6" s="162" t="s">
        <v>1194</v>
      </c>
    </row>
    <row r="7" spans="1:12" x14ac:dyDescent="0.3">
      <c r="A7" s="160" t="s">
        <v>1195</v>
      </c>
      <c r="B7" s="162" t="s">
        <v>1196</v>
      </c>
      <c r="C7" s="162" t="s">
        <v>1197</v>
      </c>
      <c r="D7" s="162" t="s">
        <v>1198</v>
      </c>
      <c r="E7" s="162" t="s">
        <v>1199</v>
      </c>
      <c r="F7" s="162" t="s">
        <v>1200</v>
      </c>
      <c r="G7" s="162" t="s">
        <v>1201</v>
      </c>
      <c r="H7" s="162" t="s">
        <v>1202</v>
      </c>
      <c r="I7" s="162" t="s">
        <v>1203</v>
      </c>
      <c r="J7" s="162" t="s">
        <v>1204</v>
      </c>
      <c r="K7" s="162" t="s">
        <v>1205</v>
      </c>
      <c r="L7" s="162" t="s">
        <v>1206</v>
      </c>
    </row>
    <row r="8" spans="1:12" x14ac:dyDescent="0.3">
      <c r="A8" s="160" t="s">
        <v>1207</v>
      </c>
      <c r="B8" s="162" t="s">
        <v>1208</v>
      </c>
      <c r="C8" s="162" t="s">
        <v>1209</v>
      </c>
      <c r="D8" s="162" t="s">
        <v>1210</v>
      </c>
      <c r="E8" s="162" t="s">
        <v>1211</v>
      </c>
      <c r="F8" s="162" t="s">
        <v>1212</v>
      </c>
      <c r="G8" s="162" t="s">
        <v>1213</v>
      </c>
      <c r="H8" s="162" t="s">
        <v>1214</v>
      </c>
      <c r="I8" s="162" t="s">
        <v>1215</v>
      </c>
      <c r="J8" s="162" t="s">
        <v>1216</v>
      </c>
      <c r="K8" s="162" t="s">
        <v>1217</v>
      </c>
      <c r="L8" s="160" t="s">
        <v>338</v>
      </c>
    </row>
    <row r="9" spans="1:12" x14ac:dyDescent="0.3">
      <c r="A9" s="160" t="s">
        <v>1218</v>
      </c>
      <c r="B9" s="162" t="s">
        <v>1219</v>
      </c>
      <c r="C9" s="162" t="s">
        <v>1220</v>
      </c>
      <c r="D9" s="162" t="s">
        <v>1221</v>
      </c>
      <c r="E9" s="162" t="s">
        <v>1222</v>
      </c>
      <c r="F9" s="162" t="s">
        <v>1223</v>
      </c>
      <c r="G9" s="162" t="s">
        <v>1224</v>
      </c>
      <c r="H9" s="162" t="s">
        <v>1225</v>
      </c>
      <c r="I9" s="162" t="s">
        <v>1226</v>
      </c>
      <c r="J9" s="162" t="s">
        <v>1227</v>
      </c>
      <c r="K9" s="162" t="s">
        <v>1228</v>
      </c>
      <c r="L9" s="160" t="s">
        <v>338</v>
      </c>
    </row>
    <row r="10" spans="1:12" x14ac:dyDescent="0.3">
      <c r="A10" s="160" t="s">
        <v>1229</v>
      </c>
      <c r="B10" s="160" t="s">
        <v>338</v>
      </c>
      <c r="C10" s="160" t="s">
        <v>338</v>
      </c>
      <c r="D10" s="162" t="s">
        <v>1230</v>
      </c>
      <c r="E10" s="162" t="s">
        <v>1231</v>
      </c>
      <c r="F10" s="162" t="s">
        <v>1232</v>
      </c>
      <c r="G10" s="162" t="s">
        <v>1233</v>
      </c>
      <c r="H10" s="162" t="s">
        <v>1234</v>
      </c>
      <c r="I10" s="162" t="s">
        <v>1235</v>
      </c>
      <c r="J10" s="162" t="s">
        <v>1236</v>
      </c>
      <c r="K10" s="162" t="s">
        <v>1237</v>
      </c>
      <c r="L10" s="160" t="s">
        <v>338</v>
      </c>
    </row>
    <row r="11" spans="1:12" x14ac:dyDescent="0.3">
      <c r="A11" s="160" t="s">
        <v>1238</v>
      </c>
      <c r="B11" s="162" t="s">
        <v>1239</v>
      </c>
      <c r="C11" s="162" t="s">
        <v>1240</v>
      </c>
      <c r="D11" s="162" t="s">
        <v>1241</v>
      </c>
      <c r="E11" s="160" t="s">
        <v>338</v>
      </c>
      <c r="F11" s="162" t="s">
        <v>1242</v>
      </c>
      <c r="G11" s="162" t="s">
        <v>1243</v>
      </c>
      <c r="H11" s="162" t="s">
        <v>1244</v>
      </c>
      <c r="I11" s="160" t="s">
        <v>338</v>
      </c>
      <c r="J11" s="162" t="s">
        <v>1245</v>
      </c>
      <c r="K11" s="162" t="s">
        <v>1246</v>
      </c>
      <c r="L11" s="160" t="s">
        <v>338</v>
      </c>
    </row>
    <row r="12" spans="1:12" x14ac:dyDescent="0.3">
      <c r="A12" s="160" t="s">
        <v>1247</v>
      </c>
      <c r="B12" s="162" t="s">
        <v>1239</v>
      </c>
      <c r="C12" s="162" t="s">
        <v>1240</v>
      </c>
      <c r="D12" s="162" t="s">
        <v>1241</v>
      </c>
      <c r="E12" s="160" t="s">
        <v>338</v>
      </c>
      <c r="F12" s="162" t="s">
        <v>1242</v>
      </c>
      <c r="G12" s="162" t="s">
        <v>1243</v>
      </c>
      <c r="H12" s="162" t="s">
        <v>1244</v>
      </c>
      <c r="I12" s="160" t="s">
        <v>338</v>
      </c>
      <c r="J12" s="162" t="s">
        <v>1245</v>
      </c>
      <c r="K12" s="162" t="s">
        <v>1246</v>
      </c>
      <c r="L12" s="160" t="s">
        <v>338</v>
      </c>
    </row>
    <row r="13" spans="1:12" x14ac:dyDescent="0.3">
      <c r="A13" s="160" t="s">
        <v>1248</v>
      </c>
      <c r="B13" s="162" t="s">
        <v>1249</v>
      </c>
      <c r="C13" s="162" t="s">
        <v>1250</v>
      </c>
      <c r="D13" s="162" t="s">
        <v>1251</v>
      </c>
      <c r="E13" s="162" t="s">
        <v>1252</v>
      </c>
      <c r="F13" s="162" t="s">
        <v>1253</v>
      </c>
      <c r="G13" s="162" t="s">
        <v>1254</v>
      </c>
      <c r="H13" s="162" t="s">
        <v>1255</v>
      </c>
      <c r="I13" s="162" t="s">
        <v>1256</v>
      </c>
      <c r="J13" s="162" t="s">
        <v>1257</v>
      </c>
      <c r="K13" s="162" t="s">
        <v>1258</v>
      </c>
      <c r="L13" s="160" t="s">
        <v>338</v>
      </c>
    </row>
    <row r="14" spans="1:12" x14ac:dyDescent="0.3">
      <c r="A14" s="160" t="s">
        <v>1259</v>
      </c>
      <c r="B14" s="162" t="s">
        <v>1249</v>
      </c>
      <c r="C14" s="162" t="s">
        <v>1250</v>
      </c>
      <c r="D14" s="162" t="s">
        <v>1251</v>
      </c>
      <c r="E14" s="162" t="s">
        <v>1252</v>
      </c>
      <c r="F14" s="162" t="s">
        <v>1253</v>
      </c>
      <c r="G14" s="162" t="s">
        <v>1254</v>
      </c>
      <c r="H14" s="162" t="s">
        <v>1255</v>
      </c>
      <c r="I14" s="162" t="s">
        <v>1256</v>
      </c>
      <c r="J14" s="162" t="s">
        <v>1257</v>
      </c>
      <c r="K14" s="162" t="s">
        <v>1258</v>
      </c>
      <c r="L14" s="160" t="s">
        <v>338</v>
      </c>
    </row>
    <row r="15" spans="1:12" x14ac:dyDescent="0.3">
      <c r="A15" s="160" t="s">
        <v>1260</v>
      </c>
      <c r="B15" s="162" t="s">
        <v>1261</v>
      </c>
      <c r="C15" s="162" t="s">
        <v>1262</v>
      </c>
      <c r="D15" s="160" t="s">
        <v>338</v>
      </c>
      <c r="E15" s="160" t="s">
        <v>338</v>
      </c>
      <c r="F15" s="160" t="s">
        <v>338</v>
      </c>
      <c r="G15" s="160" t="s">
        <v>338</v>
      </c>
      <c r="H15" s="160" t="s">
        <v>338</v>
      </c>
      <c r="I15" s="160" t="s">
        <v>338</v>
      </c>
      <c r="J15" s="160" t="s">
        <v>338</v>
      </c>
      <c r="K15" s="160" t="s">
        <v>338</v>
      </c>
      <c r="L15" s="160" t="s">
        <v>338</v>
      </c>
    </row>
    <row r="16" spans="1:12" x14ac:dyDescent="0.3">
      <c r="A16" s="160" t="s">
        <v>1263</v>
      </c>
      <c r="B16" s="162" t="s">
        <v>1264</v>
      </c>
      <c r="C16" s="162" t="s">
        <v>1265</v>
      </c>
      <c r="D16" s="162" t="s">
        <v>1266</v>
      </c>
      <c r="E16" s="162" t="s">
        <v>1267</v>
      </c>
      <c r="F16" s="162" t="s">
        <v>1268</v>
      </c>
      <c r="G16" s="162" t="s">
        <v>1269</v>
      </c>
      <c r="H16" s="162" t="s">
        <v>1270</v>
      </c>
      <c r="I16" s="162" t="s">
        <v>1271</v>
      </c>
      <c r="J16" s="162" t="s">
        <v>1272</v>
      </c>
      <c r="K16" s="162" t="s">
        <v>1273</v>
      </c>
      <c r="L16" s="162" t="s">
        <v>1274</v>
      </c>
    </row>
    <row r="17" spans="1:12" x14ac:dyDescent="0.3">
      <c r="A17" s="160" t="s">
        <v>1275</v>
      </c>
      <c r="B17" s="162" t="s">
        <v>1276</v>
      </c>
      <c r="C17" s="162" t="s">
        <v>1277</v>
      </c>
      <c r="D17" s="162" t="s">
        <v>1278</v>
      </c>
      <c r="E17" s="162" t="s">
        <v>1279</v>
      </c>
      <c r="F17" s="162" t="s">
        <v>1280</v>
      </c>
      <c r="G17" s="162" t="s">
        <v>1281</v>
      </c>
      <c r="H17" s="162" t="s">
        <v>1282</v>
      </c>
      <c r="I17" s="162" t="s">
        <v>1255</v>
      </c>
      <c r="J17" s="162" t="s">
        <v>1283</v>
      </c>
      <c r="K17" s="162" t="s">
        <v>1284</v>
      </c>
      <c r="L17" s="160" t="s">
        <v>338</v>
      </c>
    </row>
    <row r="18" spans="1:12" x14ac:dyDescent="0.3">
      <c r="A18" s="160" t="s">
        <v>1285</v>
      </c>
      <c r="B18" s="162" t="s">
        <v>1286</v>
      </c>
      <c r="C18" s="162" t="s">
        <v>1287</v>
      </c>
      <c r="D18" s="162" t="s">
        <v>1288</v>
      </c>
      <c r="E18" s="162" t="s">
        <v>1289</v>
      </c>
      <c r="F18" s="162" t="s">
        <v>1290</v>
      </c>
      <c r="G18" s="162" t="s">
        <v>1291</v>
      </c>
      <c r="H18" s="162" t="s">
        <v>1292</v>
      </c>
      <c r="I18" s="162" t="s">
        <v>1293</v>
      </c>
      <c r="J18" s="162" t="s">
        <v>1294</v>
      </c>
      <c r="K18" s="162" t="s">
        <v>1295</v>
      </c>
      <c r="L18" s="160" t="s">
        <v>338</v>
      </c>
    </row>
    <row r="19" spans="1:12" x14ac:dyDescent="0.3">
      <c r="A19" s="160" t="s">
        <v>1296</v>
      </c>
      <c r="B19" s="162" t="s">
        <v>1297</v>
      </c>
      <c r="C19" s="162" t="s">
        <v>1298</v>
      </c>
      <c r="D19" s="162" t="s">
        <v>1299</v>
      </c>
      <c r="E19" s="162" t="s">
        <v>1300</v>
      </c>
      <c r="F19" s="162" t="s">
        <v>1236</v>
      </c>
      <c r="G19" s="162" t="s">
        <v>1301</v>
      </c>
      <c r="H19" s="162" t="s">
        <v>1302</v>
      </c>
      <c r="I19" s="162" t="s">
        <v>1303</v>
      </c>
      <c r="J19" s="162" t="s">
        <v>1304</v>
      </c>
      <c r="K19" s="162" t="s">
        <v>1305</v>
      </c>
      <c r="L19" s="160" t="s">
        <v>338</v>
      </c>
    </row>
    <row r="20" spans="1:12" x14ac:dyDescent="0.3">
      <c r="A20" s="160" t="s">
        <v>1306</v>
      </c>
      <c r="B20" s="162" t="s">
        <v>1307</v>
      </c>
      <c r="C20" s="162" t="s">
        <v>1308</v>
      </c>
      <c r="D20" s="162" t="s">
        <v>1309</v>
      </c>
      <c r="E20" s="162" t="s">
        <v>1310</v>
      </c>
      <c r="F20" s="162" t="s">
        <v>1311</v>
      </c>
      <c r="G20" s="162" t="s">
        <v>1312</v>
      </c>
      <c r="H20" s="162" t="s">
        <v>1313</v>
      </c>
      <c r="I20" s="162" t="s">
        <v>1314</v>
      </c>
      <c r="J20" s="162" t="s">
        <v>1315</v>
      </c>
      <c r="K20" s="162" t="s">
        <v>1316</v>
      </c>
      <c r="L20" s="160" t="s">
        <v>338</v>
      </c>
    </row>
    <row r="21" spans="1:12" x14ac:dyDescent="0.3">
      <c r="A21" s="160" t="s">
        <v>1317</v>
      </c>
      <c r="B21" s="162" t="s">
        <v>1307</v>
      </c>
      <c r="C21" s="162" t="s">
        <v>1308</v>
      </c>
      <c r="D21" s="162" t="s">
        <v>1309</v>
      </c>
      <c r="E21" s="162" t="s">
        <v>1310</v>
      </c>
      <c r="F21" s="162" t="s">
        <v>1311</v>
      </c>
      <c r="G21" s="162" t="s">
        <v>1312</v>
      </c>
      <c r="H21" s="162" t="s">
        <v>1313</v>
      </c>
      <c r="I21" s="162" t="s">
        <v>1314</v>
      </c>
      <c r="J21" s="162" t="s">
        <v>1315</v>
      </c>
      <c r="K21" s="162" t="s">
        <v>1316</v>
      </c>
      <c r="L21" s="160" t="s">
        <v>338</v>
      </c>
    </row>
    <row r="22" spans="1:12" x14ac:dyDescent="0.3">
      <c r="A22" s="160" t="s">
        <v>1318</v>
      </c>
      <c r="B22" s="162" t="s">
        <v>1319</v>
      </c>
      <c r="C22" s="162" t="s">
        <v>1320</v>
      </c>
      <c r="D22" s="162" t="s">
        <v>1321</v>
      </c>
      <c r="E22" s="162" t="s">
        <v>1322</v>
      </c>
      <c r="F22" s="162" t="s">
        <v>1323</v>
      </c>
      <c r="G22" s="162" t="s">
        <v>1324</v>
      </c>
      <c r="H22" s="162" t="s">
        <v>1325</v>
      </c>
      <c r="I22" s="162" t="s">
        <v>1326</v>
      </c>
      <c r="J22" s="162" t="s">
        <v>698</v>
      </c>
      <c r="K22" s="162" t="s">
        <v>1223</v>
      </c>
      <c r="L22" s="162" t="s">
        <v>1327</v>
      </c>
    </row>
    <row r="23" spans="1:12" x14ac:dyDescent="0.3">
      <c r="A23" s="160" t="s">
        <v>1328</v>
      </c>
      <c r="B23" s="160" t="s">
        <v>338</v>
      </c>
      <c r="C23" s="160" t="s">
        <v>338</v>
      </c>
      <c r="D23" s="160" t="s">
        <v>338</v>
      </c>
      <c r="E23" s="162" t="s">
        <v>1329</v>
      </c>
      <c r="F23" s="160" t="s">
        <v>338</v>
      </c>
      <c r="G23" s="160" t="s">
        <v>338</v>
      </c>
      <c r="H23" s="160" t="s">
        <v>338</v>
      </c>
      <c r="I23" s="162" t="s">
        <v>1330</v>
      </c>
      <c r="J23" s="160" t="s">
        <v>338</v>
      </c>
      <c r="K23" s="160" t="s">
        <v>338</v>
      </c>
      <c r="L23" s="160" t="s">
        <v>338</v>
      </c>
    </row>
    <row r="24" spans="1:12" x14ac:dyDescent="0.3">
      <c r="A24" s="160" t="s">
        <v>1331</v>
      </c>
      <c r="B24" s="162" t="s">
        <v>1332</v>
      </c>
      <c r="C24" s="162" t="s">
        <v>1333</v>
      </c>
      <c r="D24" s="162" t="s">
        <v>1334</v>
      </c>
      <c r="E24" s="162" t="s">
        <v>1335</v>
      </c>
      <c r="F24" s="162" t="s">
        <v>1336</v>
      </c>
      <c r="G24" s="162" t="s">
        <v>1337</v>
      </c>
      <c r="H24" s="162" t="s">
        <v>1338</v>
      </c>
      <c r="I24" s="162" t="s">
        <v>1339</v>
      </c>
      <c r="J24" s="162" t="s">
        <v>1340</v>
      </c>
      <c r="K24" s="162" t="s">
        <v>1341</v>
      </c>
      <c r="L24" s="162" t="s">
        <v>1342</v>
      </c>
    </row>
    <row r="25" spans="1:12" x14ac:dyDescent="0.3">
      <c r="A25" s="160" t="s">
        <v>1343</v>
      </c>
      <c r="B25" s="162" t="s">
        <v>1332</v>
      </c>
      <c r="C25" s="162" t="s">
        <v>1333</v>
      </c>
      <c r="D25" s="162" t="s">
        <v>1334</v>
      </c>
      <c r="E25" s="162" t="s">
        <v>1335</v>
      </c>
      <c r="F25" s="162" t="s">
        <v>1336</v>
      </c>
      <c r="G25" s="162" t="s">
        <v>1337</v>
      </c>
      <c r="H25" s="162" t="s">
        <v>1338</v>
      </c>
      <c r="I25" s="162" t="s">
        <v>1339</v>
      </c>
      <c r="J25" s="162" t="s">
        <v>1340</v>
      </c>
      <c r="K25" s="162" t="s">
        <v>1341</v>
      </c>
      <c r="L25" s="162" t="s">
        <v>1342</v>
      </c>
    </row>
    <row r="26" spans="1:12" x14ac:dyDescent="0.3">
      <c r="A26" s="160" t="s">
        <v>1344</v>
      </c>
      <c r="B26" s="162" t="s">
        <v>1345</v>
      </c>
      <c r="C26" s="162" t="s">
        <v>1346</v>
      </c>
      <c r="D26" s="162" t="s">
        <v>1347</v>
      </c>
      <c r="E26" s="162" t="s">
        <v>1348</v>
      </c>
      <c r="F26" s="162" t="s">
        <v>1349</v>
      </c>
      <c r="G26" s="162" t="s">
        <v>1350</v>
      </c>
      <c r="H26" s="162" t="s">
        <v>1351</v>
      </c>
      <c r="I26" s="162" t="s">
        <v>1352</v>
      </c>
      <c r="J26" s="162" t="s">
        <v>1353</v>
      </c>
      <c r="K26" s="162" t="s">
        <v>1354</v>
      </c>
      <c r="L26" s="162" t="s">
        <v>1355</v>
      </c>
    </row>
    <row r="27" spans="1:12" x14ac:dyDescent="0.3">
      <c r="A27" s="160" t="s">
        <v>1356</v>
      </c>
      <c r="B27" s="162" t="s">
        <v>1345</v>
      </c>
      <c r="C27" s="162" t="s">
        <v>1346</v>
      </c>
      <c r="D27" s="162" t="s">
        <v>1347</v>
      </c>
      <c r="E27" s="162" t="s">
        <v>1348</v>
      </c>
      <c r="F27" s="162" t="s">
        <v>1349</v>
      </c>
      <c r="G27" s="162" t="s">
        <v>1350</v>
      </c>
      <c r="H27" s="162" t="s">
        <v>1351</v>
      </c>
      <c r="I27" s="162" t="s">
        <v>1352</v>
      </c>
      <c r="J27" s="162" t="s">
        <v>1353</v>
      </c>
      <c r="K27" s="162" t="s">
        <v>1354</v>
      </c>
      <c r="L27" s="162" t="s">
        <v>1355</v>
      </c>
    </row>
    <row r="28" spans="1:12" x14ac:dyDescent="0.3">
      <c r="A28" s="160" t="s">
        <v>1357</v>
      </c>
      <c r="B28" s="162" t="s">
        <v>1358</v>
      </c>
      <c r="C28" s="162" t="s">
        <v>1359</v>
      </c>
      <c r="D28" s="162" t="s">
        <v>1360</v>
      </c>
      <c r="E28" s="162" t="s">
        <v>1361</v>
      </c>
      <c r="F28" s="162" t="s">
        <v>1362</v>
      </c>
      <c r="G28" s="162" t="s">
        <v>1363</v>
      </c>
      <c r="H28" s="162" t="s">
        <v>1364</v>
      </c>
      <c r="I28" s="162" t="s">
        <v>1365</v>
      </c>
      <c r="J28" s="162" t="s">
        <v>1366</v>
      </c>
      <c r="K28" s="162" t="s">
        <v>1367</v>
      </c>
      <c r="L28" s="162" t="s">
        <v>1368</v>
      </c>
    </row>
    <row r="29" spans="1:12" x14ac:dyDescent="0.3">
      <c r="A29" s="160" t="s">
        <v>1369</v>
      </c>
      <c r="B29" s="162" t="s">
        <v>1358</v>
      </c>
      <c r="C29" s="162" t="s">
        <v>1359</v>
      </c>
      <c r="D29" s="162" t="s">
        <v>1360</v>
      </c>
      <c r="E29" s="162" t="s">
        <v>1361</v>
      </c>
      <c r="F29" s="162" t="s">
        <v>1362</v>
      </c>
      <c r="G29" s="162" t="s">
        <v>1363</v>
      </c>
      <c r="H29" s="162" t="s">
        <v>1364</v>
      </c>
      <c r="I29" s="162" t="s">
        <v>1365</v>
      </c>
      <c r="J29" s="162" t="s">
        <v>1366</v>
      </c>
      <c r="K29" s="162" t="s">
        <v>1367</v>
      </c>
      <c r="L29" s="162" t="s">
        <v>1368</v>
      </c>
    </row>
    <row r="30" spans="1:12" x14ac:dyDescent="0.3">
      <c r="A30" s="160" t="s">
        <v>1370</v>
      </c>
      <c r="B30" s="162" t="s">
        <v>1371</v>
      </c>
      <c r="C30" s="162" t="s">
        <v>1372</v>
      </c>
      <c r="D30" s="162" t="s">
        <v>1373</v>
      </c>
      <c r="E30" s="162" t="s">
        <v>1374</v>
      </c>
      <c r="F30" s="162" t="s">
        <v>1375</v>
      </c>
      <c r="G30" s="162" t="s">
        <v>1376</v>
      </c>
      <c r="H30" s="162" t="s">
        <v>1377</v>
      </c>
      <c r="I30" s="162" t="s">
        <v>1378</v>
      </c>
      <c r="J30" s="162" t="s">
        <v>1379</v>
      </c>
      <c r="K30" s="162" t="s">
        <v>1380</v>
      </c>
      <c r="L30" s="162" t="s">
        <v>1381</v>
      </c>
    </row>
    <row r="31" spans="1:12" x14ac:dyDescent="0.3">
      <c r="A31" s="160" t="s">
        <v>1382</v>
      </c>
      <c r="B31" s="162" t="s">
        <v>1383</v>
      </c>
      <c r="C31" s="162" t="s">
        <v>1384</v>
      </c>
      <c r="D31" s="162" t="s">
        <v>1373</v>
      </c>
      <c r="E31" s="162" t="s">
        <v>1374</v>
      </c>
      <c r="F31" s="162" t="s">
        <v>1375</v>
      </c>
      <c r="G31" s="162" t="s">
        <v>1376</v>
      </c>
      <c r="H31" s="162" t="s">
        <v>1377</v>
      </c>
      <c r="I31" s="162" t="s">
        <v>1378</v>
      </c>
      <c r="J31" s="162" t="s">
        <v>1379</v>
      </c>
      <c r="K31" s="162" t="s">
        <v>1380</v>
      </c>
      <c r="L31" s="162" t="s">
        <v>1381</v>
      </c>
    </row>
    <row r="32" spans="1:12" x14ac:dyDescent="0.3">
      <c r="A32" s="160" t="s">
        <v>1385</v>
      </c>
      <c r="B32" s="162" t="s">
        <v>1386</v>
      </c>
      <c r="C32" s="162" t="s">
        <v>1387</v>
      </c>
      <c r="D32" s="162" t="s">
        <v>557</v>
      </c>
      <c r="E32" s="162" t="s">
        <v>557</v>
      </c>
      <c r="F32" s="160" t="s">
        <v>338</v>
      </c>
      <c r="G32" s="160" t="s">
        <v>338</v>
      </c>
      <c r="H32" s="160" t="s">
        <v>338</v>
      </c>
      <c r="I32" s="160" t="s">
        <v>338</v>
      </c>
      <c r="J32" s="160" t="s">
        <v>338</v>
      </c>
      <c r="K32" s="160" t="s">
        <v>338</v>
      </c>
      <c r="L32" s="160" t="s">
        <v>338</v>
      </c>
    </row>
    <row r="33" spans="1:12" x14ac:dyDescent="0.3">
      <c r="A33" s="160" t="s">
        <v>1388</v>
      </c>
      <c r="B33" s="162" t="s">
        <v>1389</v>
      </c>
      <c r="C33" s="162" t="s">
        <v>1390</v>
      </c>
      <c r="D33" s="160" t="s">
        <v>338</v>
      </c>
      <c r="E33" s="160" t="s">
        <v>338</v>
      </c>
      <c r="F33" s="160" t="s">
        <v>338</v>
      </c>
      <c r="G33" s="160" t="s">
        <v>338</v>
      </c>
      <c r="H33" s="160" t="s">
        <v>338</v>
      </c>
      <c r="I33" s="162" t="s">
        <v>1391</v>
      </c>
      <c r="J33" s="162" t="s">
        <v>1392</v>
      </c>
      <c r="K33" s="162" t="s">
        <v>1393</v>
      </c>
      <c r="L33" s="162" t="s">
        <v>1394</v>
      </c>
    </row>
    <row r="34" spans="1:12" x14ac:dyDescent="0.3">
      <c r="A34" s="160" t="s">
        <v>1395</v>
      </c>
      <c r="B34" s="162" t="s">
        <v>1396</v>
      </c>
      <c r="C34" s="162" t="s">
        <v>1397</v>
      </c>
      <c r="D34" s="162" t="s">
        <v>1398</v>
      </c>
      <c r="E34" s="162" t="s">
        <v>1284</v>
      </c>
      <c r="F34" s="162" t="s">
        <v>1399</v>
      </c>
      <c r="G34" s="162" t="s">
        <v>725</v>
      </c>
      <c r="H34" s="162" t="s">
        <v>557</v>
      </c>
      <c r="I34" s="162" t="s">
        <v>557</v>
      </c>
      <c r="J34" s="160" t="s">
        <v>338</v>
      </c>
      <c r="K34" s="160" t="s">
        <v>338</v>
      </c>
      <c r="L34" s="160" t="s">
        <v>338</v>
      </c>
    </row>
    <row r="35" spans="1:12" x14ac:dyDescent="0.3">
      <c r="A35" s="160" t="s">
        <v>1400</v>
      </c>
      <c r="B35" s="160" t="s">
        <v>338</v>
      </c>
      <c r="C35" s="160" t="s">
        <v>338</v>
      </c>
      <c r="D35" s="162" t="s">
        <v>1401</v>
      </c>
      <c r="E35" s="162" t="s">
        <v>1402</v>
      </c>
      <c r="F35" s="162" t="s">
        <v>1403</v>
      </c>
      <c r="G35" s="162" t="s">
        <v>1404</v>
      </c>
      <c r="H35" s="162" t="s">
        <v>1405</v>
      </c>
      <c r="I35" s="160" t="s">
        <v>338</v>
      </c>
      <c r="J35" s="160" t="s">
        <v>338</v>
      </c>
      <c r="K35" s="160" t="s">
        <v>338</v>
      </c>
      <c r="L35" s="160" t="s">
        <v>338</v>
      </c>
    </row>
    <row r="36" spans="1:12" x14ac:dyDescent="0.3">
      <c r="A36" s="160" t="s">
        <v>1406</v>
      </c>
      <c r="B36" s="160" t="s">
        <v>338</v>
      </c>
      <c r="C36" s="160" t="s">
        <v>338</v>
      </c>
      <c r="D36" s="162" t="s">
        <v>1401</v>
      </c>
      <c r="E36" s="162" t="s">
        <v>1402</v>
      </c>
      <c r="F36" s="162" t="s">
        <v>1403</v>
      </c>
      <c r="G36" s="162" t="s">
        <v>1404</v>
      </c>
      <c r="H36" s="162" t="s">
        <v>1405</v>
      </c>
      <c r="I36" s="160" t="s">
        <v>338</v>
      </c>
      <c r="J36" s="160" t="s">
        <v>338</v>
      </c>
      <c r="K36" s="160" t="s">
        <v>338</v>
      </c>
      <c r="L36" s="160" t="s">
        <v>338</v>
      </c>
    </row>
    <row r="37" spans="1:12" x14ac:dyDescent="0.3">
      <c r="A37" s="160" t="s">
        <v>1407</v>
      </c>
      <c r="B37" s="162" t="s">
        <v>1408</v>
      </c>
      <c r="C37" s="162" t="s">
        <v>1409</v>
      </c>
      <c r="D37" s="162" t="s">
        <v>1410</v>
      </c>
      <c r="E37" s="162" t="s">
        <v>1411</v>
      </c>
      <c r="F37" s="162" t="s">
        <v>1412</v>
      </c>
      <c r="G37" s="162" t="s">
        <v>1413</v>
      </c>
      <c r="H37" s="162" t="s">
        <v>1414</v>
      </c>
      <c r="I37" s="162" t="s">
        <v>1415</v>
      </c>
      <c r="J37" s="162" t="s">
        <v>1416</v>
      </c>
      <c r="K37" s="162" t="s">
        <v>1417</v>
      </c>
      <c r="L37" s="162" t="s">
        <v>1418</v>
      </c>
    </row>
    <row r="38" spans="1:12" x14ac:dyDescent="0.3">
      <c r="A38" s="160" t="s">
        <v>1419</v>
      </c>
      <c r="B38" s="162" t="s">
        <v>1408</v>
      </c>
      <c r="C38" s="162" t="s">
        <v>1409</v>
      </c>
      <c r="D38" s="162" t="s">
        <v>1410</v>
      </c>
      <c r="E38" s="162" t="s">
        <v>1411</v>
      </c>
      <c r="F38" s="162" t="s">
        <v>1412</v>
      </c>
      <c r="G38" s="162" t="s">
        <v>1413</v>
      </c>
      <c r="H38" s="162" t="s">
        <v>1414</v>
      </c>
      <c r="I38" s="162" t="s">
        <v>1415</v>
      </c>
      <c r="J38" s="162" t="s">
        <v>1416</v>
      </c>
      <c r="K38" s="162" t="s">
        <v>1417</v>
      </c>
      <c r="L38" s="162" t="s">
        <v>1418</v>
      </c>
    </row>
    <row r="39" spans="1:12" x14ac:dyDescent="0.3">
      <c r="A39" s="160" t="s">
        <v>1420</v>
      </c>
      <c r="B39" s="162" t="s">
        <v>1421</v>
      </c>
      <c r="C39" s="162" t="s">
        <v>1422</v>
      </c>
      <c r="D39" s="162" t="s">
        <v>1423</v>
      </c>
      <c r="E39" s="162" t="s">
        <v>1424</v>
      </c>
      <c r="F39" s="162" t="s">
        <v>1425</v>
      </c>
      <c r="G39" s="162" t="s">
        <v>1426</v>
      </c>
      <c r="H39" s="162" t="s">
        <v>1427</v>
      </c>
      <c r="I39" s="162" t="s">
        <v>1428</v>
      </c>
      <c r="J39" s="162" t="s">
        <v>1429</v>
      </c>
      <c r="K39" s="162" t="s">
        <v>1430</v>
      </c>
      <c r="L39" s="162" t="s">
        <v>1431</v>
      </c>
    </row>
    <row r="40" spans="1:12" x14ac:dyDescent="0.3">
      <c r="A40" s="160" t="s">
        <v>1432</v>
      </c>
      <c r="B40" s="162" t="s">
        <v>1433</v>
      </c>
      <c r="C40" s="162" t="s">
        <v>1434</v>
      </c>
      <c r="D40" s="162" t="s">
        <v>1435</v>
      </c>
      <c r="E40" s="162" t="s">
        <v>1436</v>
      </c>
      <c r="F40" s="162" t="s">
        <v>1437</v>
      </c>
      <c r="G40" s="162" t="s">
        <v>1438</v>
      </c>
      <c r="H40" s="162" t="s">
        <v>1439</v>
      </c>
      <c r="I40" s="162" t="s">
        <v>1428</v>
      </c>
      <c r="J40" s="162" t="s">
        <v>1429</v>
      </c>
      <c r="K40" s="162" t="s">
        <v>1430</v>
      </c>
      <c r="L40" s="162" t="s">
        <v>1431</v>
      </c>
    </row>
    <row r="41" spans="1:12" x14ac:dyDescent="0.3">
      <c r="A41" s="160" t="s">
        <v>1440</v>
      </c>
      <c r="B41" s="162" t="s">
        <v>1441</v>
      </c>
      <c r="C41" s="162" t="s">
        <v>1442</v>
      </c>
      <c r="D41" s="162" t="s">
        <v>1443</v>
      </c>
      <c r="E41" s="162" t="s">
        <v>1444</v>
      </c>
      <c r="F41" s="162" t="s">
        <v>1445</v>
      </c>
      <c r="G41" s="162" t="s">
        <v>1446</v>
      </c>
      <c r="H41" s="162" t="s">
        <v>1447</v>
      </c>
      <c r="I41" s="162" t="s">
        <v>557</v>
      </c>
      <c r="J41" s="162" t="s">
        <v>557</v>
      </c>
      <c r="K41" s="160" t="s">
        <v>338</v>
      </c>
      <c r="L41" s="160" t="s">
        <v>338</v>
      </c>
    </row>
    <row r="42" spans="1:12" x14ac:dyDescent="0.3">
      <c r="A42" s="160" t="s">
        <v>1448</v>
      </c>
      <c r="B42" s="162" t="s">
        <v>1449</v>
      </c>
      <c r="C42" s="162" t="s">
        <v>1450</v>
      </c>
      <c r="D42" s="162" t="s">
        <v>1451</v>
      </c>
      <c r="E42" s="162" t="s">
        <v>1452</v>
      </c>
      <c r="F42" s="162" t="s">
        <v>1453</v>
      </c>
      <c r="G42" s="162" t="s">
        <v>1454</v>
      </c>
      <c r="H42" s="162" t="s">
        <v>1455</v>
      </c>
      <c r="I42" s="162" t="s">
        <v>1456</v>
      </c>
      <c r="J42" s="162" t="s">
        <v>1457</v>
      </c>
      <c r="K42" s="162" t="s">
        <v>1458</v>
      </c>
      <c r="L42" s="162" t="s">
        <v>1459</v>
      </c>
    </row>
    <row r="43" spans="1:12" x14ac:dyDescent="0.3">
      <c r="A43" s="160" t="s">
        <v>1460</v>
      </c>
      <c r="B43" s="162" t="s">
        <v>1461</v>
      </c>
      <c r="C43" s="162" t="s">
        <v>1462</v>
      </c>
      <c r="D43" s="162" t="s">
        <v>1463</v>
      </c>
      <c r="E43" s="162" t="s">
        <v>1464</v>
      </c>
      <c r="F43" s="162" t="s">
        <v>1465</v>
      </c>
      <c r="G43" s="162" t="s">
        <v>1466</v>
      </c>
      <c r="H43" s="162" t="s">
        <v>1467</v>
      </c>
      <c r="I43" s="162" t="s">
        <v>1468</v>
      </c>
      <c r="J43" s="162" t="s">
        <v>1469</v>
      </c>
      <c r="K43" s="162" t="s">
        <v>1470</v>
      </c>
      <c r="L43" s="162" t="s">
        <v>1471</v>
      </c>
    </row>
    <row r="44" spans="1:12" x14ac:dyDescent="0.3">
      <c r="A44" s="160" t="s">
        <v>1472</v>
      </c>
      <c r="B44" s="162" t="s">
        <v>1473</v>
      </c>
      <c r="C44" s="162" t="s">
        <v>1474</v>
      </c>
      <c r="D44" s="162" t="s">
        <v>1475</v>
      </c>
      <c r="E44" s="162" t="s">
        <v>1476</v>
      </c>
      <c r="F44" s="162" t="s">
        <v>1477</v>
      </c>
      <c r="G44" s="162" t="s">
        <v>1478</v>
      </c>
      <c r="H44" s="160" t="s">
        <v>338</v>
      </c>
      <c r="I44" s="162" t="s">
        <v>1479</v>
      </c>
      <c r="J44" s="162" t="s">
        <v>557</v>
      </c>
      <c r="K44" s="162" t="s">
        <v>1480</v>
      </c>
      <c r="L44" s="162" t="s">
        <v>1481</v>
      </c>
    </row>
    <row r="45" spans="1:12" x14ac:dyDescent="0.3">
      <c r="A45" s="160" t="s">
        <v>1482</v>
      </c>
      <c r="B45" s="162" t="s">
        <v>1483</v>
      </c>
      <c r="C45" s="162" t="s">
        <v>1484</v>
      </c>
      <c r="D45" s="162" t="s">
        <v>1485</v>
      </c>
      <c r="E45" s="162" t="s">
        <v>1486</v>
      </c>
      <c r="F45" s="162" t="s">
        <v>1487</v>
      </c>
      <c r="G45" s="162" t="s">
        <v>1488</v>
      </c>
      <c r="H45" s="162" t="s">
        <v>1467</v>
      </c>
      <c r="I45" s="162" t="s">
        <v>1489</v>
      </c>
      <c r="J45" s="162" t="s">
        <v>1469</v>
      </c>
      <c r="K45" s="162" t="s">
        <v>1490</v>
      </c>
      <c r="L45" s="162" t="s">
        <v>1491</v>
      </c>
    </row>
    <row r="46" spans="1:12" x14ac:dyDescent="0.3">
      <c r="A46" s="160" t="s">
        <v>1492</v>
      </c>
      <c r="B46" s="162" t="s">
        <v>1493</v>
      </c>
      <c r="C46" s="162" t="s">
        <v>1494</v>
      </c>
      <c r="D46" s="162" t="s">
        <v>1495</v>
      </c>
      <c r="E46" s="162" t="s">
        <v>1496</v>
      </c>
      <c r="F46" s="162" t="s">
        <v>1497</v>
      </c>
      <c r="G46" s="162" t="s">
        <v>1498</v>
      </c>
      <c r="H46" s="162" t="s">
        <v>1499</v>
      </c>
      <c r="I46" s="162" t="s">
        <v>1500</v>
      </c>
      <c r="J46" s="162" t="s">
        <v>1501</v>
      </c>
      <c r="K46" s="162" t="s">
        <v>1502</v>
      </c>
      <c r="L46" s="162" t="s">
        <v>1503</v>
      </c>
    </row>
    <row r="47" spans="1:12" x14ac:dyDescent="0.3">
      <c r="A47" s="160" t="s">
        <v>1504</v>
      </c>
      <c r="B47" s="162" t="s">
        <v>1505</v>
      </c>
      <c r="C47" s="162" t="s">
        <v>1506</v>
      </c>
      <c r="D47" s="162" t="s">
        <v>1507</v>
      </c>
      <c r="E47" s="162" t="s">
        <v>1508</v>
      </c>
      <c r="F47" s="162" t="s">
        <v>1509</v>
      </c>
      <c r="G47" s="162" t="s">
        <v>1510</v>
      </c>
      <c r="H47" s="162" t="s">
        <v>1499</v>
      </c>
      <c r="I47" s="162" t="s">
        <v>1500</v>
      </c>
      <c r="J47" s="162" t="s">
        <v>1501</v>
      </c>
      <c r="K47" s="162" t="s">
        <v>1511</v>
      </c>
      <c r="L47" s="162" t="s">
        <v>1512</v>
      </c>
    </row>
    <row r="48" spans="1:12" x14ac:dyDescent="0.3">
      <c r="A48" s="160" t="s">
        <v>1513</v>
      </c>
      <c r="B48" s="162" t="s">
        <v>1514</v>
      </c>
      <c r="C48" s="162" t="s">
        <v>1515</v>
      </c>
      <c r="D48" s="162" t="s">
        <v>1516</v>
      </c>
      <c r="E48" s="162" t="s">
        <v>1517</v>
      </c>
      <c r="F48" s="162" t="s">
        <v>1518</v>
      </c>
      <c r="G48" s="162" t="s">
        <v>1519</v>
      </c>
      <c r="H48" s="162" t="s">
        <v>557</v>
      </c>
      <c r="I48" s="162" t="s">
        <v>557</v>
      </c>
      <c r="J48" s="160" t="s">
        <v>338</v>
      </c>
      <c r="K48" s="162" t="s">
        <v>1520</v>
      </c>
      <c r="L48" s="160" t="s">
        <v>338</v>
      </c>
    </row>
    <row r="49" spans="1:12" x14ac:dyDescent="0.3">
      <c r="A49" s="160" t="s">
        <v>1521</v>
      </c>
      <c r="B49" s="162" t="s">
        <v>1522</v>
      </c>
      <c r="C49" s="162" t="s">
        <v>1523</v>
      </c>
      <c r="D49" s="162" t="s">
        <v>1524</v>
      </c>
      <c r="E49" s="162" t="s">
        <v>1520</v>
      </c>
      <c r="F49" s="162" t="s">
        <v>557</v>
      </c>
      <c r="G49" s="160" t="s">
        <v>338</v>
      </c>
      <c r="H49" s="160" t="s">
        <v>338</v>
      </c>
      <c r="I49" s="162" t="s">
        <v>1525</v>
      </c>
      <c r="J49" s="162" t="s">
        <v>1526</v>
      </c>
      <c r="K49" s="162" t="s">
        <v>1527</v>
      </c>
      <c r="L49" s="162" t="s">
        <v>1528</v>
      </c>
    </row>
    <row r="50" spans="1:12" x14ac:dyDescent="0.3">
      <c r="A50" s="160" t="s">
        <v>1529</v>
      </c>
      <c r="B50" s="162" t="s">
        <v>1530</v>
      </c>
      <c r="C50" s="162" t="s">
        <v>1531</v>
      </c>
      <c r="D50" s="162" t="s">
        <v>1532</v>
      </c>
      <c r="E50" s="162" t="s">
        <v>1533</v>
      </c>
      <c r="F50" s="162" t="s">
        <v>1534</v>
      </c>
      <c r="G50" s="162" t="s">
        <v>1535</v>
      </c>
      <c r="H50" s="162" t="s">
        <v>1536</v>
      </c>
      <c r="I50" s="162" t="s">
        <v>1537</v>
      </c>
      <c r="J50" s="162" t="s">
        <v>1538</v>
      </c>
      <c r="K50" s="162" t="s">
        <v>1539</v>
      </c>
      <c r="L50" s="162" t="s">
        <v>1540</v>
      </c>
    </row>
    <row r="51" spans="1:12" x14ac:dyDescent="0.3">
      <c r="A51" s="160" t="s">
        <v>1541</v>
      </c>
      <c r="B51" s="162" t="s">
        <v>1530</v>
      </c>
      <c r="C51" s="162" t="s">
        <v>1531</v>
      </c>
      <c r="D51" s="162" t="s">
        <v>1532</v>
      </c>
      <c r="E51" s="162" t="s">
        <v>1533</v>
      </c>
      <c r="F51" s="162" t="s">
        <v>1534</v>
      </c>
      <c r="G51" s="162" t="s">
        <v>1535</v>
      </c>
      <c r="H51" s="162" t="s">
        <v>1536</v>
      </c>
      <c r="I51" s="162" t="s">
        <v>1537</v>
      </c>
      <c r="J51" s="162" t="s">
        <v>1538</v>
      </c>
      <c r="K51" s="162" t="s">
        <v>1539</v>
      </c>
      <c r="L51" s="162" t="s">
        <v>1540</v>
      </c>
    </row>
    <row r="52" spans="1:12" x14ac:dyDescent="0.3">
      <c r="A52" s="160" t="s">
        <v>1542</v>
      </c>
      <c r="B52" s="162" t="s">
        <v>1530</v>
      </c>
      <c r="C52" s="162" t="s">
        <v>1531</v>
      </c>
      <c r="D52" s="162" t="s">
        <v>1532</v>
      </c>
      <c r="E52" s="162" t="s">
        <v>1533</v>
      </c>
      <c r="F52" s="162" t="s">
        <v>1534</v>
      </c>
      <c r="G52" s="162" t="s">
        <v>1535</v>
      </c>
      <c r="H52" s="162" t="s">
        <v>1536</v>
      </c>
      <c r="I52" s="162" t="s">
        <v>1537</v>
      </c>
      <c r="J52" s="162" t="s">
        <v>1538</v>
      </c>
      <c r="K52" s="162" t="s">
        <v>1539</v>
      </c>
      <c r="L52" s="162" t="s">
        <v>1540</v>
      </c>
    </row>
    <row r="53" spans="1:12" x14ac:dyDescent="0.3">
      <c r="A53" s="160" t="s">
        <v>1543</v>
      </c>
      <c r="B53" s="162" t="s">
        <v>1544</v>
      </c>
      <c r="C53" s="162" t="s">
        <v>1545</v>
      </c>
      <c r="D53" s="162" t="s">
        <v>455</v>
      </c>
      <c r="E53" s="162" t="s">
        <v>1546</v>
      </c>
      <c r="F53" s="162" t="s">
        <v>1547</v>
      </c>
      <c r="G53" s="162" t="s">
        <v>1548</v>
      </c>
      <c r="H53" s="162" t="s">
        <v>1549</v>
      </c>
      <c r="I53" s="162" t="s">
        <v>1550</v>
      </c>
      <c r="J53" s="162" t="s">
        <v>1551</v>
      </c>
      <c r="K53" s="162" t="s">
        <v>1552</v>
      </c>
      <c r="L53" s="162" t="s">
        <v>1553</v>
      </c>
    </row>
    <row r="54" spans="1:12" x14ac:dyDescent="0.3">
      <c r="A54" s="160" t="s">
        <v>1554</v>
      </c>
      <c r="B54" s="162" t="s">
        <v>1555</v>
      </c>
      <c r="C54" s="162" t="s">
        <v>1556</v>
      </c>
      <c r="D54" s="162" t="s">
        <v>1557</v>
      </c>
      <c r="E54" s="162" t="s">
        <v>1558</v>
      </c>
      <c r="F54" s="162" t="s">
        <v>896</v>
      </c>
      <c r="G54" s="162" t="s">
        <v>626</v>
      </c>
      <c r="H54" s="162" t="s">
        <v>557</v>
      </c>
      <c r="I54" s="162" t="s">
        <v>557</v>
      </c>
      <c r="J54" s="160" t="s">
        <v>338</v>
      </c>
      <c r="K54" s="160" t="s">
        <v>338</v>
      </c>
      <c r="L54" s="160" t="s">
        <v>338</v>
      </c>
    </row>
    <row r="55" spans="1:12" x14ac:dyDescent="0.3">
      <c r="A55" s="160" t="s">
        <v>1559</v>
      </c>
      <c r="B55" s="162" t="s">
        <v>624</v>
      </c>
      <c r="C55" s="162" t="s">
        <v>614</v>
      </c>
      <c r="D55" s="162" t="s">
        <v>615</v>
      </c>
      <c r="E55" s="162" t="s">
        <v>616</v>
      </c>
      <c r="F55" s="162" t="s">
        <v>617</v>
      </c>
      <c r="G55" s="162" t="s">
        <v>618</v>
      </c>
      <c r="H55" s="162" t="s">
        <v>619</v>
      </c>
      <c r="I55" s="162" t="s">
        <v>620</v>
      </c>
      <c r="J55" s="162" t="s">
        <v>621</v>
      </c>
      <c r="K55" s="162" t="s">
        <v>622</v>
      </c>
      <c r="L55" s="162" t="s">
        <v>1560</v>
      </c>
    </row>
    <row r="56" spans="1:12" x14ac:dyDescent="0.3">
      <c r="A56" s="160" t="s">
        <v>1561</v>
      </c>
      <c r="B56" s="162" t="s">
        <v>1562</v>
      </c>
      <c r="C56" s="162" t="s">
        <v>1563</v>
      </c>
      <c r="D56" s="162" t="s">
        <v>1564</v>
      </c>
      <c r="E56" s="162" t="s">
        <v>1565</v>
      </c>
      <c r="F56" s="162" t="s">
        <v>1566</v>
      </c>
      <c r="G56" s="162" t="s">
        <v>1567</v>
      </c>
      <c r="H56" s="162" t="s">
        <v>1568</v>
      </c>
      <c r="I56" s="162" t="s">
        <v>1569</v>
      </c>
      <c r="J56" s="162" t="s">
        <v>1555</v>
      </c>
      <c r="K56" s="162" t="s">
        <v>1570</v>
      </c>
      <c r="L56" s="162" t="s">
        <v>641</v>
      </c>
    </row>
    <row r="57" spans="1:12" x14ac:dyDescent="0.3">
      <c r="A57" s="160" t="s">
        <v>1571</v>
      </c>
      <c r="B57" s="162" t="s">
        <v>1572</v>
      </c>
      <c r="C57" s="162" t="s">
        <v>1573</v>
      </c>
      <c r="D57" s="162" t="s">
        <v>1574</v>
      </c>
      <c r="E57" s="162" t="s">
        <v>1575</v>
      </c>
      <c r="F57" s="162" t="s">
        <v>1544</v>
      </c>
      <c r="G57" s="162" t="s">
        <v>1576</v>
      </c>
      <c r="H57" s="162" t="s">
        <v>537</v>
      </c>
      <c r="I57" s="162" t="s">
        <v>1577</v>
      </c>
      <c r="J57" s="162" t="s">
        <v>1578</v>
      </c>
      <c r="K57" s="162" t="s">
        <v>1579</v>
      </c>
      <c r="L57" s="162" t="s">
        <v>1580</v>
      </c>
    </row>
    <row r="58" spans="1:12" x14ac:dyDescent="0.3">
      <c r="A58" s="160" t="s">
        <v>1581</v>
      </c>
      <c r="B58" s="162" t="s">
        <v>1582</v>
      </c>
      <c r="C58" s="162" t="s">
        <v>624</v>
      </c>
      <c r="D58" s="162" t="s">
        <v>614</v>
      </c>
      <c r="E58" s="162" t="s">
        <v>615</v>
      </c>
      <c r="F58" s="162" t="s">
        <v>616</v>
      </c>
      <c r="G58" s="162" t="s">
        <v>617</v>
      </c>
      <c r="H58" s="162" t="s">
        <v>618</v>
      </c>
      <c r="I58" s="162" t="s">
        <v>619</v>
      </c>
      <c r="J58" s="162" t="s">
        <v>620</v>
      </c>
      <c r="K58" s="162" t="s">
        <v>621</v>
      </c>
      <c r="L58" s="162" t="s">
        <v>1583</v>
      </c>
    </row>
    <row r="59" spans="1:12" x14ac:dyDescent="0.3">
      <c r="A59" s="160" t="s">
        <v>1584</v>
      </c>
      <c r="B59" s="162" t="s">
        <v>1585</v>
      </c>
      <c r="C59" s="162" t="s">
        <v>1586</v>
      </c>
      <c r="D59" s="162" t="s">
        <v>1587</v>
      </c>
      <c r="E59" s="162" t="s">
        <v>1588</v>
      </c>
      <c r="F59" s="162" t="s">
        <v>1589</v>
      </c>
      <c r="G59" s="162" t="s">
        <v>1590</v>
      </c>
      <c r="H59" s="162" t="s">
        <v>1591</v>
      </c>
      <c r="I59" s="162" t="s">
        <v>1592</v>
      </c>
      <c r="J59" s="162" t="s">
        <v>1593</v>
      </c>
      <c r="K59" s="162" t="s">
        <v>1594</v>
      </c>
      <c r="L59" s="162" t="s">
        <v>1595</v>
      </c>
    </row>
    <row r="60" spans="1:12" x14ac:dyDescent="0.3">
      <c r="A60" s="160" t="s">
        <v>1596</v>
      </c>
      <c r="B60" s="162" t="s">
        <v>1585</v>
      </c>
      <c r="C60" s="162" t="s">
        <v>1586</v>
      </c>
      <c r="D60" s="160" t="s">
        <v>338</v>
      </c>
      <c r="E60" s="160" t="s">
        <v>338</v>
      </c>
      <c r="F60" s="160" t="s">
        <v>338</v>
      </c>
      <c r="G60" s="160" t="s">
        <v>338</v>
      </c>
      <c r="H60" s="160" t="s">
        <v>338</v>
      </c>
      <c r="I60" s="160" t="s">
        <v>338</v>
      </c>
      <c r="J60" s="160" t="s">
        <v>338</v>
      </c>
      <c r="K60" s="160" t="s">
        <v>338</v>
      </c>
      <c r="L60" s="160" t="s">
        <v>338</v>
      </c>
    </row>
    <row r="61" spans="1:12" x14ac:dyDescent="0.3">
      <c r="A61" s="160" t="s">
        <v>588</v>
      </c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15C4D5-6940-4112-8E15-A6A2E26234CE}">
            <xm:f>$A1=Summary!$K$29</xm:f>
            <x14:dxf>
              <fill>
                <patternFill>
                  <bgColor rgb="FF7030A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"/>
  <sheetViews>
    <sheetView workbookViewId="0">
      <selection activeCell="P20" sqref="P20"/>
    </sheetView>
  </sheetViews>
  <sheetFormatPr defaultRowHeight="14.4" x14ac:dyDescent="0.3"/>
  <cols>
    <col min="1" max="2" customWidth="true" width="13.109375"/>
    <col min="14" max="14" customWidth="true" width="10.5546875"/>
  </cols>
  <sheetData>
    <row r="1" spans="1:23" x14ac:dyDescent="0.3">
      <c r="A1" t="s" s="0">
        <v>277</v>
      </c>
      <c r="N1" t="str" s="0">
        <f>A1</f>
        <v>Exxon Mobil Corp (XOM) Historical Prices</v>
      </c>
      <c r="W1" s="118" t="s">
        <v>254</v>
      </c>
    </row>
    <row r="2" spans="1:23" x14ac:dyDescent="0.3">
      <c r="A2" t="s" s="0">
        <v>73</v>
      </c>
      <c r="B2" t="s" s="0">
        <v>136</v>
      </c>
      <c r="C2" t="s" s="0">
        <v>137</v>
      </c>
      <c r="D2" t="s" s="0">
        <v>138</v>
      </c>
      <c r="E2" t="s" s="0">
        <v>139</v>
      </c>
      <c r="F2" t="s" s="0">
        <v>140</v>
      </c>
      <c r="N2" t="str" s="0">
        <f t="shared" ref="N2" si="0">A2</f>
        <v>Date</v>
      </c>
      <c r="O2" t="str" s="0">
        <f t="shared" ref="O2:O13" si="1">B2</f>
        <v>Open</v>
      </c>
      <c r="P2" t="str" s="0">
        <f t="shared" ref="P2:P13" si="2">C2</f>
        <v>High</v>
      </c>
      <c r="Q2" t="str" s="0">
        <f t="shared" ref="Q2:Q13" si="3">D2</f>
        <v>Low</v>
      </c>
      <c r="R2" t="str" s="0">
        <f t="shared" ref="R2:R13" si="4">E2</f>
        <v>Close</v>
      </c>
      <c r="S2" t="str" s="0">
        <f t="shared" ref="S2:S13" si="5">F2</f>
        <v>Volume</v>
      </c>
      <c r="T2" s="0">
        <f t="shared" ref="T2:T13" si="6">G2</f>
        <v>0</v>
      </c>
      <c r="U2" s="0">
        <f t="shared" ref="U2:U13" si="7">H2</f>
        <v>0</v>
      </c>
    </row>
    <row r="3" spans="1:23" x14ac:dyDescent="0.3">
      <c r="A3" s="9">
        <v>43150</v>
      </c>
      <c r="B3" s="0">
        <v>83.64</v>
      </c>
      <c r="C3" s="0">
        <v>89.3</v>
      </c>
      <c r="D3" s="0">
        <v>73.900000000000006</v>
      </c>
      <c r="E3" s="0">
        <v>76.540000000000006</v>
      </c>
      <c r="F3" t="s" s="0">
        <v>278</v>
      </c>
      <c r="N3" s="133">
        <f>YEAR(A3)</f>
        <v>2018</v>
      </c>
      <c r="O3" s="0">
        <f t="shared" si="1"/>
        <v>83.64</v>
      </c>
      <c r="P3" s="0">
        <f t="shared" si="2"/>
        <v>89.3</v>
      </c>
      <c r="Q3" s="0">
        <f t="shared" si="3"/>
        <v>73.900000000000006</v>
      </c>
      <c r="R3" s="132">
        <f t="shared" si="4"/>
        <v>76.540000000000006</v>
      </c>
      <c r="S3" t="str" s="0">
        <f t="shared" si="5"/>
        <v>�</v>
      </c>
      <c r="T3" s="0">
        <f t="shared" si="6"/>
        <v>0</v>
      </c>
      <c r="U3" s="0">
        <f t="shared" si="7"/>
        <v>0</v>
      </c>
    </row>
    <row r="4" spans="1:23" x14ac:dyDescent="0.3">
      <c r="A4" s="9">
        <v>43098</v>
      </c>
      <c r="B4" s="0">
        <v>90.26</v>
      </c>
      <c r="C4" s="0">
        <v>91.34</v>
      </c>
      <c r="D4" s="0">
        <v>76.05</v>
      </c>
      <c r="E4" s="0">
        <v>83.64</v>
      </c>
      <c r="F4" s="85">
        <v>10689159</v>
      </c>
      <c r="N4" s="133">
        <f t="shared" ref="N4:N13" si="8">YEAR(A4)</f>
        <v>2017</v>
      </c>
      <c r="O4" s="0">
        <f t="shared" si="1"/>
        <v>90.26</v>
      </c>
      <c r="P4" s="0">
        <f t="shared" si="2"/>
        <v>91.34</v>
      </c>
      <c r="Q4" s="0">
        <f t="shared" si="3"/>
        <v>76.05</v>
      </c>
      <c r="R4" s="0">
        <f t="shared" si="4"/>
        <v>83.64</v>
      </c>
      <c r="S4" s="0">
        <f t="shared" si="5"/>
        <v>10689159</v>
      </c>
      <c r="T4" s="0">
        <f t="shared" si="6"/>
        <v>0</v>
      </c>
      <c r="U4" s="0">
        <f t="shared" si="7"/>
        <v>0</v>
      </c>
    </row>
    <row r="5" spans="1:23" x14ac:dyDescent="0.3">
      <c r="A5" s="9">
        <v>42734</v>
      </c>
      <c r="B5" s="0">
        <v>77.95</v>
      </c>
      <c r="C5" s="0">
        <v>95.55</v>
      </c>
      <c r="D5" s="0">
        <v>71.55</v>
      </c>
      <c r="E5" s="0">
        <v>90.26</v>
      </c>
      <c r="F5" s="85">
        <v>11977722</v>
      </c>
      <c r="N5" s="133">
        <f t="shared" si="8"/>
        <v>2016</v>
      </c>
      <c r="O5" s="0">
        <f t="shared" si="1"/>
        <v>77.95</v>
      </c>
      <c r="P5" s="0">
        <f t="shared" si="2"/>
        <v>95.55</v>
      </c>
      <c r="Q5" s="0">
        <f t="shared" si="3"/>
        <v>71.55</v>
      </c>
      <c r="R5" s="0">
        <f t="shared" si="4"/>
        <v>90.26</v>
      </c>
      <c r="S5" s="0">
        <f t="shared" si="5"/>
        <v>11977722</v>
      </c>
      <c r="T5" s="0">
        <f t="shared" si="6"/>
        <v>0</v>
      </c>
      <c r="U5" s="0">
        <f t="shared" si="7"/>
        <v>0</v>
      </c>
    </row>
    <row r="6" spans="1:23" x14ac:dyDescent="0.3">
      <c r="A6" s="9">
        <v>42369</v>
      </c>
      <c r="B6" s="0">
        <v>92.45</v>
      </c>
      <c r="C6" s="0">
        <v>93.45</v>
      </c>
      <c r="D6" s="0">
        <v>66.55</v>
      </c>
      <c r="E6" s="0">
        <v>77.95</v>
      </c>
      <c r="F6" s="85">
        <v>13593760</v>
      </c>
      <c r="N6" s="133">
        <f t="shared" si="8"/>
        <v>2015</v>
      </c>
      <c r="O6" s="0">
        <f t="shared" si="1"/>
        <v>92.45</v>
      </c>
      <c r="P6" s="0">
        <f t="shared" si="2"/>
        <v>93.45</v>
      </c>
      <c r="Q6" s="0">
        <f t="shared" si="3"/>
        <v>66.55</v>
      </c>
      <c r="R6" s="0">
        <f t="shared" si="4"/>
        <v>77.95</v>
      </c>
      <c r="S6" s="0">
        <f t="shared" si="5"/>
        <v>13593760</v>
      </c>
      <c r="T6" s="0">
        <f t="shared" si="6"/>
        <v>0</v>
      </c>
      <c r="U6" s="0">
        <f t="shared" si="7"/>
        <v>0</v>
      </c>
    </row>
    <row r="7" spans="1:23" x14ac:dyDescent="0.3">
      <c r="A7" s="9">
        <v>42004</v>
      </c>
      <c r="B7" s="0">
        <v>101.2</v>
      </c>
      <c r="C7" s="0">
        <v>104.76</v>
      </c>
      <c r="D7" s="0">
        <v>86.19</v>
      </c>
      <c r="E7" s="0">
        <v>92.45</v>
      </c>
      <c r="F7" s="85">
        <v>11316071</v>
      </c>
      <c r="N7" s="133">
        <f t="shared" si="8"/>
        <v>2014</v>
      </c>
      <c r="O7" s="0">
        <f t="shared" si="1"/>
        <v>101.2</v>
      </c>
      <c r="P7" s="0">
        <f t="shared" si="2"/>
        <v>104.76</v>
      </c>
      <c r="Q7" s="0">
        <f t="shared" si="3"/>
        <v>86.19</v>
      </c>
      <c r="R7" s="0">
        <f t="shared" si="4"/>
        <v>92.45</v>
      </c>
      <c r="S7" s="0">
        <f t="shared" si="5"/>
        <v>11316071</v>
      </c>
      <c r="T7" s="0">
        <f t="shared" si="6"/>
        <v>0</v>
      </c>
      <c r="U7" s="0">
        <f t="shared" si="7"/>
        <v>0</v>
      </c>
    </row>
    <row r="8" spans="1:23" x14ac:dyDescent="0.3">
      <c r="A8" s="9">
        <v>41639</v>
      </c>
      <c r="B8" s="0">
        <v>86.55</v>
      </c>
      <c r="C8" s="0">
        <v>101.74</v>
      </c>
      <c r="D8" s="0">
        <v>84.79</v>
      </c>
      <c r="E8" s="0">
        <v>101.2</v>
      </c>
      <c r="F8" s="85">
        <v>12227211</v>
      </c>
      <c r="N8" s="133">
        <f t="shared" si="8"/>
        <v>2013</v>
      </c>
      <c r="O8" s="0">
        <f t="shared" si="1"/>
        <v>86.55</v>
      </c>
      <c r="P8" s="0">
        <f t="shared" si="2"/>
        <v>101.74</v>
      </c>
      <c r="Q8" s="0">
        <f t="shared" si="3"/>
        <v>84.79</v>
      </c>
      <c r="R8" s="0">
        <f t="shared" si="4"/>
        <v>101.2</v>
      </c>
      <c r="S8" s="0">
        <f t="shared" si="5"/>
        <v>12227211</v>
      </c>
      <c r="T8" s="0">
        <f t="shared" si="6"/>
        <v>0</v>
      </c>
      <c r="U8" s="0">
        <f t="shared" si="7"/>
        <v>0</v>
      </c>
    </row>
    <row r="9" spans="1:23" x14ac:dyDescent="0.3">
      <c r="A9" s="9">
        <v>41274</v>
      </c>
      <c r="B9" s="0">
        <v>84.76</v>
      </c>
      <c r="C9" s="0">
        <v>93.67</v>
      </c>
      <c r="D9" s="0">
        <v>77.13</v>
      </c>
      <c r="E9" s="0">
        <v>86.55</v>
      </c>
      <c r="F9" s="85">
        <v>14349125</v>
      </c>
      <c r="N9" s="133">
        <f t="shared" si="8"/>
        <v>2012</v>
      </c>
      <c r="O9" s="0">
        <f t="shared" si="1"/>
        <v>84.76</v>
      </c>
      <c r="P9" s="0">
        <f t="shared" si="2"/>
        <v>93.67</v>
      </c>
      <c r="Q9" s="0">
        <f t="shared" si="3"/>
        <v>77.13</v>
      </c>
      <c r="R9" s="0">
        <f t="shared" si="4"/>
        <v>86.55</v>
      </c>
      <c r="S9" s="0">
        <f t="shared" si="5"/>
        <v>14349125</v>
      </c>
      <c r="T9" s="0">
        <f t="shared" si="6"/>
        <v>0</v>
      </c>
      <c r="U9" s="0">
        <f t="shared" si="7"/>
        <v>0</v>
      </c>
    </row>
    <row r="10" spans="1:23" x14ac:dyDescent="0.3">
      <c r="A10" s="9">
        <v>40907</v>
      </c>
      <c r="B10" s="0">
        <v>73.72</v>
      </c>
      <c r="C10" s="0">
        <v>88.23</v>
      </c>
      <c r="D10" s="0">
        <v>67.03</v>
      </c>
      <c r="E10" s="0">
        <v>84.76</v>
      </c>
      <c r="F10" s="85">
        <v>21744151</v>
      </c>
      <c r="N10" s="133">
        <f t="shared" si="8"/>
        <v>2011</v>
      </c>
      <c r="O10" s="0">
        <f t="shared" si="1"/>
        <v>73.72</v>
      </c>
      <c r="P10" s="0">
        <f t="shared" si="2"/>
        <v>88.23</v>
      </c>
      <c r="Q10" s="0">
        <f t="shared" si="3"/>
        <v>67.03</v>
      </c>
      <c r="R10" s="0">
        <f t="shared" si="4"/>
        <v>84.76</v>
      </c>
      <c r="S10" s="0">
        <f t="shared" si="5"/>
        <v>21744151</v>
      </c>
      <c r="T10" s="0">
        <f t="shared" si="6"/>
        <v>0</v>
      </c>
      <c r="U10" s="0">
        <f t="shared" si="7"/>
        <v>0</v>
      </c>
    </row>
    <row r="11" spans="1:23" x14ac:dyDescent="0.3">
      <c r="A11" s="9">
        <v>40543</v>
      </c>
      <c r="B11" s="0">
        <v>68.72</v>
      </c>
      <c r="C11" s="0">
        <v>73.69</v>
      </c>
      <c r="D11" s="0">
        <v>55.94</v>
      </c>
      <c r="E11" s="0">
        <v>73.12</v>
      </c>
      <c r="F11" s="85">
        <v>26392990</v>
      </c>
      <c r="N11" s="133">
        <f t="shared" si="8"/>
        <v>2010</v>
      </c>
      <c r="O11" s="0">
        <f t="shared" si="1"/>
        <v>68.72</v>
      </c>
      <c r="P11" s="0">
        <f t="shared" si="2"/>
        <v>73.69</v>
      </c>
      <c r="Q11" s="0">
        <f t="shared" si="3"/>
        <v>55.94</v>
      </c>
      <c r="R11" s="0">
        <f t="shared" si="4"/>
        <v>73.12</v>
      </c>
      <c r="S11" s="0">
        <f t="shared" si="5"/>
        <v>26392990</v>
      </c>
      <c r="T11" s="0">
        <f t="shared" si="6"/>
        <v>0</v>
      </c>
      <c r="U11" s="0">
        <f t="shared" si="7"/>
        <v>0</v>
      </c>
    </row>
    <row r="12" spans="1:23" x14ac:dyDescent="0.3">
      <c r="A12" s="9">
        <v>40178</v>
      </c>
      <c r="B12" s="0">
        <v>80.06</v>
      </c>
      <c r="C12" s="0">
        <v>82.73</v>
      </c>
      <c r="D12" s="0">
        <v>61.86</v>
      </c>
      <c r="E12" s="0">
        <v>68.19</v>
      </c>
      <c r="F12" s="85">
        <v>28394771</v>
      </c>
      <c r="N12" s="133">
        <f t="shared" si="8"/>
        <v>2009</v>
      </c>
      <c r="O12" s="0">
        <f t="shared" si="1"/>
        <v>80.06</v>
      </c>
      <c r="P12" s="0">
        <f t="shared" si="2"/>
        <v>82.73</v>
      </c>
      <c r="Q12" s="0">
        <f t="shared" si="3"/>
        <v>61.86</v>
      </c>
      <c r="R12" s="0">
        <f t="shared" si="4"/>
        <v>68.19</v>
      </c>
      <c r="S12" s="0">
        <f t="shared" si="5"/>
        <v>28394771</v>
      </c>
      <c r="T12" s="0">
        <f t="shared" si="6"/>
        <v>0</v>
      </c>
      <c r="U12" s="0">
        <f t="shared" si="7"/>
        <v>0</v>
      </c>
    </row>
    <row r="13" spans="1:23" x14ac:dyDescent="0.3">
      <c r="A13" s="9">
        <v>39813</v>
      </c>
      <c r="B13" s="0">
        <v>94.15</v>
      </c>
      <c r="C13" s="0">
        <v>96.12</v>
      </c>
      <c r="D13" s="0">
        <v>56.51</v>
      </c>
      <c r="E13" s="0">
        <v>79.83</v>
      </c>
      <c r="F13" s="85">
        <v>34227067</v>
      </c>
      <c r="N13" s="133">
        <f t="shared" si="8"/>
        <v>2008</v>
      </c>
      <c r="O13" s="0">
        <f t="shared" si="1"/>
        <v>94.15</v>
      </c>
      <c r="P13" s="0">
        <f t="shared" si="2"/>
        <v>96.12</v>
      </c>
      <c r="Q13" s="0">
        <f t="shared" si="3"/>
        <v>56.51</v>
      </c>
      <c r="R13" s="0">
        <f t="shared" si="4"/>
        <v>79.83</v>
      </c>
      <c r="S13" s="0">
        <f t="shared" si="5"/>
        <v>34227067</v>
      </c>
      <c r="T13" s="0">
        <f t="shared" si="6"/>
        <v>0</v>
      </c>
      <c r="U13" s="0">
        <f t="shared" si="7"/>
        <v>0</v>
      </c>
    </row>
    <row r="14" spans="1:23" x14ac:dyDescent="0.3">
      <c r="A14" s="9">
        <v>39447</v>
      </c>
      <c r="B14" s="0">
        <v>76.260000000000005</v>
      </c>
      <c r="C14" s="0">
        <v>95.27</v>
      </c>
      <c r="D14" s="0">
        <v>69.02</v>
      </c>
      <c r="E14" s="0">
        <v>93.69</v>
      </c>
      <c r="F14" s="85">
        <v>23819920</v>
      </c>
      <c r="N14" s="133">
        <f t="shared" ref="N14:N20" si="9">YEAR(A14)</f>
        <v>2007</v>
      </c>
      <c r="O14" s="0">
        <f t="shared" ref="O14:O20" si="10">B14</f>
        <v>76.260000000000005</v>
      </c>
      <c r="P14" s="0">
        <f t="shared" ref="P14:P20" si="11">C14</f>
        <v>95.27</v>
      </c>
      <c r="Q14" s="0">
        <f t="shared" ref="Q14:Q20" si="12">D14</f>
        <v>69.02</v>
      </c>
      <c r="R14" s="0">
        <f t="shared" ref="R14:R20" si="13">E14</f>
        <v>93.69</v>
      </c>
      <c r="S14" s="0">
        <f t="shared" ref="S14:S20" si="14">F14</f>
        <v>23819920</v>
      </c>
      <c r="T14" s="0">
        <f t="shared" ref="T14:T20" si="15">G14</f>
        <v>0</v>
      </c>
      <c r="U14" s="0">
        <f t="shared" ref="U14:U20" si="16">H14</f>
        <v>0</v>
      </c>
    </row>
    <row r="15" spans="1:23" x14ac:dyDescent="0.3">
      <c r="A15" s="9">
        <v>39080</v>
      </c>
      <c r="B15" s="0">
        <v>56.42</v>
      </c>
      <c r="C15" s="0">
        <v>79</v>
      </c>
      <c r="D15" s="0">
        <v>56.42</v>
      </c>
      <c r="E15" s="0">
        <v>76.63</v>
      </c>
      <c r="F15" s="85">
        <v>19177218</v>
      </c>
      <c r="N15" s="133">
        <f t="shared" si="9"/>
        <v>2006</v>
      </c>
      <c r="O15" s="0">
        <f t="shared" si="10"/>
        <v>56.42</v>
      </c>
      <c r="P15" s="0">
        <f t="shared" si="11"/>
        <v>79</v>
      </c>
      <c r="Q15" s="0">
        <f t="shared" si="12"/>
        <v>56.42</v>
      </c>
      <c r="R15" s="0">
        <f t="shared" si="13"/>
        <v>76.63</v>
      </c>
      <c r="S15" s="0">
        <f t="shared" si="14"/>
        <v>19177218</v>
      </c>
      <c r="T15" s="0">
        <f t="shared" si="15"/>
        <v>0</v>
      </c>
      <c r="U15" s="0">
        <f t="shared" si="16"/>
        <v>0</v>
      </c>
    </row>
    <row r="16" spans="1:23" x14ac:dyDescent="0.3">
      <c r="A16" s="9">
        <v>38716</v>
      </c>
      <c r="B16" s="0">
        <v>51.02</v>
      </c>
      <c r="C16" s="0">
        <v>65.959999999999994</v>
      </c>
      <c r="D16" s="0">
        <v>49.25</v>
      </c>
      <c r="E16" s="0">
        <v>56.17</v>
      </c>
      <c r="F16" s="85">
        <v>18246072</v>
      </c>
      <c r="N16" s="133">
        <f t="shared" si="9"/>
        <v>2005</v>
      </c>
      <c r="O16" s="0">
        <f t="shared" si="10"/>
        <v>51.02</v>
      </c>
      <c r="P16" s="0">
        <f t="shared" si="11"/>
        <v>65.959999999999994</v>
      </c>
      <c r="Q16" s="0">
        <f t="shared" si="12"/>
        <v>49.25</v>
      </c>
      <c r="R16" s="0">
        <f t="shared" si="13"/>
        <v>56.17</v>
      </c>
      <c r="S16" s="0">
        <f t="shared" si="14"/>
        <v>18246072</v>
      </c>
      <c r="T16" s="0">
        <f t="shared" si="15"/>
        <v>0</v>
      </c>
      <c r="U16" s="0">
        <f t="shared" si="16"/>
        <v>0</v>
      </c>
    </row>
    <row r="17" spans="1:21" x14ac:dyDescent="0.3">
      <c r="A17" s="9">
        <v>38352</v>
      </c>
      <c r="B17" s="0">
        <v>41.02</v>
      </c>
      <c r="C17" s="0">
        <v>52.05</v>
      </c>
      <c r="D17" s="0">
        <v>39.909999999999997</v>
      </c>
      <c r="E17" s="0">
        <v>51.26</v>
      </c>
      <c r="F17" s="85">
        <v>11320692</v>
      </c>
      <c r="N17" s="133">
        <f t="shared" si="9"/>
        <v>2004</v>
      </c>
      <c r="O17" s="0">
        <f t="shared" si="10"/>
        <v>41.02</v>
      </c>
      <c r="P17" s="0">
        <f t="shared" si="11"/>
        <v>52.05</v>
      </c>
      <c r="Q17" s="0">
        <f t="shared" si="12"/>
        <v>39.909999999999997</v>
      </c>
      <c r="R17" s="0">
        <f t="shared" si="13"/>
        <v>51.26</v>
      </c>
      <c r="S17" s="0">
        <f t="shared" si="14"/>
        <v>11320692</v>
      </c>
      <c r="T17" s="0">
        <f t="shared" si="15"/>
        <v>0</v>
      </c>
      <c r="U17" s="0">
        <f t="shared" si="16"/>
        <v>0</v>
      </c>
    </row>
    <row r="18" spans="1:21" x14ac:dyDescent="0.3">
      <c r="A18" s="9">
        <v>37986</v>
      </c>
      <c r="B18" s="0">
        <v>35</v>
      </c>
      <c r="C18" s="0">
        <v>41.13</v>
      </c>
      <c r="D18" s="0">
        <v>31.58</v>
      </c>
      <c r="E18" s="0">
        <v>41</v>
      </c>
      <c r="F18" s="85">
        <v>11308872</v>
      </c>
      <c r="N18" s="133">
        <f t="shared" si="9"/>
        <v>2003</v>
      </c>
      <c r="O18" s="0">
        <f t="shared" si="10"/>
        <v>35</v>
      </c>
      <c r="P18" s="0">
        <f t="shared" si="11"/>
        <v>41.13</v>
      </c>
      <c r="Q18" s="0">
        <f t="shared" si="12"/>
        <v>31.58</v>
      </c>
      <c r="R18" s="0">
        <f t="shared" si="13"/>
        <v>41</v>
      </c>
      <c r="S18" s="0">
        <f t="shared" si="14"/>
        <v>11308872</v>
      </c>
      <c r="T18" s="0">
        <f t="shared" si="15"/>
        <v>0</v>
      </c>
      <c r="U18" s="0">
        <f t="shared" si="16"/>
        <v>0</v>
      </c>
    </row>
    <row r="19" spans="1:21" x14ac:dyDescent="0.3">
      <c r="A19" s="9">
        <v>37621</v>
      </c>
      <c r="B19" s="0">
        <v>39.979999999999997</v>
      </c>
      <c r="C19" s="0">
        <v>41.1</v>
      </c>
      <c r="D19" s="0">
        <v>29.75</v>
      </c>
      <c r="E19" s="0">
        <v>35</v>
      </c>
      <c r="F19" s="85">
        <v>12994583</v>
      </c>
      <c r="N19" s="133">
        <f t="shared" si="9"/>
        <v>2002</v>
      </c>
      <c r="O19" s="0">
        <f t="shared" si="10"/>
        <v>39.979999999999997</v>
      </c>
      <c r="P19" s="0">
        <f t="shared" si="11"/>
        <v>41.1</v>
      </c>
      <c r="Q19" s="0">
        <f t="shared" si="12"/>
        <v>29.75</v>
      </c>
      <c r="R19" s="0">
        <f t="shared" si="13"/>
        <v>35</v>
      </c>
      <c r="S19" s="0">
        <f t="shared" si="14"/>
        <v>12994583</v>
      </c>
      <c r="T19" s="0">
        <f t="shared" si="15"/>
        <v>0</v>
      </c>
      <c r="U19" s="0">
        <f t="shared" si="16"/>
        <v>0</v>
      </c>
    </row>
    <row r="20" spans="1:21" x14ac:dyDescent="0.3">
      <c r="A20" s="9">
        <v>37413</v>
      </c>
      <c r="B20" s="0">
        <v>39.979999999999997</v>
      </c>
      <c r="C20" s="0">
        <v>40.159999999999997</v>
      </c>
      <c r="D20" s="0">
        <v>38.909999999999997</v>
      </c>
      <c r="E20" s="0">
        <v>39.15</v>
      </c>
      <c r="F20" t="s" s="0">
        <v>278</v>
      </c>
      <c r="N20" s="133">
        <f t="shared" si="9"/>
        <v>2002</v>
      </c>
      <c r="O20" s="0">
        <f t="shared" si="10"/>
        <v>39.979999999999997</v>
      </c>
      <c r="P20" s="0">
        <f t="shared" si="11"/>
        <v>40.159999999999997</v>
      </c>
      <c r="Q20" s="0">
        <f t="shared" si="12"/>
        <v>38.909999999999997</v>
      </c>
      <c r="R20" s="0">
        <f t="shared" si="13"/>
        <v>39.15</v>
      </c>
      <c r="S20" t="str" s="0">
        <f t="shared" si="14"/>
        <v>�</v>
      </c>
      <c r="T20" s="0">
        <f t="shared" si="15"/>
        <v>0</v>
      </c>
      <c r="U20" s="0">
        <f t="shared" si="16"/>
        <v>0</v>
      </c>
    </row>
  </sheetData>
  <sortState xmlns:xlrd2="http://schemas.microsoft.com/office/spreadsheetml/2017/richdata2" ref="A3:F13">
    <sortCondition ref="A1"/>
  </sortState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D34BAAB-3A26-47AE-9359-EA923E9431BF}">
            <xm:f>N$2=Summary!$H$29</xm:f>
            <x14:dxf>
              <fill>
                <patternFill>
                  <bgColor rgb="FFC00000"/>
                </patternFill>
              </fill>
            </x14:dxf>
          </x14:cfRule>
          <x14:cfRule type="expression" priority="2" id="{12AC4ED1-572E-4B01-8511-EB0ACA72A325}">
            <xm:f>N$2=Summary!$G$29</xm:f>
            <x14:dxf>
              <fill>
                <patternFill>
                  <bgColor rgb="FF00B0F0"/>
                </patternFill>
              </fill>
            </x14:dxf>
          </x14:cfRule>
          <xm:sqref>N2:AT51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1"/>
  <sheetViews>
    <sheetView workbookViewId="0">
      <selection activeCell="I35" sqref="I35"/>
    </sheetView>
  </sheetViews>
  <sheetFormatPr defaultRowHeight="14.4" x14ac:dyDescent="0.3"/>
  <cols>
    <col min="1" max="1" customWidth="true" width="29.44140625"/>
  </cols>
  <sheetData>
    <row r="1" spans="1:12" x14ac:dyDescent="0.3">
      <c r="A1" t="s" s="0">
        <v>279</v>
      </c>
    </row>
    <row r="2" spans="1:12" x14ac:dyDescent="0.3">
      <c r="A2" t="s" s="0">
        <v>141</v>
      </c>
    </row>
    <row r="3" spans="1:12" x14ac:dyDescent="0.3">
      <c r="B3" t="s" s="0">
        <v>1</v>
      </c>
      <c r="C3" t="s" s="0">
        <v>265</v>
      </c>
      <c r="D3" t="s" s="0">
        <v>264</v>
      </c>
      <c r="E3" t="s" s="0">
        <v>263</v>
      </c>
      <c r="F3" t="s" s="0">
        <v>262</v>
      </c>
      <c r="G3" t="s" s="0">
        <v>261</v>
      </c>
      <c r="H3" t="s" s="0">
        <v>260</v>
      </c>
      <c r="I3" t="s" s="0">
        <v>259</v>
      </c>
      <c r="J3" t="s" s="0">
        <v>258</v>
      </c>
      <c r="K3" t="s" s="0">
        <v>257</v>
      </c>
      <c r="L3" t="s" s="0">
        <v>256</v>
      </c>
    </row>
    <row r="4" spans="1:12" x14ac:dyDescent="0.3">
      <c r="A4" t="s" s="0">
        <v>266</v>
      </c>
      <c r="B4" s="85">
        <v>253344</v>
      </c>
      <c r="C4" s="85">
        <v>226094</v>
      </c>
      <c r="D4" s="85">
        <v>268882</v>
      </c>
      <c r="E4" s="85">
        <v>411939</v>
      </c>
      <c r="F4" s="85">
        <v>438255</v>
      </c>
      <c r="G4" s="85">
        <v>480681</v>
      </c>
      <c r="H4" s="85">
        <v>486429</v>
      </c>
      <c r="I4" s="85">
        <v>383221</v>
      </c>
      <c r="J4" s="85">
        <v>310586</v>
      </c>
      <c r="K4" s="85">
        <v>477359</v>
      </c>
      <c r="L4" s="85">
        <v>404552</v>
      </c>
    </row>
    <row r="5" spans="1:12" x14ac:dyDescent="0.3">
      <c r="A5" t="s" s="0">
        <v>142</v>
      </c>
      <c r="B5" s="0">
        <v>30.7</v>
      </c>
      <c r="C5" s="0">
        <v>30.5</v>
      </c>
      <c r="D5" s="0">
        <v>30</v>
      </c>
      <c r="E5" s="0">
        <v>28.1</v>
      </c>
      <c r="F5" s="0">
        <v>28.1</v>
      </c>
      <c r="G5" s="0">
        <v>30.4</v>
      </c>
      <c r="H5" s="0">
        <v>30</v>
      </c>
      <c r="I5" s="0">
        <v>31.6</v>
      </c>
      <c r="J5" s="0">
        <v>31.8</v>
      </c>
      <c r="K5" s="0">
        <v>39.799999999999997</v>
      </c>
      <c r="L5" s="0">
        <v>42.8</v>
      </c>
    </row>
    <row r="6" spans="1:12" x14ac:dyDescent="0.3">
      <c r="A6" t="s" s="0">
        <v>267</v>
      </c>
      <c r="B6" s="85">
        <v>16884</v>
      </c>
      <c r="C6" s="85">
        <v>8422</v>
      </c>
      <c r="D6" s="85">
        <v>22277</v>
      </c>
      <c r="E6" s="85">
        <v>51916</v>
      </c>
      <c r="F6" s="85">
        <v>57720</v>
      </c>
      <c r="G6" s="85">
        <v>79053</v>
      </c>
      <c r="H6" s="85">
        <v>73504</v>
      </c>
      <c r="I6" s="85">
        <v>53218</v>
      </c>
      <c r="J6" s="85">
        <v>35325</v>
      </c>
      <c r="K6" s="85">
        <v>84070</v>
      </c>
      <c r="L6" s="85">
        <v>71879</v>
      </c>
    </row>
    <row r="7" spans="1:12" x14ac:dyDescent="0.3">
      <c r="A7" t="s" s="0">
        <v>143</v>
      </c>
      <c r="B7" s="0">
        <v>6.7</v>
      </c>
      <c r="C7" s="0">
        <v>3.7</v>
      </c>
      <c r="D7" s="0">
        <v>8.3000000000000007</v>
      </c>
      <c r="E7" s="0">
        <v>12.6</v>
      </c>
      <c r="F7" s="0">
        <v>13.2</v>
      </c>
      <c r="G7" s="0">
        <v>16.399999999999999</v>
      </c>
      <c r="H7" s="0">
        <v>15.1</v>
      </c>
      <c r="I7" s="0">
        <v>13.9</v>
      </c>
      <c r="J7" s="0">
        <v>11.4</v>
      </c>
      <c r="K7" s="0">
        <v>17.600000000000001</v>
      </c>
      <c r="L7" s="0">
        <v>17.8</v>
      </c>
    </row>
    <row r="8" spans="1:12" x14ac:dyDescent="0.3">
      <c r="A8" t="s" s="0">
        <v>268</v>
      </c>
      <c r="B8" s="85">
        <v>13010</v>
      </c>
      <c r="C8" s="85">
        <v>7840</v>
      </c>
      <c r="D8" s="85">
        <v>16150</v>
      </c>
      <c r="E8" s="85">
        <v>32520</v>
      </c>
      <c r="F8" s="85">
        <v>32580</v>
      </c>
      <c r="G8" s="85">
        <v>44880</v>
      </c>
      <c r="H8" s="85">
        <v>41060</v>
      </c>
      <c r="I8" s="85">
        <v>30460</v>
      </c>
      <c r="J8" s="85">
        <v>19280</v>
      </c>
      <c r="K8" s="85">
        <v>45220</v>
      </c>
      <c r="L8" s="85">
        <v>40610</v>
      </c>
    </row>
    <row r="9" spans="1:12" x14ac:dyDescent="0.3">
      <c r="A9" t="s" s="0">
        <v>269</v>
      </c>
      <c r="B9" s="0">
        <v>3.07</v>
      </c>
      <c r="C9" s="0">
        <v>1.88</v>
      </c>
      <c r="D9" s="0">
        <v>3.85</v>
      </c>
      <c r="E9" s="0">
        <v>7.6</v>
      </c>
      <c r="F9" s="0">
        <v>7.37</v>
      </c>
      <c r="G9" s="0">
        <v>9.6999999999999993</v>
      </c>
      <c r="H9" s="0">
        <v>8.42</v>
      </c>
      <c r="I9" s="0">
        <v>6.22</v>
      </c>
      <c r="J9" s="0">
        <v>3.98</v>
      </c>
      <c r="K9" s="0">
        <v>8.66</v>
      </c>
      <c r="L9" s="0">
        <v>7.26</v>
      </c>
    </row>
    <row r="10" spans="1:12" x14ac:dyDescent="0.3">
      <c r="A10" t="s" s="0">
        <v>270</v>
      </c>
      <c r="B10" s="0">
        <v>3.04</v>
      </c>
      <c r="C10" s="0">
        <v>2.98</v>
      </c>
      <c r="D10" s="0">
        <v>2.88</v>
      </c>
      <c r="E10" s="0">
        <v>2.7</v>
      </c>
      <c r="F10" s="0">
        <v>2.46</v>
      </c>
      <c r="G10" s="0">
        <v>2.1800000000000002</v>
      </c>
      <c r="H10" s="0">
        <v>1.85</v>
      </c>
      <c r="I10" s="0">
        <v>1.74</v>
      </c>
      <c r="J10" s="0">
        <v>1.66</v>
      </c>
      <c r="K10" s="0">
        <v>1.55</v>
      </c>
      <c r="L10" s="0">
        <v>1.37</v>
      </c>
    </row>
    <row r="11" spans="1:12" x14ac:dyDescent="0.3">
      <c r="A11" t="s" s="0">
        <v>144</v>
      </c>
      <c r="B11" s="0">
        <v>99</v>
      </c>
      <c r="C11" s="0">
        <v>138.30000000000001</v>
      </c>
      <c r="D11" s="0">
        <v>59.9</v>
      </c>
      <c r="E11" s="0">
        <v>33.200000000000003</v>
      </c>
      <c r="F11" s="0">
        <v>31.3</v>
      </c>
      <c r="G11" s="0">
        <v>22.5</v>
      </c>
      <c r="H11" s="0">
        <v>21.9</v>
      </c>
      <c r="I11" s="0">
        <v>27.9</v>
      </c>
      <c r="J11" s="0">
        <v>41.7</v>
      </c>
      <c r="K11" s="0">
        <v>17.8</v>
      </c>
    </row>
    <row r="12" spans="1:12" x14ac:dyDescent="0.3">
      <c r="A12" t="s" s="0">
        <v>145</v>
      </c>
      <c r="B12" s="85">
        <v>4233</v>
      </c>
      <c r="C12" s="85">
        <v>4177</v>
      </c>
      <c r="D12" s="85">
        <v>4196</v>
      </c>
      <c r="E12" s="85">
        <v>4282</v>
      </c>
      <c r="F12" s="85">
        <v>4419</v>
      </c>
      <c r="G12" s="85">
        <v>4628</v>
      </c>
      <c r="H12" s="85">
        <v>4875</v>
      </c>
      <c r="I12" s="85">
        <v>4897</v>
      </c>
      <c r="J12" s="85">
        <v>4848</v>
      </c>
      <c r="K12" s="85">
        <v>5222</v>
      </c>
      <c r="L12" s="85">
        <v>5594</v>
      </c>
    </row>
    <row r="13" spans="1:12" x14ac:dyDescent="0.3">
      <c r="A13" t="s" s="0">
        <v>271</v>
      </c>
      <c r="B13" s="0">
        <v>43</v>
      </c>
      <c r="C13" s="0">
        <v>41.13</v>
      </c>
      <c r="D13" s="0">
        <v>41.08</v>
      </c>
      <c r="E13" s="0">
        <v>42.99</v>
      </c>
      <c r="F13" s="0">
        <v>39.04</v>
      </c>
      <c r="G13" s="0">
        <v>36.840000000000003</v>
      </c>
      <c r="H13" s="0">
        <v>32.94</v>
      </c>
      <c r="I13" s="0">
        <v>29.49</v>
      </c>
      <c r="J13" s="0">
        <v>23.39</v>
      </c>
      <c r="K13" s="0">
        <v>22.21</v>
      </c>
    </row>
    <row r="14" spans="1:12" x14ac:dyDescent="0.3">
      <c r="A14" t="s" s="0">
        <v>272</v>
      </c>
      <c r="B14" s="85">
        <v>30051</v>
      </c>
      <c r="C14" s="85">
        <v>22082</v>
      </c>
      <c r="D14" s="85">
        <v>30344</v>
      </c>
      <c r="E14" s="85">
        <v>45116</v>
      </c>
      <c r="F14" s="85">
        <v>44914</v>
      </c>
      <c r="G14" s="85">
        <v>56170</v>
      </c>
      <c r="H14" s="85">
        <v>55345</v>
      </c>
      <c r="I14" s="85">
        <v>48413</v>
      </c>
      <c r="J14" s="85">
        <v>28438</v>
      </c>
      <c r="K14" s="85">
        <v>59725</v>
      </c>
      <c r="L14" s="85">
        <v>52002</v>
      </c>
    </row>
    <row r="15" spans="1:12" x14ac:dyDescent="0.3">
      <c r="A15" t="s" s="0">
        <v>273</v>
      </c>
      <c r="B15" s="85">
        <v>-14788</v>
      </c>
      <c r="C15" s="85">
        <v>-16163</v>
      </c>
      <c r="D15" s="85">
        <v>-26490</v>
      </c>
      <c r="E15" s="85">
        <v>-32952</v>
      </c>
      <c r="F15" s="85">
        <v>-33669</v>
      </c>
      <c r="G15" s="85">
        <v>-34271</v>
      </c>
      <c r="H15" s="85">
        <v>-30975</v>
      </c>
      <c r="I15" s="85">
        <v>-26871</v>
      </c>
      <c r="J15" s="85">
        <v>-22491</v>
      </c>
      <c r="K15" s="85">
        <v>-19318</v>
      </c>
      <c r="L15" s="85">
        <v>-15387</v>
      </c>
    </row>
    <row r="16" spans="1:12" x14ac:dyDescent="0.3">
      <c r="A16" t="s" s="0">
        <v>274</v>
      </c>
      <c r="B16" s="85">
        <v>15263</v>
      </c>
      <c r="C16" s="85">
        <v>5919</v>
      </c>
      <c r="D16" s="85">
        <v>3854</v>
      </c>
      <c r="E16" s="85">
        <v>12164</v>
      </c>
      <c r="F16" s="85">
        <v>11245</v>
      </c>
      <c r="G16" s="85">
        <v>21899</v>
      </c>
      <c r="H16" s="85">
        <v>24370</v>
      </c>
      <c r="I16" s="85">
        <v>21542</v>
      </c>
      <c r="J16" s="85">
        <v>5947</v>
      </c>
      <c r="K16" s="85">
        <v>40407</v>
      </c>
      <c r="L16" s="85">
        <v>36615</v>
      </c>
    </row>
    <row r="17" spans="1:12" x14ac:dyDescent="0.3">
      <c r="A17" t="s" s="0">
        <v>275</v>
      </c>
      <c r="C17" s="0">
        <v>0.16</v>
      </c>
      <c r="D17" s="0">
        <v>0.98</v>
      </c>
      <c r="E17" s="0">
        <v>3.57</v>
      </c>
      <c r="F17" s="0">
        <v>2.83</v>
      </c>
      <c r="G17" s="0">
        <v>4.7300000000000004</v>
      </c>
      <c r="H17" s="0">
        <v>5.59</v>
      </c>
      <c r="I17" s="0">
        <v>4.4000000000000004</v>
      </c>
      <c r="J17" s="0">
        <v>1.23</v>
      </c>
      <c r="K17" s="0">
        <v>7.77</v>
      </c>
    </row>
    <row r="18" spans="1:12" x14ac:dyDescent="0.3">
      <c r="A18" t="s" s="0">
        <v>276</v>
      </c>
      <c r="C18" s="85">
        <v>-6222</v>
      </c>
      <c r="D18" s="85">
        <v>-11353</v>
      </c>
      <c r="E18" s="85">
        <v>-11723</v>
      </c>
      <c r="F18" s="85">
        <v>-12416</v>
      </c>
      <c r="G18" s="0">
        <v>321</v>
      </c>
      <c r="H18" s="85">
        <v>-4542</v>
      </c>
      <c r="I18" s="85">
        <v>-3649</v>
      </c>
      <c r="J18" s="85">
        <v>3174</v>
      </c>
      <c r="K18" s="85">
        <v>23166</v>
      </c>
      <c r="L18" s="85">
        <v>27651</v>
      </c>
    </row>
    <row r="20" spans="1:12" x14ac:dyDescent="0.3">
      <c r="A20" t="s" s="0">
        <v>146</v>
      </c>
    </row>
    <row r="21" spans="1:12" x14ac:dyDescent="0.3">
      <c r="A21" t="s" s="0">
        <v>147</v>
      </c>
      <c r="B21" t="s" s="0">
        <v>1</v>
      </c>
      <c r="C21" t="s" s="0">
        <v>265</v>
      </c>
      <c r="D21" t="s" s="0">
        <v>264</v>
      </c>
      <c r="E21" t="s" s="0">
        <v>263</v>
      </c>
      <c r="F21" t="s" s="0">
        <v>262</v>
      </c>
      <c r="G21" t="s" s="0">
        <v>261</v>
      </c>
      <c r="H21" t="s" s="0">
        <v>260</v>
      </c>
      <c r="I21" t="s" s="0">
        <v>259</v>
      </c>
      <c r="J21" t="s" s="0">
        <v>258</v>
      </c>
      <c r="K21" t="s" s="0">
        <v>257</v>
      </c>
      <c r="L21" t="s" s="0">
        <v>256</v>
      </c>
    </row>
    <row r="22" spans="1:12" x14ac:dyDescent="0.3">
      <c r="A22" t="s" s="0">
        <v>2</v>
      </c>
      <c r="B22" s="0">
        <v>100</v>
      </c>
      <c r="C22" s="0">
        <v>100</v>
      </c>
      <c r="D22" s="0">
        <v>100</v>
      </c>
      <c r="E22" s="0">
        <v>100</v>
      </c>
      <c r="F22" s="0">
        <v>100</v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</row>
    <row r="23" spans="1:12" x14ac:dyDescent="0.3">
      <c r="A23" t="s" s="0">
        <v>148</v>
      </c>
      <c r="B23" s="0">
        <v>69.33</v>
      </c>
      <c r="C23" s="0">
        <v>69.52</v>
      </c>
      <c r="D23" s="0">
        <v>70.02</v>
      </c>
      <c r="E23" s="0">
        <v>71.900000000000006</v>
      </c>
      <c r="F23" s="0">
        <v>71.94</v>
      </c>
      <c r="G23" s="0">
        <v>69.58</v>
      </c>
      <c r="H23" s="0">
        <v>69.959999999999994</v>
      </c>
      <c r="I23" s="0">
        <v>68.45</v>
      </c>
      <c r="J23" s="0">
        <v>68.180000000000007</v>
      </c>
      <c r="K23" s="0">
        <v>60.2</v>
      </c>
      <c r="L23" s="0">
        <v>57.19</v>
      </c>
    </row>
    <row r="24" spans="1:12" x14ac:dyDescent="0.3">
      <c r="A24" t="s" s="0">
        <v>149</v>
      </c>
      <c r="B24" s="0">
        <v>30.67</v>
      </c>
      <c r="C24" s="0">
        <v>30.48</v>
      </c>
      <c r="D24" s="0">
        <v>29.98</v>
      </c>
      <c r="E24" s="0">
        <v>28.1</v>
      </c>
      <c r="F24" s="0">
        <v>28.06</v>
      </c>
      <c r="G24" s="0">
        <v>30.42</v>
      </c>
      <c r="H24" s="0">
        <v>30.04</v>
      </c>
      <c r="I24" s="0">
        <v>31.55</v>
      </c>
      <c r="J24" s="0">
        <v>31.82</v>
      </c>
      <c r="K24" s="0">
        <v>39.799999999999997</v>
      </c>
      <c r="L24" s="0">
        <v>42.81</v>
      </c>
    </row>
    <row r="25" spans="1:12" x14ac:dyDescent="0.3">
      <c r="A25" t="s" s="0">
        <v>150</v>
      </c>
      <c r="B25" s="0">
        <v>4.25</v>
      </c>
      <c r="C25" s="0">
        <v>4.78</v>
      </c>
      <c r="D25" s="0">
        <v>4.28</v>
      </c>
      <c r="E25" s="0">
        <v>3.06</v>
      </c>
      <c r="F25" s="0">
        <v>2.94</v>
      </c>
      <c r="G25" s="0">
        <v>2.89</v>
      </c>
      <c r="H25" s="0">
        <v>3.08</v>
      </c>
      <c r="I25" s="0">
        <v>3.83</v>
      </c>
      <c r="J25" s="0">
        <v>4.74</v>
      </c>
      <c r="K25" s="0">
        <v>3.33</v>
      </c>
      <c r="L25" s="0">
        <v>3.68</v>
      </c>
    </row>
    <row r="26" spans="1:12" x14ac:dyDescent="0.3">
      <c r="A26" t="s" s="0">
        <v>151</v>
      </c>
    </row>
    <row r="27" spans="1:12" x14ac:dyDescent="0.3">
      <c r="A27" t="s" s="0">
        <v>152</v>
      </c>
      <c r="B27" s="0">
        <v>19.75</v>
      </c>
      <c r="C27" s="0">
        <v>21.98</v>
      </c>
      <c r="D27" s="0">
        <v>17.420000000000002</v>
      </c>
      <c r="E27" s="0">
        <v>12.44</v>
      </c>
      <c r="F27" s="0">
        <v>11.95</v>
      </c>
      <c r="G27" s="0">
        <v>11.09</v>
      </c>
      <c r="H27" s="0">
        <v>11.85</v>
      </c>
      <c r="I27" s="0">
        <v>13.84</v>
      </c>
      <c r="J27" s="0">
        <v>15.7</v>
      </c>
      <c r="K27" s="0">
        <v>18.87</v>
      </c>
      <c r="L27" s="0">
        <v>21.36</v>
      </c>
    </row>
    <row r="28" spans="1:12" x14ac:dyDescent="0.3">
      <c r="A28" t="s" s="0">
        <v>153</v>
      </c>
      <c r="B28" s="0">
        <v>6.66</v>
      </c>
      <c r="C28" s="0">
        <v>3.72</v>
      </c>
      <c r="D28" s="0">
        <v>8.2899999999999991</v>
      </c>
      <c r="E28" s="0">
        <v>12.6</v>
      </c>
      <c r="F28" s="0">
        <v>13.17</v>
      </c>
      <c r="G28" s="0">
        <v>16.45</v>
      </c>
      <c r="H28" s="0">
        <v>15.11</v>
      </c>
      <c r="I28" s="0">
        <v>13.89</v>
      </c>
      <c r="J28" s="0">
        <v>11.37</v>
      </c>
      <c r="K28" s="0">
        <v>17.61</v>
      </c>
      <c r="L28" s="0">
        <v>17.77</v>
      </c>
    </row>
    <row r="29" spans="1:12" x14ac:dyDescent="0.3">
      <c r="A29" t="s" s="0">
        <v>154</v>
      </c>
      <c r="B29" s="0">
        <v>-0.24</v>
      </c>
      <c r="C29" s="0">
        <v>-0.2</v>
      </c>
      <c r="D29" s="0">
        <v>-0.12</v>
      </c>
      <c r="E29" s="0">
        <v>-7.0000000000000007E-2</v>
      </c>
      <c r="G29" s="0">
        <v>-7.0000000000000007E-2</v>
      </c>
      <c r="H29" s="0">
        <v>-0.05</v>
      </c>
      <c r="I29" s="0">
        <v>-7.0000000000000007E-2</v>
      </c>
      <c r="J29" s="0">
        <v>-0.18</v>
      </c>
      <c r="K29" s="0">
        <v>-0.14000000000000001</v>
      </c>
      <c r="L29" s="0">
        <v>-0.1</v>
      </c>
    </row>
    <row r="30" spans="1:12" x14ac:dyDescent="0.3">
      <c r="A30" t="s" s="0">
        <v>155</v>
      </c>
      <c r="B30" s="0">
        <v>6.42</v>
      </c>
      <c r="C30" s="0">
        <v>3.52</v>
      </c>
      <c r="D30" s="0">
        <v>8.17</v>
      </c>
      <c r="E30" s="0">
        <v>12.53</v>
      </c>
      <c r="F30" s="0">
        <v>13.17</v>
      </c>
      <c r="G30" s="0">
        <v>16.38</v>
      </c>
      <c r="H30" s="0">
        <v>15.06</v>
      </c>
      <c r="I30" s="0">
        <v>13.82</v>
      </c>
      <c r="J30" s="0">
        <v>11.2</v>
      </c>
      <c r="K30" s="0">
        <v>17.47</v>
      </c>
      <c r="L30" s="0">
        <v>17.670000000000002</v>
      </c>
    </row>
    <row r="32" spans="1:12" x14ac:dyDescent="0.3">
      <c r="A32" t="s" s="0">
        <v>156</v>
      </c>
      <c r="B32" t="s" s="0">
        <v>1</v>
      </c>
      <c r="C32" t="s" s="0">
        <v>265</v>
      </c>
      <c r="D32" t="s" s="0">
        <v>264</v>
      </c>
      <c r="E32" t="s" s="0">
        <v>263</v>
      </c>
      <c r="F32" t="s" s="0">
        <v>262</v>
      </c>
      <c r="G32" t="s" s="0">
        <v>261</v>
      </c>
      <c r="H32" t="s" s="0">
        <v>260</v>
      </c>
      <c r="I32" t="s" s="0">
        <v>259</v>
      </c>
      <c r="J32" t="s" s="0">
        <v>258</v>
      </c>
      <c r="K32" t="s" s="0">
        <v>257</v>
      </c>
      <c r="L32" t="s" s="0">
        <v>256</v>
      </c>
    </row>
    <row r="33" spans="1:12" x14ac:dyDescent="0.3">
      <c r="A33" t="s" s="0">
        <v>157</v>
      </c>
      <c r="B33" s="0">
        <v>17.27</v>
      </c>
      <c r="D33" s="0">
        <v>24.65</v>
      </c>
      <c r="E33" s="0">
        <v>34.89</v>
      </c>
      <c r="F33" s="0">
        <v>42.04</v>
      </c>
      <c r="G33" s="0">
        <v>39.43</v>
      </c>
      <c r="H33" s="0">
        <v>42.39</v>
      </c>
      <c r="I33" s="0">
        <v>40.71</v>
      </c>
      <c r="J33" s="0">
        <v>43.47</v>
      </c>
      <c r="K33" s="0">
        <v>44.69</v>
      </c>
      <c r="L33" s="0">
        <v>42.38</v>
      </c>
    </row>
    <row r="34" spans="1:12" x14ac:dyDescent="0.3">
      <c r="A34" t="s" s="0">
        <v>158</v>
      </c>
      <c r="B34" s="0">
        <v>5.14</v>
      </c>
      <c r="C34" s="0">
        <v>3.47</v>
      </c>
      <c r="D34" s="0">
        <v>6.01</v>
      </c>
      <c r="E34" s="0">
        <v>7.89</v>
      </c>
      <c r="F34" s="0">
        <v>7.43</v>
      </c>
      <c r="G34" s="0">
        <v>9.31</v>
      </c>
      <c r="H34" s="0">
        <v>8.44</v>
      </c>
      <c r="I34" s="0">
        <v>7.95</v>
      </c>
      <c r="J34" s="0">
        <v>6.21</v>
      </c>
      <c r="K34" s="0">
        <v>9.4700000000000006</v>
      </c>
      <c r="L34" s="0">
        <v>10.039999999999999</v>
      </c>
    </row>
    <row r="35" spans="1:12" x14ac:dyDescent="0.3">
      <c r="A35" t="s" s="0">
        <v>159</v>
      </c>
      <c r="B35" s="0">
        <v>0.74</v>
      </c>
      <c r="C35" s="0">
        <v>0.68</v>
      </c>
      <c r="D35" s="0">
        <v>0.78</v>
      </c>
      <c r="E35" s="0">
        <v>1.18</v>
      </c>
      <c r="F35" s="0">
        <v>1.29</v>
      </c>
      <c r="G35" s="0">
        <v>1.45</v>
      </c>
      <c r="H35" s="0">
        <v>1.54</v>
      </c>
      <c r="I35" s="0">
        <v>1.43</v>
      </c>
      <c r="J35" s="0">
        <v>1.35</v>
      </c>
      <c r="K35" s="0">
        <v>2.0299999999999998</v>
      </c>
      <c r="L35" s="0">
        <v>1.75</v>
      </c>
    </row>
    <row r="36" spans="1:12" x14ac:dyDescent="0.3">
      <c r="A36" t="s" s="0">
        <v>160</v>
      </c>
      <c r="B36" s="0">
        <v>3.78</v>
      </c>
      <c r="C36" s="0">
        <v>2.35</v>
      </c>
      <c r="D36" s="0">
        <v>4.71</v>
      </c>
      <c r="E36" s="0">
        <v>9.34</v>
      </c>
      <c r="F36" s="0">
        <v>9.57</v>
      </c>
      <c r="G36" s="0">
        <v>13.5</v>
      </c>
      <c r="H36" s="0">
        <v>12.96</v>
      </c>
      <c r="I36" s="0">
        <v>11.37</v>
      </c>
      <c r="J36" s="0">
        <v>8.36</v>
      </c>
      <c r="K36" s="0">
        <v>19.239999999999998</v>
      </c>
      <c r="L36" s="0">
        <v>17.61</v>
      </c>
    </row>
    <row r="37" spans="1:12" x14ac:dyDescent="0.3">
      <c r="A37" t="s" s="0">
        <v>161</v>
      </c>
      <c r="B37" s="0">
        <v>1.92</v>
      </c>
      <c r="C37" s="0">
        <v>1.97</v>
      </c>
      <c r="D37" s="0">
        <v>1.97</v>
      </c>
      <c r="E37" s="0">
        <v>2</v>
      </c>
      <c r="F37" s="0">
        <v>1.99</v>
      </c>
      <c r="G37" s="0">
        <v>2.0099999999999998</v>
      </c>
      <c r="H37" s="0">
        <v>2.14</v>
      </c>
      <c r="I37" s="0">
        <v>2.06</v>
      </c>
      <c r="J37" s="0">
        <v>2.11</v>
      </c>
      <c r="K37" s="0">
        <v>2.02</v>
      </c>
      <c r="L37" s="0">
        <v>1.99</v>
      </c>
    </row>
    <row r="38" spans="1:12" x14ac:dyDescent="0.3">
      <c r="A38" t="s" s="0">
        <v>162</v>
      </c>
      <c r="B38" s="0">
        <v>7.37</v>
      </c>
      <c r="C38" s="0">
        <v>4.6399999999999997</v>
      </c>
      <c r="D38" s="0">
        <v>9.36</v>
      </c>
      <c r="E38" s="0">
        <v>18.670000000000002</v>
      </c>
      <c r="F38" s="0">
        <v>19.170000000000002</v>
      </c>
      <c r="G38" s="0">
        <v>28.03</v>
      </c>
      <c r="H38" s="0">
        <v>27.26</v>
      </c>
      <c r="I38" s="0">
        <v>23.67</v>
      </c>
      <c r="J38" s="0">
        <v>17.25</v>
      </c>
      <c r="K38" s="0">
        <v>38.53</v>
      </c>
      <c r="L38" s="0">
        <v>34.47</v>
      </c>
    </row>
    <row r="39" spans="1:12" x14ac:dyDescent="0.3">
      <c r="A39" t="s" s="0">
        <v>163</v>
      </c>
      <c r="B39" s="0">
        <v>6.15</v>
      </c>
      <c r="C39" s="0">
        <v>3.94</v>
      </c>
      <c r="D39" s="0">
        <v>7.93</v>
      </c>
      <c r="E39" s="0">
        <v>16.34</v>
      </c>
      <c r="F39" s="0">
        <v>17.420000000000002</v>
      </c>
      <c r="G39" s="0">
        <v>25.84</v>
      </c>
      <c r="H39" s="0">
        <v>24.74</v>
      </c>
      <c r="I39" s="0">
        <v>21.72</v>
      </c>
      <c r="J39" s="0">
        <v>16.190000000000001</v>
      </c>
      <c r="K39" s="0">
        <v>35.99</v>
      </c>
      <c r="L39" s="0">
        <v>32.24</v>
      </c>
    </row>
    <row r="40" spans="1:12" x14ac:dyDescent="0.3">
      <c r="A40" t="s" s="0">
        <v>164</v>
      </c>
      <c r="B40" s="0">
        <v>27.68</v>
      </c>
      <c r="C40" s="0">
        <v>18.59</v>
      </c>
      <c r="D40" s="0">
        <v>71.63</v>
      </c>
      <c r="E40" s="0">
        <v>181.52</v>
      </c>
      <c r="G40" s="0">
        <v>241.75</v>
      </c>
      <c r="H40" s="0">
        <v>297.58</v>
      </c>
      <c r="I40" s="0">
        <v>205.47</v>
      </c>
      <c r="J40" s="0">
        <v>64.459999999999994</v>
      </c>
    </row>
    <row r="42" spans="1:12" x14ac:dyDescent="0.3">
      <c r="A42" t="s" s="0">
        <v>165</v>
      </c>
    </row>
    <row r="43" spans="1:12" x14ac:dyDescent="0.3">
      <c r="B43" t="s" s="0">
        <v>166</v>
      </c>
      <c r="C43" t="s" s="0">
        <v>265</v>
      </c>
      <c r="D43" t="s" s="0">
        <v>264</v>
      </c>
      <c r="E43" t="s" s="0">
        <v>263</v>
      </c>
      <c r="F43" t="s" s="0">
        <v>262</v>
      </c>
      <c r="G43" t="s" s="0">
        <v>261</v>
      </c>
      <c r="H43" t="s" s="0">
        <v>260</v>
      </c>
      <c r="I43" t="s" s="0">
        <v>259</v>
      </c>
      <c r="J43" t="s" s="0">
        <v>258</v>
      </c>
      <c r="K43" t="s" s="0">
        <v>257</v>
      </c>
      <c r="L43" t="s" s="0">
        <v>256</v>
      </c>
    </row>
    <row r="44" spans="1:12" x14ac:dyDescent="0.3">
      <c r="A44" t="s" s="0">
        <v>167</v>
      </c>
    </row>
    <row r="45" spans="1:12" x14ac:dyDescent="0.3">
      <c r="A45" t="s" s="0">
        <v>168</v>
      </c>
      <c r="B45" s="0">
        <v>12.76</v>
      </c>
      <c r="C45" s="0">
        <v>-15.91</v>
      </c>
      <c r="D45" s="0">
        <v>-34.729999999999997</v>
      </c>
      <c r="E45" s="0">
        <v>-6</v>
      </c>
      <c r="F45" s="0">
        <v>-9.1300000000000008</v>
      </c>
      <c r="G45" s="0">
        <v>-0.85</v>
      </c>
      <c r="H45" s="0">
        <v>26.93</v>
      </c>
      <c r="I45" s="0">
        <v>23.39</v>
      </c>
      <c r="J45" s="0">
        <v>-34.94</v>
      </c>
      <c r="K45" s="0">
        <v>18</v>
      </c>
    </row>
    <row r="46" spans="1:12" x14ac:dyDescent="0.3">
      <c r="A46" t="s" s="0">
        <v>169</v>
      </c>
      <c r="C46" s="0">
        <v>-19.8</v>
      </c>
      <c r="D46" s="0">
        <v>-17.7</v>
      </c>
      <c r="E46" s="0">
        <v>-5.39</v>
      </c>
      <c r="F46" s="0">
        <v>4.57</v>
      </c>
      <c r="G46" s="0">
        <v>15.8</v>
      </c>
      <c r="H46" s="0">
        <v>0.63</v>
      </c>
      <c r="I46" s="0">
        <v>-1.79</v>
      </c>
      <c r="J46" s="0">
        <v>-6.31</v>
      </c>
      <c r="K46" s="0">
        <v>8.8000000000000007</v>
      </c>
    </row>
    <row r="47" spans="1:12" x14ac:dyDescent="0.3">
      <c r="A47" t="s" s="0">
        <v>170</v>
      </c>
      <c r="C47" s="0">
        <v>-14.21</v>
      </c>
      <c r="D47" s="0">
        <v>-6.84</v>
      </c>
      <c r="E47" s="0">
        <v>5.81</v>
      </c>
      <c r="F47" s="0">
        <v>-1.69</v>
      </c>
      <c r="G47" s="0">
        <v>3.58</v>
      </c>
      <c r="H47" s="0">
        <v>5.19</v>
      </c>
      <c r="I47" s="0">
        <v>0.67</v>
      </c>
      <c r="J47" s="0">
        <v>0.83</v>
      </c>
      <c r="K47" s="0">
        <v>14.11</v>
      </c>
    </row>
    <row r="48" spans="1:12" x14ac:dyDescent="0.3">
      <c r="A48" t="s" s="0">
        <v>171</v>
      </c>
      <c r="C48" s="0">
        <v>-5</v>
      </c>
      <c r="D48" s="0">
        <v>-3.16</v>
      </c>
      <c r="E48" s="0">
        <v>3.29</v>
      </c>
      <c r="F48" s="0">
        <v>5.91</v>
      </c>
      <c r="G48" s="0">
        <v>8.9600000000000009</v>
      </c>
      <c r="H48" s="0">
        <v>8.58</v>
      </c>
      <c r="I48" s="0">
        <v>5.1100000000000003</v>
      </c>
      <c r="J48" s="0">
        <v>6.8</v>
      </c>
      <c r="K48" s="0">
        <v>16.84</v>
      </c>
    </row>
    <row r="49" spans="1:11" x14ac:dyDescent="0.3">
      <c r="A49" t="s" s="0">
        <v>172</v>
      </c>
    </row>
    <row r="50" spans="1:11" x14ac:dyDescent="0.3">
      <c r="A50" t="s" s="0">
        <v>168</v>
      </c>
      <c r="B50" s="0">
        <v>70.89</v>
      </c>
      <c r="C50" s="0">
        <v>-62.19</v>
      </c>
      <c r="D50" s="0">
        <v>-57.09</v>
      </c>
      <c r="E50" s="0">
        <v>-10.06</v>
      </c>
      <c r="F50" s="0">
        <v>-26.99</v>
      </c>
      <c r="G50" s="0">
        <v>7.55</v>
      </c>
      <c r="H50" s="0">
        <v>38.119999999999997</v>
      </c>
      <c r="I50" s="0">
        <v>50.65</v>
      </c>
      <c r="J50" s="0">
        <v>-70.209999999999994</v>
      </c>
      <c r="K50" s="0">
        <v>14.45</v>
      </c>
    </row>
    <row r="51" spans="1:11" x14ac:dyDescent="0.3">
      <c r="A51" t="s" s="0">
        <v>169</v>
      </c>
      <c r="C51" s="0">
        <v>-47.35</v>
      </c>
      <c r="D51" s="0">
        <v>-34.44</v>
      </c>
      <c r="E51" s="0">
        <v>-10.94</v>
      </c>
      <c r="F51" s="0">
        <v>2.74</v>
      </c>
      <c r="G51" s="0">
        <v>30.8</v>
      </c>
      <c r="H51" s="0">
        <v>-14.74</v>
      </c>
      <c r="I51" s="0">
        <v>-19.91</v>
      </c>
      <c r="J51" s="0">
        <v>-20.04</v>
      </c>
      <c r="K51" s="0">
        <v>9.0399999999999991</v>
      </c>
    </row>
    <row r="52" spans="1:11" x14ac:dyDescent="0.3">
      <c r="A52" t="s" s="0">
        <v>170</v>
      </c>
      <c r="C52" s="0">
        <v>-35.159999999999997</v>
      </c>
      <c r="D52" s="0">
        <v>-15.98</v>
      </c>
      <c r="E52" s="0">
        <v>8.01</v>
      </c>
      <c r="F52" s="0">
        <v>-13.41</v>
      </c>
      <c r="G52" s="0">
        <v>-5.27</v>
      </c>
      <c r="H52" s="0">
        <v>1.24</v>
      </c>
      <c r="I52" s="0">
        <v>-10.27</v>
      </c>
      <c r="J52" s="0">
        <v>-12.76</v>
      </c>
      <c r="K52" s="0">
        <v>15.89</v>
      </c>
    </row>
    <row r="53" spans="1:11" x14ac:dyDescent="0.3">
      <c r="A53" t="s" s="0">
        <v>171</v>
      </c>
      <c r="C53" s="0">
        <v>-18.98</v>
      </c>
      <c r="D53" s="0">
        <v>-13.17</v>
      </c>
      <c r="E53" s="0">
        <v>-2.93</v>
      </c>
      <c r="F53" s="0">
        <v>0.17</v>
      </c>
      <c r="G53" s="0">
        <v>7.01</v>
      </c>
      <c r="H53" s="0">
        <v>4.5999999999999996</v>
      </c>
      <c r="I53" s="0">
        <v>0.54</v>
      </c>
      <c r="J53" s="0">
        <v>14.66</v>
      </c>
      <c r="K53" s="0">
        <v>32.729999999999997</v>
      </c>
    </row>
    <row r="54" spans="1:11" x14ac:dyDescent="0.3">
      <c r="A54" t="s" s="0">
        <v>173</v>
      </c>
    </row>
    <row r="55" spans="1:11" x14ac:dyDescent="0.3">
      <c r="A55" t="s" s="0">
        <v>168</v>
      </c>
      <c r="C55" s="0">
        <v>-51.46</v>
      </c>
      <c r="D55" s="0">
        <v>-50.34</v>
      </c>
      <c r="E55" s="0">
        <v>-0.18</v>
      </c>
      <c r="F55" s="0">
        <v>-27.41</v>
      </c>
      <c r="G55" s="0">
        <v>9.3000000000000007</v>
      </c>
      <c r="H55" s="0">
        <v>34.799999999999997</v>
      </c>
      <c r="I55" s="0">
        <v>57.99</v>
      </c>
      <c r="J55" s="0">
        <v>-57.36</v>
      </c>
      <c r="K55" s="0">
        <v>11.35</v>
      </c>
    </row>
    <row r="56" spans="1:11" x14ac:dyDescent="0.3">
      <c r="A56" t="s" s="0">
        <v>169</v>
      </c>
      <c r="C56" s="0">
        <v>-37.799999999999997</v>
      </c>
      <c r="D56" s="0">
        <v>-28.87</v>
      </c>
      <c r="E56" s="0">
        <v>-7.48</v>
      </c>
      <c r="F56" s="0">
        <v>2.27</v>
      </c>
      <c r="G56" s="0">
        <v>32.53</v>
      </c>
      <c r="H56" s="0">
        <v>-3.17</v>
      </c>
      <c r="I56" s="0">
        <v>-9.14</v>
      </c>
      <c r="J56" s="0">
        <v>-21.26</v>
      </c>
      <c r="K56" s="0">
        <v>7.77</v>
      </c>
    </row>
    <row r="57" spans="1:11" x14ac:dyDescent="0.3">
      <c r="A57" t="s" s="0">
        <v>170</v>
      </c>
      <c r="C57" s="0">
        <v>-28.19</v>
      </c>
      <c r="D57" s="0">
        <v>-11.92</v>
      </c>
      <c r="E57" s="0">
        <v>11.02</v>
      </c>
      <c r="F57" s="0">
        <v>-6.35</v>
      </c>
      <c r="G57" s="0">
        <v>2.02</v>
      </c>
      <c r="H57" s="0">
        <v>0.78</v>
      </c>
      <c r="I57" s="0">
        <v>-3.36</v>
      </c>
      <c r="J57" s="0">
        <v>-5.31</v>
      </c>
      <c r="K57" s="0">
        <v>16.02</v>
      </c>
    </row>
    <row r="58" spans="1:11" x14ac:dyDescent="0.3">
      <c r="A58" t="s" s="0">
        <v>171</v>
      </c>
      <c r="C58" s="0">
        <v>-14.93</v>
      </c>
      <c r="D58" s="0">
        <v>-7.74</v>
      </c>
      <c r="E58" s="0">
        <v>2.5299999999999998</v>
      </c>
      <c r="F58" s="0">
        <v>4.24</v>
      </c>
      <c r="G58" s="0">
        <v>14.63</v>
      </c>
      <c r="H58" s="0">
        <v>10.36</v>
      </c>
      <c r="I58" s="0">
        <v>5.57</v>
      </c>
      <c r="J58" s="0">
        <v>9.32</v>
      </c>
      <c r="K58" s="0">
        <v>21.65</v>
      </c>
    </row>
    <row r="59" spans="1:11" x14ac:dyDescent="0.3">
      <c r="A59" t="s" s="0">
        <v>174</v>
      </c>
    </row>
    <row r="60" spans="1:11" x14ac:dyDescent="0.3">
      <c r="A60" t="s" s="0">
        <v>168</v>
      </c>
      <c r="B60" s="0">
        <v>47.62</v>
      </c>
      <c r="C60" s="0">
        <v>-51.17</v>
      </c>
      <c r="D60" s="0">
        <v>-49.34</v>
      </c>
      <c r="E60" s="0">
        <v>3.12</v>
      </c>
      <c r="F60" s="0">
        <v>-24.02</v>
      </c>
      <c r="G60" s="0">
        <v>15.2</v>
      </c>
      <c r="H60" s="0">
        <v>35.369999999999997</v>
      </c>
      <c r="I60" s="0">
        <v>56.28</v>
      </c>
      <c r="J60" s="0">
        <v>-54.2</v>
      </c>
      <c r="K60" s="0">
        <v>19.37</v>
      </c>
    </row>
    <row r="61" spans="1:11" x14ac:dyDescent="0.3">
      <c r="A61" t="s" s="0">
        <v>169</v>
      </c>
      <c r="C61" s="0">
        <v>-36.58</v>
      </c>
      <c r="D61" s="0">
        <v>-26.51</v>
      </c>
      <c r="E61" s="0">
        <v>-3.36</v>
      </c>
      <c r="F61" s="0">
        <v>5.82</v>
      </c>
      <c r="G61" s="0">
        <v>34.57</v>
      </c>
      <c r="H61" s="0">
        <v>-1.05</v>
      </c>
      <c r="I61" s="0">
        <v>-5.1100000000000003</v>
      </c>
      <c r="J61" s="0">
        <v>-15.6</v>
      </c>
      <c r="K61" s="0">
        <v>15.03</v>
      </c>
    </row>
    <row r="62" spans="1:11" x14ac:dyDescent="0.3">
      <c r="A62" t="s" s="0">
        <v>170</v>
      </c>
      <c r="C62" s="0">
        <v>-25.91</v>
      </c>
      <c r="D62" s="0">
        <v>-9.15</v>
      </c>
      <c r="E62" s="0">
        <v>13.81</v>
      </c>
      <c r="F62" s="0">
        <v>-3.24</v>
      </c>
      <c r="G62" s="0">
        <v>5.91</v>
      </c>
      <c r="H62" s="0">
        <v>4.93</v>
      </c>
      <c r="I62" s="0">
        <v>1.73</v>
      </c>
      <c r="J62" s="0">
        <v>0.46</v>
      </c>
      <c r="K62" s="0">
        <v>21.89</v>
      </c>
    </row>
    <row r="63" spans="1:11" x14ac:dyDescent="0.3">
      <c r="A63" t="s" s="0">
        <v>171</v>
      </c>
      <c r="C63" s="0">
        <v>-11.83</v>
      </c>
      <c r="D63" s="0">
        <v>-3.86</v>
      </c>
      <c r="E63" s="0">
        <v>6.93</v>
      </c>
      <c r="F63" s="0">
        <v>8.6</v>
      </c>
      <c r="G63" s="0">
        <v>19.16</v>
      </c>
      <c r="H63" s="0">
        <v>14.31</v>
      </c>
      <c r="I63" s="0">
        <v>9.4600000000000009</v>
      </c>
      <c r="J63" s="0">
        <v>13.47</v>
      </c>
      <c r="K63" s="0">
        <v>21.02</v>
      </c>
    </row>
    <row r="65" spans="1:12" x14ac:dyDescent="0.3">
      <c r="A65" t="s" s="0">
        <v>175</v>
      </c>
    </row>
    <row r="66" spans="1:12" x14ac:dyDescent="0.3">
      <c r="A66" t="s" s="0">
        <v>176</v>
      </c>
      <c r="B66" t="s" s="0">
        <v>1</v>
      </c>
      <c r="C66" t="s" s="0">
        <v>265</v>
      </c>
      <c r="D66" t="s" s="0">
        <v>264</v>
      </c>
      <c r="E66" t="s" s="0">
        <v>263</v>
      </c>
      <c r="F66" t="s" s="0">
        <v>262</v>
      </c>
      <c r="G66" t="s" s="0">
        <v>261</v>
      </c>
      <c r="H66" t="s" s="0">
        <v>260</v>
      </c>
      <c r="I66" t="s" s="0">
        <v>259</v>
      </c>
      <c r="J66" t="s" s="0">
        <v>258</v>
      </c>
      <c r="K66" t="s" s="0">
        <v>257</v>
      </c>
      <c r="L66" t="s" s="0">
        <v>256</v>
      </c>
    </row>
    <row r="67" spans="1:12" x14ac:dyDescent="0.3">
      <c r="A67" t="s" s="0">
        <v>177</v>
      </c>
      <c r="E67" s="0">
        <v>45</v>
      </c>
      <c r="G67" s="0">
        <v>149</v>
      </c>
    </row>
    <row r="68" spans="1:12" x14ac:dyDescent="0.3">
      <c r="A68" t="s" s="0">
        <v>178</v>
      </c>
      <c r="E68" s="0">
        <v>817</v>
      </c>
    </row>
    <row r="69" spans="1:12" x14ac:dyDescent="0.3">
      <c r="A69" t="s" s="0">
        <v>179</v>
      </c>
      <c r="B69" s="0">
        <v>5.84</v>
      </c>
      <c r="C69" s="0">
        <v>7.15</v>
      </c>
      <c r="D69" s="0">
        <v>9.85</v>
      </c>
      <c r="E69" s="0">
        <v>8</v>
      </c>
      <c r="F69" s="0">
        <v>7.68</v>
      </c>
      <c r="G69" s="0">
        <v>7.13</v>
      </c>
      <c r="H69" s="0">
        <v>6.37</v>
      </c>
      <c r="I69" s="0">
        <v>7.01</v>
      </c>
      <c r="J69" s="0">
        <v>7.24</v>
      </c>
      <c r="K69" s="0">
        <v>4.05</v>
      </c>
      <c r="L69" s="0">
        <v>3.8</v>
      </c>
    </row>
    <row r="70" spans="1:12" x14ac:dyDescent="0.3">
      <c r="A70" t="s" s="0">
        <v>180</v>
      </c>
      <c r="B70" s="0">
        <v>6.02</v>
      </c>
      <c r="C70" s="0">
        <v>2.62</v>
      </c>
      <c r="D70" s="0">
        <v>1.43</v>
      </c>
      <c r="E70" s="0">
        <v>2.95</v>
      </c>
      <c r="F70" s="0">
        <v>2.57</v>
      </c>
      <c r="G70" s="0">
        <v>4.5599999999999996</v>
      </c>
      <c r="H70" s="0">
        <v>5.01</v>
      </c>
      <c r="I70" s="0">
        <v>5.62</v>
      </c>
      <c r="J70" s="0">
        <v>1.91</v>
      </c>
      <c r="K70" s="0">
        <v>8.4600000000000009</v>
      </c>
      <c r="L70" s="0">
        <v>9.0500000000000007</v>
      </c>
    </row>
    <row r="71" spans="1:12" x14ac:dyDescent="0.3">
      <c r="A71" t="s" s="0">
        <v>181</v>
      </c>
      <c r="B71" s="0">
        <v>1.17</v>
      </c>
      <c r="C71" s="0">
        <v>0.75</v>
      </c>
      <c r="D71" s="0">
        <v>0.24</v>
      </c>
      <c r="E71" s="0">
        <v>0.37</v>
      </c>
      <c r="F71" s="0">
        <v>0.35</v>
      </c>
      <c r="G71" s="0">
        <v>0.49</v>
      </c>
      <c r="H71" s="0">
        <v>0.59</v>
      </c>
      <c r="I71" s="0">
        <v>0.71</v>
      </c>
      <c r="J71" s="0">
        <v>0.31</v>
      </c>
      <c r="K71" s="0">
        <v>0.89</v>
      </c>
      <c r="L71" s="0">
        <v>0.9</v>
      </c>
    </row>
    <row r="73" spans="1:12" x14ac:dyDescent="0.3">
      <c r="A73" t="s" s="0">
        <v>182</v>
      </c>
    </row>
    <row r="74" spans="1:12" x14ac:dyDescent="0.3">
      <c r="A74" t="s" s="0">
        <v>183</v>
      </c>
      <c r="B74" t="s" s="0">
        <v>166</v>
      </c>
      <c r="C74" t="s" s="0">
        <v>265</v>
      </c>
      <c r="D74" t="s" s="0">
        <v>264</v>
      </c>
      <c r="E74" t="s" s="0">
        <v>263</v>
      </c>
      <c r="F74" t="s" s="0">
        <v>262</v>
      </c>
      <c r="G74" t="s" s="0">
        <v>261</v>
      </c>
      <c r="H74" t="s" s="0">
        <v>260</v>
      </c>
      <c r="I74" t="s" s="0">
        <v>259</v>
      </c>
      <c r="J74" t="s" s="0">
        <v>258</v>
      </c>
      <c r="K74" t="s" s="0">
        <v>257</v>
      </c>
      <c r="L74" t="s" s="0">
        <v>256</v>
      </c>
    </row>
    <row r="75" spans="1:12" x14ac:dyDescent="0.3">
      <c r="A75" t="s" s="0">
        <v>184</v>
      </c>
      <c r="B75" s="0">
        <v>1.22</v>
      </c>
      <c r="C75" s="0">
        <v>1.1100000000000001</v>
      </c>
      <c r="D75" s="0">
        <v>1.1000000000000001</v>
      </c>
      <c r="E75" s="0">
        <v>1.32</v>
      </c>
      <c r="F75" s="0">
        <v>1.34</v>
      </c>
      <c r="G75" s="0">
        <v>2.87</v>
      </c>
      <c r="H75" s="0">
        <v>3.83</v>
      </c>
      <c r="I75" s="0">
        <v>2.59</v>
      </c>
      <c r="J75" s="0">
        <v>4.66</v>
      </c>
      <c r="K75" s="0">
        <v>14.03</v>
      </c>
      <c r="L75" s="0">
        <v>14.25</v>
      </c>
    </row>
    <row r="76" spans="1:12" x14ac:dyDescent="0.3">
      <c r="A76" t="s" s="0">
        <v>185</v>
      </c>
      <c r="B76" s="0">
        <v>6.66</v>
      </c>
      <c r="C76" s="0">
        <v>6.48</v>
      </c>
      <c r="D76" s="0">
        <v>5.9</v>
      </c>
      <c r="E76" s="0">
        <v>8.01</v>
      </c>
      <c r="F76" s="0">
        <v>9.56</v>
      </c>
      <c r="G76" s="0">
        <v>10.48</v>
      </c>
      <c r="H76" s="0">
        <v>11.67</v>
      </c>
      <c r="I76" s="0">
        <v>10.67</v>
      </c>
      <c r="J76" s="0">
        <v>11.85</v>
      </c>
      <c r="K76" s="0">
        <v>10.83</v>
      </c>
      <c r="L76" s="0">
        <v>15.06</v>
      </c>
    </row>
    <row r="77" spans="1:12" x14ac:dyDescent="0.3">
      <c r="A77" t="s" s="0">
        <v>186</v>
      </c>
      <c r="B77" s="0">
        <v>4.79</v>
      </c>
      <c r="C77" s="0">
        <v>4.57</v>
      </c>
      <c r="D77" s="0">
        <v>4.82</v>
      </c>
      <c r="E77" s="0">
        <v>4.7699999999999996</v>
      </c>
      <c r="F77" s="0">
        <v>4.6500000000000004</v>
      </c>
      <c r="G77" s="0">
        <v>4.3600000000000003</v>
      </c>
      <c r="H77" s="0">
        <v>4.54</v>
      </c>
      <c r="I77" s="0">
        <v>4.29</v>
      </c>
      <c r="J77" s="0">
        <v>4.95</v>
      </c>
      <c r="K77" s="0">
        <v>5.1100000000000003</v>
      </c>
      <c r="L77" s="0">
        <v>4.58</v>
      </c>
    </row>
    <row r="78" spans="1:12" x14ac:dyDescent="0.3">
      <c r="A78" t="s" s="0">
        <v>187</v>
      </c>
      <c r="B78" s="0">
        <v>0.42</v>
      </c>
      <c r="C78" s="0">
        <v>0.39</v>
      </c>
      <c r="D78" s="0">
        <v>0.83</v>
      </c>
      <c r="E78" s="0">
        <v>1.03</v>
      </c>
      <c r="F78" s="0">
        <v>1.55</v>
      </c>
      <c r="G78" s="0">
        <v>1.6</v>
      </c>
      <c r="H78" s="0">
        <v>2</v>
      </c>
      <c r="I78" s="0">
        <v>1.95</v>
      </c>
      <c r="J78" s="0">
        <v>2.2200000000000002</v>
      </c>
      <c r="K78" s="0">
        <v>1.71</v>
      </c>
      <c r="L78" s="0">
        <v>1.62</v>
      </c>
    </row>
    <row r="79" spans="1:12" x14ac:dyDescent="0.3">
      <c r="A79" t="s" s="0">
        <v>188</v>
      </c>
      <c r="B79" s="0">
        <v>13.09</v>
      </c>
      <c r="C79" s="0">
        <v>12.54</v>
      </c>
      <c r="D79" s="0">
        <v>12.66</v>
      </c>
      <c r="E79" s="0">
        <v>15.14</v>
      </c>
      <c r="F79" s="0">
        <v>17.100000000000001</v>
      </c>
      <c r="G79" s="0">
        <v>19.309999999999999</v>
      </c>
      <c r="H79" s="0">
        <v>22.04</v>
      </c>
      <c r="I79" s="0">
        <v>19.5</v>
      </c>
      <c r="J79" s="0">
        <v>23.67</v>
      </c>
      <c r="K79" s="0">
        <v>31.69</v>
      </c>
      <c r="L79" s="0">
        <v>35.51</v>
      </c>
    </row>
    <row r="80" spans="1:12" x14ac:dyDescent="0.3">
      <c r="A80" t="s" s="0">
        <v>189</v>
      </c>
      <c r="B80" s="0">
        <v>73.14</v>
      </c>
      <c r="C80" s="0">
        <v>73.94</v>
      </c>
      <c r="D80" s="0">
        <v>74.709999999999994</v>
      </c>
      <c r="E80" s="0">
        <v>72.3</v>
      </c>
      <c r="F80" s="0">
        <v>70.260000000000005</v>
      </c>
      <c r="G80" s="0">
        <v>67.989999999999995</v>
      </c>
      <c r="H80" s="0">
        <v>64.84</v>
      </c>
      <c r="I80" s="0">
        <v>65.959999999999994</v>
      </c>
      <c r="J80" s="0">
        <v>59.62</v>
      </c>
      <c r="K80" s="0">
        <v>53.21</v>
      </c>
      <c r="L80" s="0">
        <v>49.93</v>
      </c>
    </row>
    <row r="81" spans="1:12" x14ac:dyDescent="0.3">
      <c r="A81" t="s" s="0">
        <v>190</v>
      </c>
      <c r="J81" s="0">
        <v>3.13</v>
      </c>
    </row>
    <row r="82" spans="1:12" x14ac:dyDescent="0.3">
      <c r="A82" t="s" s="0">
        <v>191</v>
      </c>
      <c r="B82" s="0">
        <v>13.77</v>
      </c>
      <c r="C82" s="0">
        <v>13.52</v>
      </c>
      <c r="D82" s="0">
        <v>12.63</v>
      </c>
      <c r="E82" s="0">
        <v>12.57</v>
      </c>
      <c r="F82" s="0">
        <v>12.64</v>
      </c>
      <c r="G82" s="0">
        <v>12.7</v>
      </c>
      <c r="H82" s="0">
        <v>13.12</v>
      </c>
      <c r="I82" s="0">
        <v>14.54</v>
      </c>
      <c r="J82" s="0">
        <v>13.57</v>
      </c>
      <c r="K82" s="0">
        <v>15.1</v>
      </c>
      <c r="L82" s="0">
        <v>14.56</v>
      </c>
    </row>
    <row r="83" spans="1:12" x14ac:dyDescent="0.3">
      <c r="A83" t="s" s="0">
        <v>192</v>
      </c>
      <c r="B83" s="0">
        <v>100</v>
      </c>
      <c r="C83" s="0">
        <v>100</v>
      </c>
      <c r="D83" s="0">
        <v>100</v>
      </c>
      <c r="E83" s="0">
        <v>100</v>
      </c>
      <c r="F83" s="0">
        <v>100</v>
      </c>
      <c r="G83" s="0">
        <v>100</v>
      </c>
      <c r="H83" s="0">
        <v>100</v>
      </c>
      <c r="I83" s="0">
        <v>100</v>
      </c>
      <c r="J83" s="0">
        <v>100</v>
      </c>
      <c r="K83" s="0">
        <v>100</v>
      </c>
      <c r="L83" s="0">
        <v>100</v>
      </c>
    </row>
    <row r="84" spans="1:12" x14ac:dyDescent="0.3">
      <c r="A84" t="s" s="0">
        <v>193</v>
      </c>
      <c r="C84" s="0">
        <v>5.39</v>
      </c>
      <c r="D84" s="0">
        <v>5.37</v>
      </c>
      <c r="E84" s="0">
        <v>7.24</v>
      </c>
      <c r="F84" s="0">
        <v>8.92</v>
      </c>
      <c r="G84" s="0">
        <v>10.119999999999999</v>
      </c>
      <c r="H84" s="0">
        <v>10.26</v>
      </c>
      <c r="I84" s="0">
        <v>10.17</v>
      </c>
      <c r="J84" s="0">
        <v>10.39</v>
      </c>
      <c r="K84" s="0">
        <v>9.2899999999999991</v>
      </c>
      <c r="L84" s="0">
        <v>12.08</v>
      </c>
    </row>
    <row r="85" spans="1:12" x14ac:dyDescent="0.3">
      <c r="A85" t="s" s="0">
        <v>194</v>
      </c>
      <c r="B85" s="0">
        <v>4.5</v>
      </c>
      <c r="C85" s="0">
        <v>4.1399999999999997</v>
      </c>
      <c r="D85" s="0">
        <v>5.57</v>
      </c>
      <c r="E85" s="0">
        <v>4.8600000000000003</v>
      </c>
      <c r="F85" s="0">
        <v>4.3499999999999996</v>
      </c>
      <c r="G85" s="0">
        <v>0.9</v>
      </c>
      <c r="H85" s="0">
        <v>1.96</v>
      </c>
      <c r="I85" s="0">
        <v>0.92</v>
      </c>
      <c r="J85" s="0">
        <v>1.06</v>
      </c>
      <c r="K85" s="0">
        <v>1.05</v>
      </c>
      <c r="L85" s="0">
        <v>0.98</v>
      </c>
    </row>
    <row r="86" spans="1:12" x14ac:dyDescent="0.3">
      <c r="A86" t="s" s="0">
        <v>195</v>
      </c>
      <c r="B86" s="0">
        <v>0.96</v>
      </c>
      <c r="C86" s="0">
        <v>1.59</v>
      </c>
      <c r="D86" s="0">
        <v>1.7</v>
      </c>
      <c r="E86" s="0">
        <v>2.35</v>
      </c>
      <c r="F86" s="0">
        <v>3.38</v>
      </c>
      <c r="G86" s="0">
        <v>4.16</v>
      </c>
      <c r="H86" s="0">
        <v>6</v>
      </c>
      <c r="I86" s="0">
        <v>5.48</v>
      </c>
      <c r="J86" s="0">
        <v>6.1</v>
      </c>
      <c r="K86" s="0">
        <v>6.98</v>
      </c>
      <c r="L86" s="0">
        <v>7.08</v>
      </c>
    </row>
    <row r="87" spans="1:12" x14ac:dyDescent="0.3">
      <c r="A87" t="s" s="0">
        <v>196</v>
      </c>
    </row>
    <row r="88" spans="1:12" x14ac:dyDescent="0.3">
      <c r="A88" t="s" s="0">
        <v>197</v>
      </c>
      <c r="B88" s="0">
        <v>9.93</v>
      </c>
      <c r="C88" s="0">
        <v>3.29</v>
      </c>
      <c r="D88" s="0">
        <v>3.39</v>
      </c>
      <c r="E88" s="0">
        <v>4.04</v>
      </c>
      <c r="F88" s="0">
        <v>4.04</v>
      </c>
      <c r="G88" s="0">
        <v>4.04</v>
      </c>
      <c r="H88" s="0">
        <v>5.2</v>
      </c>
      <c r="I88" s="0">
        <v>4.12</v>
      </c>
      <c r="J88" s="0">
        <v>4.7699999999999996</v>
      </c>
      <c r="K88" s="0">
        <v>4.2</v>
      </c>
      <c r="L88" s="0">
        <v>3.95</v>
      </c>
    </row>
    <row r="89" spans="1:12" x14ac:dyDescent="0.3">
      <c r="A89" t="s" s="0">
        <v>198</v>
      </c>
      <c r="B89" s="0">
        <v>15.39</v>
      </c>
      <c r="C89" s="0">
        <v>14.42</v>
      </c>
      <c r="D89" s="0">
        <v>16.03</v>
      </c>
      <c r="E89" s="0">
        <v>18.489999999999998</v>
      </c>
      <c r="F89" s="0">
        <v>20.68</v>
      </c>
      <c r="G89" s="0">
        <v>19.22</v>
      </c>
      <c r="H89" s="0">
        <v>23.41</v>
      </c>
      <c r="I89" s="0">
        <v>20.7</v>
      </c>
      <c r="J89" s="0">
        <v>22.31</v>
      </c>
      <c r="K89" s="0">
        <v>21.53</v>
      </c>
      <c r="L89" s="0">
        <v>24.09</v>
      </c>
    </row>
    <row r="90" spans="1:12" x14ac:dyDescent="0.3">
      <c r="A90" t="s" s="0">
        <v>199</v>
      </c>
      <c r="B90" s="0">
        <v>7.12</v>
      </c>
      <c r="C90" s="0">
        <v>8.76</v>
      </c>
      <c r="D90" s="0">
        <v>5.92</v>
      </c>
      <c r="E90" s="0">
        <v>3.33</v>
      </c>
      <c r="F90" s="0">
        <v>1.99</v>
      </c>
      <c r="G90" s="0">
        <v>2.38</v>
      </c>
      <c r="H90" s="0">
        <v>2.82</v>
      </c>
      <c r="I90" s="0">
        <v>4.04</v>
      </c>
      <c r="J90" s="0">
        <v>3.06</v>
      </c>
      <c r="K90" s="0">
        <v>3.08</v>
      </c>
      <c r="L90" s="0">
        <v>2.97</v>
      </c>
    </row>
    <row r="91" spans="1:12" x14ac:dyDescent="0.3">
      <c r="A91" t="s" s="0">
        <v>200</v>
      </c>
      <c r="B91" s="0">
        <v>25.33</v>
      </c>
      <c r="C91" s="0">
        <v>26.16</v>
      </c>
      <c r="D91" s="0">
        <v>27.33</v>
      </c>
      <c r="E91" s="0">
        <v>28.27</v>
      </c>
      <c r="F91" s="0">
        <v>27.16</v>
      </c>
      <c r="G91" s="0">
        <v>28.72</v>
      </c>
      <c r="H91" s="0">
        <v>27.13</v>
      </c>
      <c r="I91" s="0">
        <v>26.71</v>
      </c>
      <c r="J91" s="0">
        <v>27.24</v>
      </c>
      <c r="K91" s="0">
        <v>25.85</v>
      </c>
      <c r="L91" s="0">
        <v>22.65</v>
      </c>
    </row>
    <row r="92" spans="1:12" x14ac:dyDescent="0.3">
      <c r="A92" t="s" s="0">
        <v>201</v>
      </c>
      <c r="B92" s="0">
        <v>47.84</v>
      </c>
      <c r="C92" s="0">
        <v>49.34</v>
      </c>
      <c r="D92" s="0">
        <v>49.28</v>
      </c>
      <c r="E92" s="0">
        <v>50.1</v>
      </c>
      <c r="F92" s="0">
        <v>49.83</v>
      </c>
      <c r="G92" s="0">
        <v>50.31</v>
      </c>
      <c r="H92" s="0">
        <v>53.36</v>
      </c>
      <c r="I92" s="0">
        <v>51.46</v>
      </c>
      <c r="J92" s="0">
        <v>52.61</v>
      </c>
      <c r="K92" s="0">
        <v>50.47</v>
      </c>
      <c r="L92" s="0">
        <v>49.7</v>
      </c>
    </row>
    <row r="93" spans="1:12" x14ac:dyDescent="0.3">
      <c r="A93" t="s" s="0">
        <v>202</v>
      </c>
      <c r="B93" s="0">
        <v>52.16</v>
      </c>
      <c r="C93" s="0">
        <v>50.66</v>
      </c>
      <c r="D93" s="0">
        <v>50.72</v>
      </c>
      <c r="E93" s="0">
        <v>49.9</v>
      </c>
      <c r="F93" s="0">
        <v>50.17</v>
      </c>
      <c r="G93" s="0">
        <v>49.69</v>
      </c>
      <c r="H93" s="0">
        <v>46.64</v>
      </c>
      <c r="I93" s="0">
        <v>48.54</v>
      </c>
      <c r="J93" s="0">
        <v>47.39</v>
      </c>
      <c r="K93" s="0">
        <v>49.53</v>
      </c>
      <c r="L93" s="0">
        <v>50.3</v>
      </c>
    </row>
    <row r="94" spans="1:12" x14ac:dyDescent="0.3">
      <c r="A94" t="s" s="0">
        <v>203</v>
      </c>
      <c r="B94" s="0">
        <v>100</v>
      </c>
      <c r="C94" s="0">
        <v>100</v>
      </c>
      <c r="D94" s="0">
        <v>100</v>
      </c>
      <c r="E94" s="0">
        <v>100</v>
      </c>
      <c r="F94" s="0">
        <v>100</v>
      </c>
      <c r="G94" s="0">
        <v>100</v>
      </c>
      <c r="H94" s="0">
        <v>100</v>
      </c>
      <c r="I94" s="0">
        <v>100</v>
      </c>
      <c r="J94" s="0">
        <v>100</v>
      </c>
      <c r="K94" s="0">
        <v>100</v>
      </c>
      <c r="L94" s="0">
        <v>100</v>
      </c>
    </row>
    <row r="96" spans="1:12" x14ac:dyDescent="0.3">
      <c r="A96" t="s" s="0">
        <v>204</v>
      </c>
      <c r="B96" t="s" s="0">
        <v>166</v>
      </c>
      <c r="C96" t="s" s="0">
        <v>265</v>
      </c>
      <c r="D96" t="s" s="0">
        <v>264</v>
      </c>
      <c r="E96" t="s" s="0">
        <v>263</v>
      </c>
      <c r="F96" t="s" s="0">
        <v>262</v>
      </c>
      <c r="G96" t="s" s="0">
        <v>261</v>
      </c>
      <c r="H96" t="s" s="0">
        <v>260</v>
      </c>
      <c r="I96" t="s" s="0">
        <v>259</v>
      </c>
      <c r="J96" t="s" s="0">
        <v>258</v>
      </c>
      <c r="K96" t="s" s="0">
        <v>257</v>
      </c>
      <c r="L96" t="s" s="0">
        <v>256</v>
      </c>
    </row>
    <row r="97" spans="1:12" x14ac:dyDescent="0.3">
      <c r="A97" t="s" s="0">
        <v>205</v>
      </c>
      <c r="B97" s="0">
        <v>0.85</v>
      </c>
      <c r="C97" s="0">
        <v>0.87</v>
      </c>
      <c r="D97" s="0">
        <v>0.79</v>
      </c>
      <c r="E97" s="0">
        <v>0.82</v>
      </c>
      <c r="F97" s="0">
        <v>0.83</v>
      </c>
      <c r="G97" s="0">
        <v>1</v>
      </c>
      <c r="H97" s="0">
        <v>0.94</v>
      </c>
      <c r="I97" s="0">
        <v>0.94</v>
      </c>
      <c r="J97" s="0">
        <v>1.06</v>
      </c>
      <c r="K97" s="0">
        <v>1.47</v>
      </c>
      <c r="L97" s="0">
        <v>1.47</v>
      </c>
    </row>
    <row r="98" spans="1:12" x14ac:dyDescent="0.3">
      <c r="A98" t="s" s="0">
        <v>206</v>
      </c>
      <c r="B98" s="0">
        <v>0.51</v>
      </c>
      <c r="C98" s="0">
        <v>0.53</v>
      </c>
      <c r="D98" s="0">
        <v>0.44</v>
      </c>
      <c r="E98" s="0">
        <v>0.5</v>
      </c>
      <c r="F98" s="0">
        <v>0.53</v>
      </c>
      <c r="G98" s="0">
        <v>0.69</v>
      </c>
      <c r="H98" s="0">
        <v>0.66</v>
      </c>
      <c r="I98" s="0">
        <v>0.64</v>
      </c>
      <c r="J98" s="0">
        <v>0.74</v>
      </c>
      <c r="K98" s="0">
        <v>1.1599999999999999</v>
      </c>
      <c r="L98" s="0">
        <v>1.22</v>
      </c>
    </row>
    <row r="99" spans="1:12" x14ac:dyDescent="0.3">
      <c r="A99" t="s" s="0">
        <v>207</v>
      </c>
      <c r="B99" s="0">
        <v>1.92</v>
      </c>
      <c r="C99" s="0">
        <v>1.97</v>
      </c>
      <c r="D99" s="0">
        <v>1.97</v>
      </c>
      <c r="E99" s="0">
        <v>2</v>
      </c>
      <c r="F99" s="0">
        <v>1.99</v>
      </c>
      <c r="G99" s="0">
        <v>2.0099999999999998</v>
      </c>
      <c r="H99" s="0">
        <v>2.14</v>
      </c>
      <c r="I99" s="0">
        <v>2.06</v>
      </c>
      <c r="J99" s="0">
        <v>2.11</v>
      </c>
      <c r="K99" s="0">
        <v>2.02</v>
      </c>
      <c r="L99" s="0">
        <v>1.99</v>
      </c>
    </row>
    <row r="100" spans="1:12" x14ac:dyDescent="0.3">
      <c r="A100" t="s" s="0">
        <v>208</v>
      </c>
      <c r="B100" s="0">
        <v>0.14000000000000001</v>
      </c>
      <c r="C100" s="0">
        <v>0.17</v>
      </c>
      <c r="D100" s="0">
        <v>0.12</v>
      </c>
      <c r="E100" s="0">
        <v>7.0000000000000007E-2</v>
      </c>
      <c r="F100" s="0">
        <v>0.04</v>
      </c>
      <c r="G100" s="0">
        <v>0.05</v>
      </c>
      <c r="H100" s="0">
        <v>0.06</v>
      </c>
      <c r="I100" s="0">
        <v>0.08</v>
      </c>
      <c r="J100" s="0">
        <v>0.06</v>
      </c>
      <c r="K100" s="0">
        <v>0.06</v>
      </c>
      <c r="L100" s="0">
        <v>0.05</v>
      </c>
    </row>
    <row r="102" spans="1:12" x14ac:dyDescent="0.3">
      <c r="A102" t="s" s="0">
        <v>209</v>
      </c>
    </row>
    <row r="103" spans="1:12" x14ac:dyDescent="0.3">
      <c r="A103" t="s" s="0">
        <v>210</v>
      </c>
      <c r="B103" t="s" s="0">
        <v>1</v>
      </c>
      <c r="C103" t="s" s="0">
        <v>265</v>
      </c>
      <c r="D103" t="s" s="0">
        <v>264</v>
      </c>
      <c r="E103" t="s" s="0">
        <v>263</v>
      </c>
      <c r="F103" t="s" s="0">
        <v>262</v>
      </c>
      <c r="G103" t="s" s="0">
        <v>261</v>
      </c>
      <c r="H103" t="s" s="0">
        <v>260</v>
      </c>
      <c r="I103" t="s" s="0">
        <v>259</v>
      </c>
      <c r="J103" t="s" s="0">
        <v>258</v>
      </c>
      <c r="K103" t="s" s="0">
        <v>257</v>
      </c>
      <c r="L103" t="s" s="0">
        <v>256</v>
      </c>
    </row>
    <row r="104" spans="1:12" x14ac:dyDescent="0.3">
      <c r="A104" t="s" s="0">
        <v>211</v>
      </c>
      <c r="B104" s="0">
        <v>31.44</v>
      </c>
      <c r="C104" s="0">
        <v>23.63</v>
      </c>
      <c r="D104" s="0">
        <v>21.57</v>
      </c>
      <c r="E104" s="0">
        <v>19.73</v>
      </c>
      <c r="F104" s="0">
        <v>22.64</v>
      </c>
      <c r="G104" s="0">
        <v>25.36</v>
      </c>
      <c r="H104" s="0">
        <v>26.61</v>
      </c>
      <c r="I104" s="0">
        <v>28.54</v>
      </c>
      <c r="J104" s="0">
        <v>27.24</v>
      </c>
      <c r="K104" s="0">
        <v>21.09</v>
      </c>
      <c r="L104" s="0">
        <v>27.76</v>
      </c>
    </row>
    <row r="105" spans="1:12" x14ac:dyDescent="0.3">
      <c r="A105" t="s" s="0">
        <v>212</v>
      </c>
      <c r="B105" s="0">
        <v>33.340000000000003</v>
      </c>
      <c r="C105" s="0">
        <v>36.369999999999997</v>
      </c>
      <c r="D105" s="0">
        <v>31.91</v>
      </c>
      <c r="E105" s="0">
        <v>20.22</v>
      </c>
      <c r="F105" s="0">
        <v>17.75</v>
      </c>
      <c r="G105" s="0">
        <v>16.059999999999999</v>
      </c>
      <c r="H105" s="0">
        <v>15.02</v>
      </c>
      <c r="I105" s="0">
        <v>17.07</v>
      </c>
      <c r="J105" s="0">
        <v>22.78</v>
      </c>
      <c r="K105" s="0">
        <v>14.37</v>
      </c>
      <c r="L105" s="0">
        <v>17.09</v>
      </c>
    </row>
    <row r="106" spans="1:12" x14ac:dyDescent="0.3">
      <c r="A106" t="s" s="0">
        <v>213</v>
      </c>
      <c r="C106" s="0">
        <v>41.65</v>
      </c>
      <c r="D106" s="0">
        <v>42.03</v>
      </c>
      <c r="E106" s="0">
        <v>34.630000000000003</v>
      </c>
      <c r="F106" s="0">
        <v>37.450000000000003</v>
      </c>
      <c r="G106" s="0">
        <v>36.79</v>
      </c>
      <c r="H106" s="0">
        <v>34.72</v>
      </c>
      <c r="I106" s="0">
        <v>38.28</v>
      </c>
      <c r="J106" s="0">
        <v>44.61</v>
      </c>
      <c r="K106" s="0">
        <v>31.87</v>
      </c>
      <c r="L106" s="0">
        <v>42.58</v>
      </c>
    </row>
    <row r="107" spans="1:12" x14ac:dyDescent="0.3">
      <c r="A107" t="s" s="0">
        <v>214</v>
      </c>
      <c r="C107" s="0">
        <v>18.350000000000001</v>
      </c>
      <c r="D107" s="0">
        <v>11.46</v>
      </c>
      <c r="E107" s="0">
        <v>5.32</v>
      </c>
      <c r="F107" s="0">
        <v>2.94</v>
      </c>
      <c r="G107" s="0">
        <v>4.62</v>
      </c>
      <c r="H107" s="0">
        <v>6.9</v>
      </c>
      <c r="I107" s="0">
        <v>7.33</v>
      </c>
      <c r="J107" s="0">
        <v>5.41</v>
      </c>
      <c r="K107" s="0">
        <v>3.59</v>
      </c>
      <c r="L107" s="0">
        <v>2.27</v>
      </c>
    </row>
    <row r="108" spans="1:12" x14ac:dyDescent="0.3">
      <c r="A108" t="s" s="0">
        <v>215</v>
      </c>
      <c r="B108" s="0">
        <v>11.61</v>
      </c>
      <c r="C108" s="0">
        <v>15.45</v>
      </c>
      <c r="D108" s="0">
        <v>16.920000000000002</v>
      </c>
      <c r="E108" s="0">
        <v>18.5</v>
      </c>
      <c r="F108" s="0">
        <v>16.12</v>
      </c>
      <c r="G108" s="0">
        <v>14.39</v>
      </c>
      <c r="H108" s="0">
        <v>13.72</v>
      </c>
      <c r="I108" s="0">
        <v>12.79</v>
      </c>
      <c r="J108" s="0">
        <v>13.4</v>
      </c>
      <c r="K108" s="0">
        <v>17.309999999999999</v>
      </c>
      <c r="L108" s="0">
        <v>13.15</v>
      </c>
    </row>
    <row r="109" spans="1:12" x14ac:dyDescent="0.3">
      <c r="A109" t="s" s="0">
        <v>216</v>
      </c>
      <c r="B109" s="0">
        <v>10.94</v>
      </c>
      <c r="C109" s="0">
        <v>10.039999999999999</v>
      </c>
      <c r="D109" s="0">
        <v>11.44</v>
      </c>
      <c r="E109" s="0">
        <v>18.05</v>
      </c>
      <c r="F109" s="0">
        <v>20.55</v>
      </c>
      <c r="G109" s="0">
        <v>22.73</v>
      </c>
      <c r="H109" s="0">
        <v>24.31</v>
      </c>
      <c r="I109" s="0">
        <v>21.39</v>
      </c>
      <c r="J109" s="0">
        <v>16.02</v>
      </c>
      <c r="K109" s="0">
        <v>25.41</v>
      </c>
      <c r="L109" s="0">
        <v>21.36</v>
      </c>
    </row>
    <row r="110" spans="1:12" x14ac:dyDescent="0.3">
      <c r="A110" t="s" s="0">
        <v>217</v>
      </c>
      <c r="B110" s="0">
        <v>1</v>
      </c>
      <c r="C110" s="0">
        <v>0.91</v>
      </c>
      <c r="D110" s="0">
        <v>1.07</v>
      </c>
      <c r="E110" s="0">
        <v>1.66</v>
      </c>
      <c r="F110" s="0">
        <v>1.86</v>
      </c>
      <c r="G110" s="0">
        <v>2.1800000000000002</v>
      </c>
      <c r="H110" s="0">
        <v>2.35</v>
      </c>
      <c r="I110" s="0">
        <v>2.2599999999999998</v>
      </c>
      <c r="J110" s="0">
        <v>2.38</v>
      </c>
      <c r="K110" s="0">
        <v>3.94</v>
      </c>
      <c r="L110" s="0">
        <v>3.45</v>
      </c>
    </row>
    <row r="111" spans="1:12" x14ac:dyDescent="0.3">
      <c r="A111" t="s" s="0">
        <v>218</v>
      </c>
      <c r="B111" s="0">
        <v>0.74</v>
      </c>
      <c r="C111" s="0">
        <v>0.68</v>
      </c>
      <c r="D111" s="0">
        <v>0.78</v>
      </c>
      <c r="E111" s="0">
        <v>1.18</v>
      </c>
      <c r="F111" s="0">
        <v>1.29</v>
      </c>
      <c r="G111" s="0">
        <v>1.45</v>
      </c>
      <c r="H111" s="0">
        <v>1.54</v>
      </c>
      <c r="I111" s="0">
        <v>1.43</v>
      </c>
      <c r="J111" s="0">
        <v>1.35</v>
      </c>
      <c r="K111" s="0">
        <v>2.0299999999999998</v>
      </c>
      <c r="L111" s="0">
        <v>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"/>
  <sheetViews>
    <sheetView workbookViewId="0">
      <selection activeCell="G15" sqref="G15"/>
    </sheetView>
  </sheetViews>
  <sheetFormatPr defaultRowHeight="14.4" x14ac:dyDescent="0.3"/>
  <cols>
    <col min="1" max="1" customWidth="true" style="130" width="129.5546875"/>
  </cols>
  <sheetData>
    <row r="1" spans="1:5" ht="42.75" customHeight="1" x14ac:dyDescent="0.3">
      <c r="A1" s="121" t="s">
        <v>280</v>
      </c>
      <c r="C1" s="146"/>
    </row>
    <row r="2" spans="1:5" ht="15" thickBot="1" x14ac:dyDescent="0.35">
      <c r="A2" s="122"/>
      <c r="C2" s="147"/>
    </row>
    <row r="3" spans="1:5" ht="15" thickBot="1" x14ac:dyDescent="0.35">
      <c r="A3" s="123"/>
    </row>
    <row r="4" spans="1:5" ht="15" thickBot="1" x14ac:dyDescent="0.35">
      <c r="A4" s="123"/>
    </row>
    <row r="5" spans="1:5" ht="15" thickBot="1" x14ac:dyDescent="0.35">
      <c r="C5" s="144"/>
      <c r="D5" s="144"/>
    </row>
    <row r="6" spans="1:5" ht="15" thickBot="1" x14ac:dyDescent="0.35">
      <c r="A6" s="124"/>
      <c r="C6" s="143"/>
      <c r="D6" s="143"/>
      <c r="E6" s="143"/>
    </row>
    <row r="7" spans="1:5" ht="15" thickBot="1" x14ac:dyDescent="0.35">
      <c r="C7" s="175"/>
      <c r="D7" s="177"/>
      <c r="E7" s="176"/>
    </row>
    <row r="8" spans="1:5" ht="15" thickBot="1" x14ac:dyDescent="0.35">
      <c r="A8" s="124"/>
    </row>
    <row r="9" spans="1:5" ht="15" thickBot="1" x14ac:dyDescent="0.35">
      <c r="C9" s="143"/>
      <c r="D9" s="143"/>
      <c r="E9" s="143"/>
    </row>
    <row r="10" spans="1:5" ht="15" thickBot="1" x14ac:dyDescent="0.35">
      <c r="A10" s="125"/>
      <c r="C10" s="175"/>
      <c r="D10" s="177"/>
      <c r="E10" s="176"/>
    </row>
    <row r="11" spans="1:5" ht="15" thickBot="1" x14ac:dyDescent="0.35">
      <c r="A11" s="126"/>
      <c r="C11" s="178"/>
      <c r="D11" s="178"/>
      <c r="E11" s="178"/>
    </row>
    <row r="12" spans="1:5" ht="42.75" customHeight="1" thickBot="1" x14ac:dyDescent="0.35">
      <c r="A12" s="127"/>
      <c r="C12" s="179"/>
      <c r="D12" s="180"/>
      <c r="E12" s="181"/>
    </row>
    <row r="13" spans="1:5" ht="22.5" customHeight="1" thickBot="1" x14ac:dyDescent="0.35">
      <c r="A13" s="128"/>
      <c r="C13" s="178"/>
      <c r="D13" s="178"/>
      <c r="E13" s="178"/>
    </row>
    <row r="14" spans="1:5" ht="15" thickBot="1" x14ac:dyDescent="0.35">
      <c r="A14" s="129"/>
      <c r="C14" s="143"/>
      <c r="D14" s="141"/>
      <c r="E14" s="145"/>
    </row>
    <row r="15" spans="1:5" ht="63.75" customHeight="1" thickBot="1" x14ac:dyDescent="0.35">
      <c r="A15" s="127"/>
      <c r="C15" s="182"/>
      <c r="D15" s="183"/>
      <c r="E15" s="184"/>
    </row>
    <row r="16" spans="1:5" ht="23.25" customHeight="1" thickBot="1" x14ac:dyDescent="0.35">
      <c r="A16" s="129"/>
      <c r="C16" s="144"/>
      <c r="D16" s="144"/>
    </row>
    <row r="17" spans="1:4" ht="22.5" customHeight="1" thickBot="1" x14ac:dyDescent="0.35">
      <c r="A17" s="127"/>
      <c r="C17" s="143"/>
      <c r="D17" s="143"/>
    </row>
    <row r="18" spans="1:4" ht="28.5" customHeight="1" thickBot="1" x14ac:dyDescent="0.35">
      <c r="A18" s="129"/>
      <c r="C18" s="175"/>
      <c r="D18" s="176"/>
    </row>
    <row r="19" spans="1:4" ht="63.75" customHeight="1" thickBot="1" x14ac:dyDescent="0.35">
      <c r="A19" s="127"/>
      <c r="C19" s="142"/>
      <c r="D19" s="142"/>
    </row>
    <row r="20" spans="1:4" ht="23.25" customHeight="1" thickBot="1" x14ac:dyDescent="0.35">
      <c r="A20" s="129"/>
      <c r="C20" s="143"/>
      <c r="D20" s="143"/>
    </row>
    <row r="21" spans="1:4" ht="15" thickBot="1" x14ac:dyDescent="0.35">
      <c r="A21" s="127"/>
      <c r="C21" s="175"/>
      <c r="D21" s="176"/>
    </row>
    <row r="22" spans="1:4" ht="28.5" customHeight="1" thickBot="1" x14ac:dyDescent="0.35">
      <c r="A22" s="129"/>
      <c r="C22" s="171"/>
      <c r="D22" s="172"/>
    </row>
    <row r="23" spans="1:4" ht="15" thickBot="1" x14ac:dyDescent="0.35">
      <c r="A23" s="127"/>
      <c r="C23" s="149"/>
      <c r="D23" s="150"/>
    </row>
    <row r="24" spans="1:4" ht="15" thickBot="1" x14ac:dyDescent="0.35">
      <c r="A24" s="128"/>
      <c r="C24" s="173"/>
      <c r="D24" s="174"/>
    </row>
    <row r="25" spans="1:4" ht="15" thickBot="1" x14ac:dyDescent="0.35">
      <c r="A25" s="129"/>
      <c r="C25" s="175"/>
      <c r="D25" s="176"/>
    </row>
    <row r="26" spans="1:4" ht="336.75" customHeight="1" thickBot="1" x14ac:dyDescent="0.35">
      <c r="A26" s="127"/>
      <c r="C26" s="148"/>
      <c r="D26" s="148"/>
    </row>
    <row r="27" spans="1:4" ht="15" thickBot="1" x14ac:dyDescent="0.35">
      <c r="A27" s="129"/>
      <c r="C27" s="175"/>
      <c r="D27" s="176"/>
    </row>
    <row r="28" spans="1:4" ht="305.25" customHeight="1" thickBot="1" x14ac:dyDescent="0.35">
      <c r="A28" s="127"/>
      <c r="C28" s="148"/>
      <c r="D28" s="148"/>
    </row>
    <row r="29" spans="1:4" ht="15" thickBot="1" x14ac:dyDescent="0.35">
      <c r="A29" s="129"/>
      <c r="C29" s="175"/>
      <c r="D29" s="176"/>
    </row>
    <row r="30" spans="1:4" ht="409.6" customHeight="1" thickBot="1" x14ac:dyDescent="0.35">
      <c r="A30" s="127"/>
      <c r="C30" s="148"/>
      <c r="D30" s="148"/>
    </row>
    <row r="31" spans="1:4" ht="15" thickBot="1" x14ac:dyDescent="0.35">
      <c r="C31" s="175"/>
      <c r="D31" s="176"/>
    </row>
    <row r="32" spans="1:4" ht="15" thickBot="1" x14ac:dyDescent="0.35">
      <c r="A32" s="129"/>
      <c r="C32" s="149"/>
      <c r="D32" s="150"/>
    </row>
    <row r="33" spans="1:4" ht="15" thickBot="1" x14ac:dyDescent="0.35">
      <c r="A33" s="127"/>
      <c r="C33" s="173"/>
      <c r="D33" s="174"/>
    </row>
    <row r="34" spans="1:4" ht="15" thickBot="1" x14ac:dyDescent="0.35">
      <c r="C34" s="175"/>
      <c r="D34" s="176"/>
    </row>
    <row r="35" spans="1:4" ht="357.75" customHeight="1" thickBot="1" x14ac:dyDescent="0.35">
      <c r="A35" s="129"/>
      <c r="C35" s="148"/>
      <c r="D35" s="148"/>
    </row>
    <row r="36" spans="1:4" ht="15" thickBot="1" x14ac:dyDescent="0.35">
      <c r="A36" s="127"/>
      <c r="C36" s="175"/>
      <c r="D36" s="176"/>
    </row>
    <row r="37" spans="1:4" ht="294.75" customHeight="1" thickBot="1" x14ac:dyDescent="0.35">
      <c r="A37" s="128"/>
      <c r="C37" s="148"/>
      <c r="D37" s="148"/>
    </row>
    <row r="38" spans="1:4" ht="15" thickBot="1" x14ac:dyDescent="0.35">
      <c r="A38" s="129"/>
      <c r="C38" s="175"/>
      <c r="D38" s="176"/>
    </row>
    <row r="39" spans="1:4" ht="305.25" customHeight="1" thickBot="1" x14ac:dyDescent="0.35">
      <c r="A39" s="127"/>
      <c r="C39" s="148"/>
      <c r="D39" s="148"/>
    </row>
    <row r="40" spans="1:4" ht="15" thickBot="1" x14ac:dyDescent="0.35">
      <c r="A40" s="129"/>
    </row>
    <row r="41" spans="1:4" ht="15" thickBot="1" x14ac:dyDescent="0.35">
      <c r="A41" s="127"/>
    </row>
    <row r="42" spans="1:4" ht="15" thickBot="1" x14ac:dyDescent="0.35">
      <c r="A42" s="129"/>
    </row>
    <row r="43" spans="1:4" ht="15" thickBot="1" x14ac:dyDescent="0.35">
      <c r="A43" s="127"/>
    </row>
    <row r="44" spans="1:4" ht="15" thickBot="1" x14ac:dyDescent="0.35">
      <c r="A44" s="129"/>
    </row>
    <row r="45" spans="1:4" ht="15" thickBot="1" x14ac:dyDescent="0.35">
      <c r="A45" s="127"/>
    </row>
    <row r="46" spans="1:4" ht="15" thickBot="1" x14ac:dyDescent="0.35">
      <c r="A46" s="129"/>
    </row>
    <row r="47" spans="1:4" ht="15" thickBot="1" x14ac:dyDescent="0.35">
      <c r="A47" s="127"/>
    </row>
    <row r="48" spans="1:4" ht="15" thickBot="1" x14ac:dyDescent="0.35">
      <c r="A48" s="128"/>
    </row>
    <row r="49" spans="1:1" ht="15" thickBot="1" x14ac:dyDescent="0.35">
      <c r="A49" s="127"/>
    </row>
    <row r="50" spans="1:1" x14ac:dyDescent="0.3">
      <c r="A50" s="126"/>
    </row>
    <row r="51" spans="1:1" ht="15" thickBot="1" x14ac:dyDescent="0.35">
      <c r="A51" s="129"/>
    </row>
    <row r="52" spans="1:1" ht="15" thickBot="1" x14ac:dyDescent="0.35">
      <c r="A52" s="127"/>
    </row>
    <row r="53" spans="1:1" ht="15" thickBot="1" x14ac:dyDescent="0.35">
      <c r="A53" s="129"/>
    </row>
    <row r="54" spans="1:1" ht="15" thickBot="1" x14ac:dyDescent="0.35">
      <c r="A54" s="127"/>
    </row>
    <row r="55" spans="1:1" ht="15" thickBot="1" x14ac:dyDescent="0.35">
      <c r="A55" s="129"/>
    </row>
    <row r="56" spans="1:1" ht="15" thickBot="1" x14ac:dyDescent="0.35">
      <c r="A56" s="127"/>
    </row>
    <row r="57" spans="1:1" ht="15" thickBot="1" x14ac:dyDescent="0.35">
      <c r="A57" s="128"/>
    </row>
    <row r="58" spans="1:1" ht="15" thickBot="1" x14ac:dyDescent="0.35">
      <c r="A58" s="127"/>
    </row>
    <row r="59" spans="1:1" x14ac:dyDescent="0.3">
      <c r="A59" s="126"/>
    </row>
    <row r="60" spans="1:1" ht="15" thickBot="1" x14ac:dyDescent="0.35">
      <c r="A60" s="129"/>
    </row>
  </sheetData>
  <mergeCells count="18">
    <mergeCell ref="C36:D36"/>
    <mergeCell ref="C38:D38"/>
    <mergeCell ref="C25:D25"/>
    <mergeCell ref="C27:D27"/>
    <mergeCell ref="C29:D29"/>
    <mergeCell ref="C31:D31"/>
    <mergeCell ref="C33:D33"/>
    <mergeCell ref="C34:D34"/>
    <mergeCell ref="C22:D22"/>
    <mergeCell ref="C24:D24"/>
    <mergeCell ref="C18:D18"/>
    <mergeCell ref="C7:E7"/>
    <mergeCell ref="C11:E11"/>
    <mergeCell ref="C10:E10"/>
    <mergeCell ref="C12:E12"/>
    <mergeCell ref="C13:E13"/>
    <mergeCell ref="C15:E15"/>
    <mergeCell ref="C21:D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G18" sqref="G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</vt:lpstr>
      <vt:lpstr>IncomeStatement</vt:lpstr>
      <vt:lpstr>BalanceSheet</vt:lpstr>
      <vt:lpstr>CashFlow</vt:lpstr>
      <vt:lpstr>Historical Prices</vt:lpstr>
      <vt:lpstr>Key Ratios</vt:lpstr>
      <vt:lpstr>ANALYST REPORT</vt:lpstr>
      <vt:lpstr>Screenshots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2017-10-06T12:55:20Z</dcterms:created>
  <dc:creator>Scarpace, Anthony</dc:creator>
  <cp:lastModifiedBy>Michael Scarpace</cp:lastModifiedBy>
  <dcterms:modified xsi:type="dcterms:W3CDTF">2025-04-13T21:33:02Z</dcterms:modified>
</cp:coreProperties>
</file>