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2" authorId="0">
      <text>
        <r>
          <rPr>
            <sz val="8"/>
            <color rgb="FF000000"/>
            <rFont val="Tahoma"/>
            <family val="2"/>
            <charset val="1"/>
          </rPr>
          <t xml:space="preserve">1 for a call, -1 for a put
</t>
        </r>
      </text>
    </comment>
  </commentList>
</comments>
</file>

<file path=xl/sharedStrings.xml><?xml version="1.0" encoding="utf-8"?>
<sst xmlns="http://schemas.openxmlformats.org/spreadsheetml/2006/main" count="65" uniqueCount="37">
  <si>
    <t xml:space="preserve">Lattice Parameters</t>
  </si>
  <si>
    <t xml:space="preserve">Futures Parameters</t>
  </si>
  <si>
    <t xml:space="preserve">Option Parameters</t>
  </si>
  <si>
    <t xml:space="preserve">Initial Price</t>
  </si>
  <si>
    <t xml:space="preserve">Expiration</t>
  </si>
  <si>
    <t xml:space="preserve">Call / Put</t>
  </si>
  <si>
    <t xml:space="preserve">T (years)</t>
  </si>
  <si>
    <t xml:space="preserve">Strike</t>
  </si>
  <si>
    <t xml:space="preserve">volatility</t>
  </si>
  <si>
    <t xml:space="preserve"># Periods</t>
  </si>
  <si>
    <t xml:space="preserve">Type</t>
  </si>
  <si>
    <t xml:space="preserve">American</t>
  </si>
  <si>
    <t xml:space="preserve">r</t>
  </si>
  <si>
    <t xml:space="preserve">Div-Yield</t>
  </si>
  <si>
    <t xml:space="preserve">u</t>
  </si>
  <si>
    <t xml:space="preserve">d</t>
  </si>
  <si>
    <t xml:space="preserve">q</t>
  </si>
  <si>
    <t xml:space="preserve">1-q</t>
  </si>
  <si>
    <t xml:space="preserve">Stock-Lattice</t>
  </si>
  <si>
    <t xml:space="preserve">t = 0</t>
  </si>
  <si>
    <t xml:space="preserve">t = 1</t>
  </si>
  <si>
    <t xml:space="preserve">t = 2</t>
  </si>
  <si>
    <t xml:space="preserve">t = 3</t>
  </si>
  <si>
    <t xml:space="preserve">t = 4</t>
  </si>
  <si>
    <t xml:space="preserve">t = 5</t>
  </si>
  <si>
    <t xml:space="preserve">t = 6</t>
  </si>
  <si>
    <t xml:space="preserve">t = 7</t>
  </si>
  <si>
    <t xml:space="preserve">t = 8</t>
  </si>
  <si>
    <t xml:space="preserve">t = 9</t>
  </si>
  <si>
    <t xml:space="preserve">t = 10</t>
  </si>
  <si>
    <t xml:space="preserve">t = 11</t>
  </si>
  <si>
    <t xml:space="preserve">t = 12</t>
  </si>
  <si>
    <t xml:space="preserve">t = 13</t>
  </si>
  <si>
    <t xml:space="preserve">t = 14</t>
  </si>
  <si>
    <t xml:space="preserve">t = 15</t>
  </si>
  <si>
    <t xml:space="preserve">Futures-Lattice</t>
  </si>
  <si>
    <t xml:space="preserve">Option-Lattice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</si>
</sst>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General_)"/>
    <numFmt numFmtId="166" formatCode="0%"/>
    <numFmt numFmtId="167" formatCode="0.00"/>
    <numFmt numFmtId="168" formatCode="0.0%"/>
    <numFmt numFmtId="169" formatCode="0.00%"/>
    <numFmt numFmtId="170" formatCode="0.00000"/>
    <numFmt numFmtId="171" formatCode="0"/>
    <numFmt numFmtId="172" formatCode="0.0"/>
    <numFmt numFmtId="173" formatCode="0.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8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DC3E6"/>
        <bgColor rgb="FF99CCFF"/>
      </patternFill>
    </fill>
    <fill>
      <patternFill patternType="solid">
        <fgColor rgb="FFDEEBF7"/>
        <bgColor rgb="FFCCFFFF"/>
      </patternFill>
    </fill>
    <fill>
      <patternFill patternType="solid">
        <fgColor rgb="FFC0C0C0"/>
        <bgColor rgb="FF9DC3E6"/>
      </patternFill>
    </fill>
    <fill>
      <patternFill patternType="solid">
        <fgColor rgb="FF99CCFF"/>
        <bgColor rgb="FF9DC3E6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4" borderId="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0" borderId="2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8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0" borderId="6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6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0" borderId="0" xfId="21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1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7" fillId="5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7" fillId="0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7" fillId="0" borderId="1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7" fillId="0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7" fillId="5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7" fillId="5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_Call" xfId="21" builtinId="53" customBuiltin="true"/>
    <cellStyle name="Percent 2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9DC3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8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B76" activeCellId="0" sqref="B76"/>
    </sheetView>
  </sheetViews>
  <sheetFormatPr defaultRowHeight="12.5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9.55"/>
    <col collapsed="false" customWidth="true" hidden="false" outlineLevel="0" max="6" min="3" style="1" width="9.18"/>
    <col collapsed="false" customWidth="true" hidden="false" outlineLevel="0" max="7" min="7" style="1" width="10.27"/>
    <col collapsed="false" customWidth="true" hidden="false" outlineLevel="0" max="8" min="8" style="1" width="9.18"/>
    <col collapsed="false" customWidth="true" hidden="false" outlineLevel="0" max="9" min="9" style="1" width="10.27"/>
    <col collapsed="false" customWidth="true" hidden="false" outlineLevel="0" max="16" min="10" style="1" width="9.18"/>
    <col collapsed="false" customWidth="true" hidden="false" outlineLevel="0" max="17" min="17" style="1" width="9.36"/>
    <col collapsed="false" customWidth="true" hidden="false" outlineLevel="0" max="1025" min="18" style="1" width="9.18"/>
  </cols>
  <sheetData>
    <row r="1" customFormat="false" ht="13" hidden="false" customHeight="false" outlineLevel="0" collapsed="false">
      <c r="A1" s="2" t="s">
        <v>0</v>
      </c>
      <c r="B1" s="2"/>
      <c r="E1" s="2" t="s">
        <v>1</v>
      </c>
      <c r="F1" s="2"/>
      <c r="I1" s="2" t="s">
        <v>2</v>
      </c>
      <c r="J1" s="2"/>
    </row>
    <row r="2" customFormat="false" ht="13.5" hidden="false" customHeight="false" outlineLevel="0" collapsed="false">
      <c r="A2" s="3" t="s">
        <v>3</v>
      </c>
      <c r="B2" s="4" t="n">
        <v>100</v>
      </c>
      <c r="E2" s="5" t="s">
        <v>4</v>
      </c>
      <c r="F2" s="6" t="n">
        <v>15</v>
      </c>
      <c r="I2" s="7" t="s">
        <v>5</v>
      </c>
      <c r="J2" s="8" t="n">
        <v>1</v>
      </c>
    </row>
    <row r="3" customFormat="false" ht="14.5" hidden="false" customHeight="false" outlineLevel="0" collapsed="false">
      <c r="A3" s="9" t="s">
        <v>6</v>
      </c>
      <c r="B3" s="10" t="n">
        <v>0.25</v>
      </c>
      <c r="D3" s="11"/>
      <c r="I3" s="12" t="s">
        <v>7</v>
      </c>
      <c r="J3" s="13" t="n">
        <v>110</v>
      </c>
    </row>
    <row r="4" customFormat="false" ht="14.5" hidden="false" customHeight="false" outlineLevel="0" collapsed="false">
      <c r="A4" s="9" t="s">
        <v>8</v>
      </c>
      <c r="B4" s="14" t="n">
        <v>0.3</v>
      </c>
      <c r="D4" s="11"/>
      <c r="I4" s="12" t="s">
        <v>4</v>
      </c>
      <c r="J4" s="13" t="n">
        <v>15</v>
      </c>
    </row>
    <row r="5" customFormat="false" ht="13.5" hidden="false" customHeight="false" outlineLevel="0" collapsed="false">
      <c r="A5" s="9" t="s">
        <v>9</v>
      </c>
      <c r="B5" s="13" t="n">
        <v>15</v>
      </c>
      <c r="D5" s="15"/>
      <c r="G5" s="16"/>
      <c r="H5" s="16"/>
      <c r="I5" s="17" t="s">
        <v>10</v>
      </c>
      <c r="J5" s="18" t="s">
        <v>11</v>
      </c>
    </row>
    <row r="6" customFormat="false" ht="14.5" hidden="false" customHeight="false" outlineLevel="0" collapsed="false">
      <c r="A6" s="9" t="s">
        <v>12</v>
      </c>
      <c r="B6" s="19" t="n">
        <v>0.02</v>
      </c>
      <c r="D6" s="15"/>
    </row>
    <row r="7" customFormat="false" ht="15" hidden="false" customHeight="false" outlineLevel="0" collapsed="false">
      <c r="A7" s="20" t="s">
        <v>13</v>
      </c>
      <c r="B7" s="21" t="n">
        <v>0.01</v>
      </c>
    </row>
    <row r="8" customFormat="false" ht="13" hidden="false" customHeight="false" outlineLevel="0" collapsed="false">
      <c r="A8" s="22" t="s">
        <v>14</v>
      </c>
      <c r="B8" s="23" t="n">
        <f aca="false">EXP(B4*SQRT(B3/B5))</f>
        <v>1.03948961040134</v>
      </c>
    </row>
    <row r="9" customFormat="false" ht="13" hidden="false" customHeight="false" outlineLevel="0" collapsed="false">
      <c r="A9" s="24" t="s">
        <v>15</v>
      </c>
      <c r="B9" s="25" t="n">
        <f aca="false">1/B8</f>
        <v>0.962010577108038</v>
      </c>
    </row>
    <row r="10" customFormat="false" ht="13" hidden="false" customHeight="false" outlineLevel="0" collapsed="false">
      <c r="A10" s="24" t="s">
        <v>16</v>
      </c>
      <c r="B10" s="26" t="n">
        <f aca="false">(EXP((B6 - B7) * B3/B5) - B9) / (B8 - B9)</f>
        <v>0.492470050624511</v>
      </c>
      <c r="D10" s="27"/>
      <c r="F10" s="16"/>
      <c r="G10" s="16"/>
    </row>
    <row r="11" customFormat="false" ht="13.5" hidden="false" customHeight="false" outlineLevel="0" collapsed="false">
      <c r="A11" s="28" t="s">
        <v>17</v>
      </c>
      <c r="B11" s="29" t="n">
        <f aca="false">1 - B10</f>
        <v>0.50752994937549</v>
      </c>
      <c r="D11" s="27"/>
      <c r="F11" s="16"/>
      <c r="G11" s="16"/>
    </row>
    <row r="13" customFormat="false" ht="12.5" hidden="false" customHeight="false" outlineLevel="0" collapsed="false">
      <c r="A13" s="30" t="n">
        <v>16</v>
      </c>
      <c r="M13" s="30"/>
      <c r="N13" s="30"/>
    </row>
    <row r="14" customFormat="false" ht="12.5" hidden="false" customHeight="false" outlineLevel="0" collapsed="false">
      <c r="A14" s="30" t="n">
        <v>15</v>
      </c>
      <c r="M14" s="30"/>
      <c r="N14" s="30"/>
      <c r="Q14" s="31" t="n">
        <f aca="false">$B$2 * ($B$8 ^ (15)) * ($B$9 ^ (0))</f>
        <v>178.773150758237</v>
      </c>
    </row>
    <row r="15" customFormat="false" ht="12.5" hidden="false" customHeight="false" outlineLevel="0" collapsed="false">
      <c r="A15" s="30" t="n">
        <v>14</v>
      </c>
      <c r="M15" s="30"/>
      <c r="N15" s="30"/>
      <c r="P15" s="32" t="n">
        <f aca="false">$B$2 * ($B$8 ^ (14)) * ($B$9 ^ (0))</f>
        <v>171.981661932354</v>
      </c>
      <c r="Q15" s="31" t="n">
        <f aca="false">$B$2 * ($B$8 ^ (14)) * ($B$9 ^ (1))</f>
        <v>165.448177847543</v>
      </c>
    </row>
    <row r="16" customFormat="false" ht="12.5" hidden="false" customHeight="false" outlineLevel="0" collapsed="false">
      <c r="A16" s="30" t="n">
        <v>13</v>
      </c>
      <c r="M16" s="30"/>
      <c r="N16" s="30"/>
      <c r="O16" s="32" t="n">
        <f aca="false">$B$2 * ($B$8 ^ (13)) * ($B$9 ^ (0))</f>
        <v>165.448177847543</v>
      </c>
      <c r="P16" s="32" t="n">
        <f aca="false">$B$2 * ($B$8 ^ (13)) * ($B$9 ^ (1))</f>
        <v>159.162897052588</v>
      </c>
      <c r="Q16" s="31" t="n">
        <f aca="false">$B$2 * ($B$8 ^ (13)) * ($B$9 ^ (2))</f>
        <v>153.116390447747</v>
      </c>
    </row>
    <row r="17" customFormat="false" ht="13" hidden="false" customHeight="false" outlineLevel="0" collapsed="false">
      <c r="A17" s="30" t="n">
        <v>12</v>
      </c>
      <c r="M17" s="30"/>
      <c r="N17" s="32" t="n">
        <f aca="false">$B$2 * ($B$8 ^ (12)) * ($B$9 ^ (0))</f>
        <v>159.162897052588</v>
      </c>
      <c r="O17" s="32" t="n">
        <f aca="false">$B$2 * ($B$8 ^ (12)) * ($B$9 ^ (1))</f>
        <v>153.116390447747</v>
      </c>
      <c r="P17" s="32" t="n">
        <f aca="false">$B$2 * ($B$8 ^ (12)) * ($B$9 ^ (2))</f>
        <v>147.299587139337</v>
      </c>
      <c r="Q17" s="31" t="n">
        <f aca="false">$B$2 * ($B$8 ^ (12)) * ($B$9 ^ (3))</f>
        <v>141.703760831689</v>
      </c>
    </row>
    <row r="18" customFormat="false" ht="13.5" hidden="false" customHeight="false" outlineLevel="0" collapsed="false">
      <c r="A18" s="30" t="n">
        <v>11</v>
      </c>
      <c r="B18" s="33" t="s">
        <v>18</v>
      </c>
      <c r="C18" s="33"/>
      <c r="D18" s="34"/>
      <c r="E18" s="34"/>
      <c r="F18" s="34"/>
      <c r="G18" s="34"/>
      <c r="H18" s="34"/>
      <c r="I18" s="34"/>
      <c r="J18" s="34"/>
      <c r="K18" s="34"/>
      <c r="L18" s="35"/>
      <c r="M18" s="32" t="n">
        <f aca="false">$B$2 * ($B$8 ^ (11)) * ($B$9 ^ (0))</f>
        <v>153.116390447747</v>
      </c>
      <c r="N18" s="32" t="n">
        <f aca="false">$B$2 * ($B$8 ^ (11)) * ($B$9 ^ (1))</f>
        <v>147.299587139337</v>
      </c>
      <c r="O18" s="32" t="n">
        <f aca="false">$B$2 * ($B$8 ^ (11)) * ($B$9 ^ (2))</f>
        <v>141.703760831689</v>
      </c>
      <c r="P18" s="32" t="n">
        <f aca="false">$B$2 * ($B$8 ^ (11)) * ($B$9 ^ (3))</f>
        <v>136.320516736073</v>
      </c>
      <c r="Q18" s="31" t="n">
        <f aca="false">$B$2 * ($B$8 ^ (11)) * ($B$9 ^ (4))</f>
        <v>131.141778976935</v>
      </c>
    </row>
    <row r="19" customFormat="false" ht="12.5" hidden="false" customHeight="false" outlineLevel="0" collapsed="false">
      <c r="A19" s="30" t="n">
        <v>10</v>
      </c>
      <c r="B19" s="36"/>
      <c r="C19" s="37"/>
      <c r="D19" s="37"/>
      <c r="E19" s="37"/>
      <c r="F19" s="37"/>
      <c r="G19" s="37"/>
      <c r="H19" s="37"/>
      <c r="I19" s="37"/>
      <c r="J19" s="37"/>
      <c r="K19" s="37"/>
      <c r="L19" s="32" t="n">
        <f aca="false">B2 * (B8 ^ (10)) * (B9 ^ (0))</f>
        <v>147.299587139337</v>
      </c>
      <c r="M19" s="32" t="n">
        <f aca="false">$B$2 * ($B$8 ^ (10)) * ($B$9 ^ (1))</f>
        <v>141.703760831689</v>
      </c>
      <c r="N19" s="32" t="n">
        <f aca="false">$B$2 * ($B$8 ^ (10)) * ($B$9 ^ (2))</f>
        <v>136.320516736073</v>
      </c>
      <c r="O19" s="32" t="n">
        <f aca="false">$B$2 * ($B$8 ^ (10)) * ($B$9 ^ (3))</f>
        <v>131.141778976935</v>
      </c>
      <c r="P19" s="32" t="n">
        <f aca="false">$B$2 * ($B$8 ^ (10)) * ($B$9 ^ (4))</f>
        <v>126.159778476576</v>
      </c>
      <c r="Q19" s="31" t="n">
        <f aca="false">$B$2 * ($B$8 ^ (10)) * ($B$9 ^ (5))</f>
        <v>121.367041300073</v>
      </c>
    </row>
    <row r="20" customFormat="false" ht="12.5" hidden="false" customHeight="false" outlineLevel="0" collapsed="false">
      <c r="A20" s="30" t="n">
        <v>9</v>
      </c>
      <c r="B20" s="36"/>
      <c r="C20" s="37"/>
      <c r="D20" s="37"/>
      <c r="E20" s="37"/>
      <c r="F20" s="37"/>
      <c r="G20" s="37"/>
      <c r="H20" s="37"/>
      <c r="I20" s="37"/>
      <c r="J20" s="37"/>
      <c r="K20" s="37" t="n">
        <f aca="false">B2 * (B8 ^ (9)) * (B9 ^ (0))</f>
        <v>141.703760831689</v>
      </c>
      <c r="L20" s="32" t="n">
        <f aca="false">B2 * (B8 ^ (9)) * (B9 ^ (1))</f>
        <v>136.320516736073</v>
      </c>
      <c r="M20" s="32" t="n">
        <f aca="false">$B$2 * ($B$8 ^ (9)) * ($B$9 ^ (2))</f>
        <v>131.141778976935</v>
      </c>
      <c r="N20" s="32" t="n">
        <f aca="false">$B$2 * ($B$8 ^ (9)) * ($B$9 ^ (3))</f>
        <v>126.159778476576</v>
      </c>
      <c r="O20" s="32" t="n">
        <f aca="false">$B$2 * ($B$8 ^ (9)) * ($B$9 ^ (4))</f>
        <v>121.367041300073</v>
      </c>
      <c r="P20" s="32" t="n">
        <f aca="false">$B$2 * ($B$8 ^ (9)) * ($B$9 ^ (5))</f>
        <v>116.756377442979</v>
      </c>
      <c r="Q20" s="31" t="n">
        <f aca="false">$B$2 * ($B$8 ^ (9)) * ($B$9 ^ (6))</f>
        <v>112.320870044964</v>
      </c>
    </row>
    <row r="21" customFormat="false" ht="12.5" hidden="false" customHeight="false" outlineLevel="0" collapsed="false">
      <c r="A21" s="30" t="n">
        <v>8</v>
      </c>
      <c r="B21" s="36"/>
      <c r="C21" s="37"/>
      <c r="D21" s="37"/>
      <c r="E21" s="37"/>
      <c r="F21" s="37"/>
      <c r="G21" s="37"/>
      <c r="H21" s="37"/>
      <c r="I21" s="37"/>
      <c r="J21" s="37" t="n">
        <f aca="false">B2 * (B8 ^ (8)) * (B9 ^ (0))</f>
        <v>136.320516736073</v>
      </c>
      <c r="K21" s="37" t="n">
        <f aca="false">B2 * (B8 ^ (8)) * (B9 ^ (1))</f>
        <v>131.141778976935</v>
      </c>
      <c r="L21" s="32" t="n">
        <f aca="false">B2 * (B8 ^ (8)) * (B9 ^ (2))</f>
        <v>126.159778476576</v>
      </c>
      <c r="M21" s="32" t="n">
        <f aca="false">$B$2 * ($B$8 ^ (8)) * ($B$9 ^ (3))</f>
        <v>121.367041300073</v>
      </c>
      <c r="N21" s="32" t="n">
        <f aca="false">$B$2 * ($B$8 ^ (8)) * ($B$9 ^ (4))</f>
        <v>116.756377442979</v>
      </c>
      <c r="O21" s="32" t="n">
        <f aca="false">$B$2 * ($B$8 ^ (8)) * ($B$9 ^ (5))</f>
        <v>112.320870044964</v>
      </c>
      <c r="P21" s="32" t="n">
        <f aca="false">$B$2 * ($B$8 ^ (8)) * ($B$9 ^ (6))</f>
        <v>108.053865013232</v>
      </c>
      <c r="Q21" s="31" t="n">
        <f aca="false">$B$2 * ($B$8 ^ (8)) * ($B$9 ^ (7))</f>
        <v>103.948961040134</v>
      </c>
    </row>
    <row r="22" customFormat="false" ht="12.5" hidden="false" customHeight="false" outlineLevel="0" collapsed="false">
      <c r="A22" s="30" t="n">
        <v>7</v>
      </c>
      <c r="B22" s="36"/>
      <c r="C22" s="37"/>
      <c r="D22" s="37"/>
      <c r="E22" s="37"/>
      <c r="F22" s="37"/>
      <c r="G22" s="37"/>
      <c r="H22" s="37"/>
      <c r="I22" s="37" t="n">
        <f aca="false">B2 * (B8 ^ (7)) * (B9 ^ (0))</f>
        <v>131.141778976935</v>
      </c>
      <c r="J22" s="37" t="n">
        <f aca="false">B2 * (B8 ^ (7)) * (B9 ^ (1))</f>
        <v>126.159778476576</v>
      </c>
      <c r="K22" s="37" t="n">
        <f aca="false">B2 * (B8 ^ (7)) * (B9 ^ (2))</f>
        <v>121.367041300073</v>
      </c>
      <c r="L22" s="32" t="n">
        <f aca="false">B2 * (B8 ^ (7)) * (B9 ^ (3))</f>
        <v>116.756377442979</v>
      </c>
      <c r="M22" s="32" t="n">
        <f aca="false">$B$2 * ($B$8 ^ (7)) * ($B$9 ^ (4))</f>
        <v>112.320870044964</v>
      </c>
      <c r="N22" s="32" t="n">
        <f aca="false">$B$2 * ($B$8 ^ (7)) * ($B$9 ^ (5))</f>
        <v>108.053865013232</v>
      </c>
      <c r="O22" s="32" t="n">
        <f aca="false">$B$2 * ($B$8 ^ (7)) * ($B$9 ^ (6))</f>
        <v>103.948961040134</v>
      </c>
      <c r="P22" s="32" t="n">
        <f aca="false">$B$2 * ($B$8 ^ (7)) * ($B$9 ^ (7))</f>
        <v>100</v>
      </c>
      <c r="Q22" s="31" t="n">
        <f aca="false">$B$2 * ($B$8 ^ (7)) * ($B$9 ^ (8))</f>
        <v>96.2010577108037</v>
      </c>
    </row>
    <row r="23" customFormat="false" ht="12.5" hidden="false" customHeight="false" outlineLevel="0" collapsed="false">
      <c r="A23" s="30" t="n">
        <v>6</v>
      </c>
      <c r="B23" s="36"/>
      <c r="C23" s="37"/>
      <c r="D23" s="37"/>
      <c r="E23" s="37"/>
      <c r="F23" s="37"/>
      <c r="G23" s="37"/>
      <c r="H23" s="37" t="n">
        <f aca="false">B2 * (B8 ^ (6)) * (B9 ^ (0))</f>
        <v>126.159778476576</v>
      </c>
      <c r="I23" s="37" t="n">
        <f aca="false">B2 * (B8 ^ (6)) * (B9 ^ (1))</f>
        <v>121.367041300073</v>
      </c>
      <c r="J23" s="37" t="n">
        <f aca="false">B2 * (B8 ^ (6)) * (B9 ^ (2))</f>
        <v>116.756377442979</v>
      </c>
      <c r="K23" s="37" t="n">
        <f aca="false">B2 * (B8 ^ (6)) * (B9 ^ (3))</f>
        <v>112.320870044964</v>
      </c>
      <c r="L23" s="32" t="n">
        <f aca="false">B2 * (B8 ^ (6)) * (B9 ^ (4))</f>
        <v>108.053865013232</v>
      </c>
      <c r="M23" s="32" t="n">
        <f aca="false">$B$2 * ($B$8 ^ (6)) * ($B$9 ^ (5))</f>
        <v>103.948961040134</v>
      </c>
      <c r="N23" s="32" t="n">
        <f aca="false">$B$2 * ($B$8 ^ (6)) * ($B$9 ^ (6))</f>
        <v>100</v>
      </c>
      <c r="O23" s="32" t="n">
        <f aca="false">$B$2 * ($B$8 ^ (6)) * ($B$9 ^ (7))</f>
        <v>96.2010577108037</v>
      </c>
      <c r="P23" s="32" t="n">
        <f aca="false">$B$2 * ($B$8 ^ (6)) * ($B$9 ^ (8))</f>
        <v>92.5464350467739</v>
      </c>
      <c r="Q23" s="31" t="n">
        <f aca="false">$B$2 * ($B$8 ^ (6)) * ($B$9 ^ (9))</f>
        <v>89.0306493886385</v>
      </c>
    </row>
    <row r="24" customFormat="false" ht="12.5" hidden="false" customHeight="false" outlineLevel="0" collapsed="false">
      <c r="A24" s="30" t="n">
        <v>5</v>
      </c>
      <c r="B24" s="36"/>
      <c r="C24" s="37"/>
      <c r="D24" s="37"/>
      <c r="E24" s="37"/>
      <c r="F24" s="37"/>
      <c r="G24" s="37" t="n">
        <f aca="false">B2 * (B8 ^ (5)) * (B9 ^ (0))</f>
        <v>121.367041300073</v>
      </c>
      <c r="H24" s="37" t="n">
        <f aca="false">B2 * (B8 ^ (5)) * (B9 ^ (1))</f>
        <v>116.756377442979</v>
      </c>
      <c r="I24" s="37" t="n">
        <f aca="false">B2 * (B8 ^ (5)) * (B9 ^ (2))</f>
        <v>112.320870044964</v>
      </c>
      <c r="J24" s="37" t="n">
        <f aca="false">B2 * (B8 ^ (5)) * (B9 ^ (3))</f>
        <v>108.053865013232</v>
      </c>
      <c r="K24" s="37" t="n">
        <f aca="false">B2 * (B8 ^ (5)) * (B9 ^ (4))</f>
        <v>103.948961040134</v>
      </c>
      <c r="L24" s="32" t="n">
        <f aca="false">B2 * (B8 ^ (5)) * (B9 ^ (5))</f>
        <v>100</v>
      </c>
      <c r="M24" s="32" t="n">
        <f aca="false">$B$2 * ($B$8 ^ (5)) * ($B$9 ^ (6))</f>
        <v>96.2010577108037</v>
      </c>
      <c r="N24" s="32" t="n">
        <f aca="false">$B$2 * ($B$8 ^ (5)) * ($B$9 ^ (7))</f>
        <v>92.5464350467739</v>
      </c>
      <c r="O24" s="32" t="n">
        <f aca="false">$B$2 * ($B$8 ^ (5)) * ($B$9 ^ (8))</f>
        <v>89.0306493886385</v>
      </c>
      <c r="P24" s="32" t="n">
        <f aca="false">$B$2 * ($B$8 ^ (5)) * ($B$9 ^ (9))</f>
        <v>85.6484263986675</v>
      </c>
      <c r="Q24" s="31" t="n">
        <f aca="false">$B$2 * ($B$8 ^ (5)) * ($B$9 ^ (10))</f>
        <v>82.3946921081774</v>
      </c>
    </row>
    <row r="25" customFormat="false" ht="12.5" hidden="false" customHeight="false" outlineLevel="0" collapsed="false">
      <c r="A25" s="30" t="n">
        <v>4</v>
      </c>
      <c r="B25" s="36"/>
      <c r="C25" s="37"/>
      <c r="D25" s="37"/>
      <c r="E25" s="37"/>
      <c r="F25" s="37" t="n">
        <f aca="false">B2 * (B8 ^ (4)) * (B9 ^ (0))</f>
        <v>116.756377442979</v>
      </c>
      <c r="G25" s="37" t="n">
        <f aca="false">B2 * (B8 ^ (4)) * (B9 ^ (1))</f>
        <v>112.320870044964</v>
      </c>
      <c r="H25" s="37" t="n">
        <f aca="false">B2 * (B8 ^ (4)) * (B9 ^ (2))</f>
        <v>108.053865013232</v>
      </c>
      <c r="I25" s="37" t="n">
        <f aca="false">B2 * (B8 ^ (4)) * (B9 ^ (3))</f>
        <v>103.948961040134</v>
      </c>
      <c r="J25" s="37" t="n">
        <f aca="false">B2 * (B8 ^ (4)) * (B9 ^ (4))</f>
        <v>100</v>
      </c>
      <c r="K25" s="37" t="n">
        <f aca="false">B2 * (B8 ^ (4)) * (B9 ^ (5))</f>
        <v>96.2010577108037</v>
      </c>
      <c r="L25" s="32" t="n">
        <f aca="false">B2 * (B8 ^ (4)) * (B9 ^ (6))</f>
        <v>92.5464350467739</v>
      </c>
      <c r="M25" s="32" t="n">
        <f aca="false">$B$2 * ($B$8 ^ (4)) * ($B$9 ^ (7))</f>
        <v>89.0306493886385</v>
      </c>
      <c r="N25" s="32" t="n">
        <f aca="false">$B$2 * ($B$8 ^ (4)) * ($B$9 ^ (8))</f>
        <v>85.6484263986675</v>
      </c>
      <c r="O25" s="32" t="n">
        <f aca="false">$B$2 * ($B$8 ^ (4)) * ($B$9 ^ (9))</f>
        <v>82.3946921081774</v>
      </c>
      <c r="P25" s="32" t="n">
        <f aca="false">$B$2 * ($B$8 ^ (4)) * ($B$9 ^ (10))</f>
        <v>79.2645653056268</v>
      </c>
      <c r="Q25" s="31" t="n">
        <f aca="false">$B$2 * ($B$8 ^ (4)) * ($B$9 ^ (11))</f>
        <v>76.2533502138838</v>
      </c>
    </row>
    <row r="26" customFormat="false" ht="12.5" hidden="false" customHeight="false" outlineLevel="0" collapsed="false">
      <c r="A26" s="30" t="n">
        <v>3</v>
      </c>
      <c r="B26" s="36"/>
      <c r="C26" s="37"/>
      <c r="D26" s="37"/>
      <c r="E26" s="37" t="n">
        <f aca="false">B2 * (B8 ^ (3)) * (B9 ^ (0))</f>
        <v>112.320870044964</v>
      </c>
      <c r="F26" s="37" t="n">
        <f aca="false">B2 * (B8 ^ (3)) * (B9 ^ (1))</f>
        <v>108.053865013232</v>
      </c>
      <c r="G26" s="37" t="n">
        <f aca="false">B2 * (B8 ^ (3)) * (B9 ^ (2))</f>
        <v>103.948961040134</v>
      </c>
      <c r="H26" s="37" t="n">
        <f aca="false">B2 * (B8 ^ (3)) * (B9 ^ (3))</f>
        <v>100</v>
      </c>
      <c r="I26" s="37" t="n">
        <f aca="false">B2 * (B8 ^ (3)) * (B9 ^ (4))</f>
        <v>96.2010577108038</v>
      </c>
      <c r="J26" s="37" t="n">
        <f aca="false">B2 * (B8 ^ (3)) * (B9 ^ (5))</f>
        <v>92.546435046774</v>
      </c>
      <c r="K26" s="37" t="n">
        <f aca="false">B2 * (B8 ^ (3)) * (B9 ^ (6))</f>
        <v>89.0306493886385</v>
      </c>
      <c r="L26" s="32" t="n">
        <f aca="false">B2 * (B8 ^ (3)) * (B9 ^ (7))</f>
        <v>85.6484263986675</v>
      </c>
      <c r="M26" s="32" t="n">
        <f aca="false">$B$2 * ($B$8 ^ (3)) * ($B$9 ^ (8))</f>
        <v>82.3946921081774</v>
      </c>
      <c r="N26" s="32" t="n">
        <f aca="false">$B$2 * ($B$8 ^ (3)) * ($B$9 ^ (9))</f>
        <v>79.2645653056268</v>
      </c>
      <c r="O26" s="32" t="n">
        <f aca="false">$B$2 * ($B$8 ^ (3)) * ($B$9 ^ (10))</f>
        <v>76.2533502138838</v>
      </c>
      <c r="P26" s="32" t="n">
        <f aca="false">$B$2 * ($B$8 ^ (3)) * ($B$9 ^ (11))</f>
        <v>73.3565294456796</v>
      </c>
      <c r="Q26" s="31" t="n">
        <f aca="false">$B$2 * ($B$8 ^ (3)) * ($B$9 ^ (12))</f>
        <v>70.569757226681</v>
      </c>
    </row>
    <row r="27" customFormat="false" ht="12.5" hidden="false" customHeight="false" outlineLevel="0" collapsed="false">
      <c r="A27" s="30" t="n">
        <v>2</v>
      </c>
      <c r="B27" s="36"/>
      <c r="C27" s="37"/>
      <c r="D27" s="37" t="n">
        <f aca="false">B2 * (B8 ^ (2)) * (B9 ^ (0))</f>
        <v>108.053865013232</v>
      </c>
      <c r="E27" s="37" t="n">
        <f aca="false">B2 * (B8 ^ (2)) * (B9 ^ (1))</f>
        <v>103.948961040134</v>
      </c>
      <c r="F27" s="37" t="n">
        <f aca="false">B2 * (B8 ^ (2)) * (B9 ^ (2))</f>
        <v>100</v>
      </c>
      <c r="G27" s="37" t="n">
        <f aca="false">B2 * (B8 ^ (2)) * (B9 ^ (3))</f>
        <v>96.2010577108038</v>
      </c>
      <c r="H27" s="37" t="n">
        <f aca="false">B2 * (B8 ^ (2)) * (B9 ^ (4))</f>
        <v>92.546435046774</v>
      </c>
      <c r="I27" s="37" t="n">
        <f aca="false">B2 * (B8 ^ (2)) * (B9 ^ (5))</f>
        <v>89.0306493886385</v>
      </c>
      <c r="J27" s="37" t="n">
        <f aca="false">B2 * (B8 ^ (2)) * (B9 ^ (6))</f>
        <v>85.6484263986675</v>
      </c>
      <c r="K27" s="37" t="n">
        <f aca="false">B2 * (B8 ^ (2)) * (B9 ^ (7))</f>
        <v>82.3946921081774</v>
      </c>
      <c r="L27" s="32" t="n">
        <f aca="false">B2 * (B8 ^ (2)) * (B9 ^ (8))</f>
        <v>79.2645653056268</v>
      </c>
      <c r="M27" s="32" t="n">
        <f aca="false">$B$2 * ($B$8 ^ (2)) * ($B$9 ^ (9))</f>
        <v>76.2533502138838</v>
      </c>
      <c r="N27" s="32" t="n">
        <f aca="false">$B$2 * ($B$8 ^ (2)) * ($B$9 ^ (10))</f>
        <v>73.3565294456796</v>
      </c>
      <c r="O27" s="32" t="n">
        <f aca="false">$B$2 * ($B$8 ^ (2)) * ($B$9 ^ (11))</f>
        <v>70.569757226681</v>
      </c>
      <c r="P27" s="32" t="n">
        <f aca="false">$B$2 * ($B$8 ^ (2)) * ($B$9 ^ (12))</f>
        <v>67.8888528760135</v>
      </c>
      <c r="Q27" s="31" t="n">
        <f aca="false">$B$2 * ($B$8 ^ (2)) * ($B$9 ^ (13))</f>
        <v>65.3097945344564</v>
      </c>
    </row>
    <row r="28" customFormat="false" ht="12.5" hidden="false" customHeight="false" outlineLevel="0" collapsed="false">
      <c r="A28" s="30" t="n">
        <v>1</v>
      </c>
      <c r="B28" s="36"/>
      <c r="C28" s="37" t="n">
        <f aca="false">B2 * (B8 ^ (1)) * (B9 ^ (0))</f>
        <v>103.948961040134</v>
      </c>
      <c r="D28" s="37" t="n">
        <f aca="false">B2 * (B8 ^ (1)) * (B9 ^ (1))</f>
        <v>100</v>
      </c>
      <c r="E28" s="37" t="n">
        <f aca="false">B2 * (B8 ^ (1)) * (B9 ^ (2))</f>
        <v>96.2010577108038</v>
      </c>
      <c r="F28" s="37" t="n">
        <f aca="false">B2 * (B8 ^ (1)) * (B9 ^ (3))</f>
        <v>92.5464350467739</v>
      </c>
      <c r="G28" s="37" t="n">
        <f aca="false">B2 * (B8 ^ (1)) * (B9 ^ (4))</f>
        <v>89.0306493886385</v>
      </c>
      <c r="H28" s="37" t="n">
        <f aca="false">B2 * (B8 ^ (1)) * (B9 ^ (5))</f>
        <v>85.6484263986675</v>
      </c>
      <c r="I28" s="37" t="n">
        <f aca="false">B2 * (B8 ^ (1)) * (B9 ^ (6))</f>
        <v>82.3946921081774</v>
      </c>
      <c r="J28" s="37" t="n">
        <f aca="false">B2 * (B8 ^ (1)) * (B9 ^ (7))</f>
        <v>79.2645653056268</v>
      </c>
      <c r="K28" s="37" t="n">
        <f aca="false">B2 * (B8 ^ (1)) * (B9 ^ (8))</f>
        <v>76.2533502138838</v>
      </c>
      <c r="L28" s="32" t="n">
        <f aca="false">B2 * (B8 ^ (1)) * (B9 ^ (9))</f>
        <v>73.3565294456797</v>
      </c>
      <c r="M28" s="32" t="n">
        <f aca="false">$B$2 * ($B$8 ^ (1)) * ($B$9 ^ (10))</f>
        <v>70.569757226681</v>
      </c>
      <c r="N28" s="32" t="n">
        <f aca="false">$B$2 * ($B$8 ^ (1)) * ($B$9 ^ (11))</f>
        <v>67.8888528760135</v>
      </c>
      <c r="O28" s="32" t="n">
        <f aca="false">$B$2 * ($B$8 ^ (1)) * ($B$9 ^ (12))</f>
        <v>65.3097945344564</v>
      </c>
      <c r="P28" s="32" t="n">
        <f aca="false">$B$2 * ($B$8 ^ (1)) * ($B$9 ^ (13))</f>
        <v>62.8287131308998</v>
      </c>
      <c r="Q28" s="31" t="n">
        <f aca="false">$B$2 * ($B$8 ^ (1)) * ($B$9 ^ (14))</f>
        <v>60.4418865780122</v>
      </c>
    </row>
    <row r="29" customFormat="false" ht="12.5" hidden="false" customHeight="false" outlineLevel="0" collapsed="false">
      <c r="A29" s="30" t="n">
        <v>0</v>
      </c>
      <c r="B29" s="36" t="n">
        <f aca="false">B2 * (B8 ^ (0)) * (B9 ^ (0))</f>
        <v>100</v>
      </c>
      <c r="C29" s="37" t="n">
        <f aca="false">B2 * (B8 ^ (0)) * (B9 ^ (1))</f>
        <v>96.2010577108038</v>
      </c>
      <c r="D29" s="37" t="n">
        <f aca="false">B2 * (B8 ^ (0)) * (B9 ^ (2))</f>
        <v>92.546435046774</v>
      </c>
      <c r="E29" s="37" t="n">
        <f aca="false">B2 * (B8 ^ (0)) * (B9 ^ (3))</f>
        <v>89.0306493886385</v>
      </c>
      <c r="F29" s="37" t="n">
        <f aca="false">B2 * (B8 ^ (0)) * (B9 ^ (4))</f>
        <v>85.6484263986675</v>
      </c>
      <c r="G29" s="37" t="n">
        <f aca="false">B2 * (B8 ^ (0)) * (B9 ^ (5))</f>
        <v>82.3946921081774</v>
      </c>
      <c r="H29" s="37" t="n">
        <f aca="false">B2 * (B8 ^ (0)) * (B9 ^ (6))</f>
        <v>79.2645653056268</v>
      </c>
      <c r="I29" s="37" t="n">
        <f aca="false">B2 * (B8 ^ (0)) * (B9 ^ (7))</f>
        <v>76.2533502138838</v>
      </c>
      <c r="J29" s="37" t="n">
        <f aca="false">B2 * (B8 ^ (0)) * (B9 ^ (8))</f>
        <v>73.3565294456797</v>
      </c>
      <c r="K29" s="37" t="n">
        <f aca="false">B2 * (B8 ^ (0)) * (B9 ^ (9))</f>
        <v>70.569757226681</v>
      </c>
      <c r="L29" s="32" t="n">
        <f aca="false">B2 * (B8 ^ (0)) * (B9 ^ (10))</f>
        <v>67.8888528760135</v>
      </c>
      <c r="M29" s="32" t="n">
        <f aca="false">$B$2 * ($B$8 ^ (0)) * ($B$9 ^ (11))</f>
        <v>65.3097945344564</v>
      </c>
      <c r="N29" s="32" t="n">
        <f aca="false">$B$2 * ($B$8 ^ (0)) * ($B$9 ^ (12))</f>
        <v>62.8287131308998</v>
      </c>
      <c r="O29" s="32" t="n">
        <f aca="false">$B$2 * ($B$8 ^ (0)) * ($B$9 ^ (13))</f>
        <v>60.4418865780123</v>
      </c>
      <c r="P29" s="32" t="n">
        <f aca="false">$B$2 * ($B$8 ^ (0)) * ($B$9 ^ (14))</f>
        <v>58.1457341884121</v>
      </c>
      <c r="Q29" s="31" t="n">
        <f aca="false">$B$2 * ($B$8 ^ (0)) * ($B$9 ^ (15))</f>
        <v>55.9368113029649</v>
      </c>
    </row>
    <row r="30" customFormat="false" ht="12.5" hidden="false" customHeight="false" outlineLevel="0" collapsed="false">
      <c r="A30" s="30"/>
      <c r="B30" s="36"/>
      <c r="C30" s="37"/>
      <c r="D30" s="37"/>
      <c r="E30" s="37"/>
      <c r="F30" s="37"/>
      <c r="G30" s="37"/>
      <c r="H30" s="37"/>
      <c r="I30" s="37"/>
      <c r="J30" s="37"/>
      <c r="K30" s="37"/>
      <c r="L30" s="32"/>
      <c r="M30" s="30"/>
      <c r="N30" s="30"/>
    </row>
    <row r="31" customFormat="false" ht="13.5" hidden="false" customHeight="false" outlineLevel="0" collapsed="false">
      <c r="A31" s="30"/>
      <c r="B31" s="38" t="s">
        <v>19</v>
      </c>
      <c r="C31" s="39" t="s">
        <v>20</v>
      </c>
      <c r="D31" s="39" t="s">
        <v>21</v>
      </c>
      <c r="E31" s="39" t="s">
        <v>22</v>
      </c>
      <c r="F31" s="39" t="s">
        <v>23</v>
      </c>
      <c r="G31" s="39" t="s">
        <v>24</v>
      </c>
      <c r="H31" s="39" t="s">
        <v>25</v>
      </c>
      <c r="I31" s="39" t="s">
        <v>26</v>
      </c>
      <c r="J31" s="39" t="s">
        <v>27</v>
      </c>
      <c r="K31" s="39" t="s">
        <v>28</v>
      </c>
      <c r="L31" s="40" t="s">
        <v>29</v>
      </c>
      <c r="M31" s="40" t="s">
        <v>30</v>
      </c>
      <c r="N31" s="40" t="s">
        <v>31</v>
      </c>
      <c r="O31" s="40" t="s">
        <v>32</v>
      </c>
      <c r="P31" s="40" t="s">
        <v>33</v>
      </c>
      <c r="Q31" s="40" t="s">
        <v>34</v>
      </c>
      <c r="R31" s="40"/>
    </row>
    <row r="32" customFormat="false" ht="12.5" hidden="false" customHeight="false" outlineLevel="0" collapsed="false">
      <c r="A32" s="30"/>
      <c r="B32" s="1" t="n">
        <v>0</v>
      </c>
      <c r="C32" s="1" t="n">
        <v>1</v>
      </c>
      <c r="D32" s="1" t="n">
        <v>2</v>
      </c>
      <c r="E32" s="1" t="n">
        <v>3</v>
      </c>
      <c r="F32" s="1" t="n">
        <v>4</v>
      </c>
      <c r="G32" s="1" t="n">
        <v>5</v>
      </c>
      <c r="H32" s="1" t="n">
        <v>6</v>
      </c>
      <c r="I32" s="1" t="n">
        <v>7</v>
      </c>
      <c r="J32" s="1" t="n">
        <v>8</v>
      </c>
      <c r="K32" s="1" t="n">
        <v>9</v>
      </c>
      <c r="L32" s="1" t="n">
        <v>10</v>
      </c>
      <c r="M32" s="1" t="n">
        <v>11</v>
      </c>
      <c r="N32" s="1" t="n">
        <v>12</v>
      </c>
      <c r="O32" s="1" t="n">
        <v>13</v>
      </c>
      <c r="P32" s="1" t="n">
        <v>14</v>
      </c>
      <c r="Q32" s="1" t="n">
        <v>15</v>
      </c>
    </row>
    <row r="33" customFormat="false" ht="12.5" hidden="false" customHeight="false" outlineLevel="0" collapsed="false">
      <c r="A33" s="30"/>
      <c r="M33" s="30"/>
      <c r="N33" s="30"/>
    </row>
    <row r="34" customFormat="false" ht="12.5" hidden="false" customHeight="false" outlineLevel="0" collapsed="false">
      <c r="A34" s="30"/>
      <c r="M34" s="30"/>
      <c r="N34" s="30"/>
    </row>
    <row r="35" customFormat="false" ht="12.5" hidden="false" customHeight="false" outlineLevel="0" collapsed="false">
      <c r="A35" s="30"/>
      <c r="M35" s="30"/>
      <c r="N35" s="30"/>
    </row>
    <row r="36" customFormat="false" ht="12.5" hidden="false" customHeight="false" outlineLevel="0" collapsed="false">
      <c r="A36" s="30"/>
      <c r="M36" s="30"/>
      <c r="N36" s="30"/>
    </row>
    <row r="37" customFormat="false" ht="12.5" hidden="false" customHeight="false" outlineLevel="0" collapsed="false">
      <c r="A37" s="30"/>
      <c r="M37" s="30"/>
      <c r="N37" s="30"/>
    </row>
    <row r="38" customFormat="false" ht="12.5" hidden="false" customHeight="false" outlineLevel="0" collapsed="false">
      <c r="A38" s="30"/>
      <c r="M38" s="30"/>
      <c r="N38" s="30"/>
      <c r="Q38" s="1" t="n">
        <v>178.773150758237</v>
      </c>
    </row>
    <row r="39" customFormat="false" ht="12.5" hidden="false" customHeight="false" outlineLevel="0" collapsed="false">
      <c r="A39" s="30"/>
      <c r="M39" s="30"/>
      <c r="N39" s="30"/>
      <c r="P39" s="1" t="n">
        <f aca="false">($B$10 *Q38 + $B$11 *Q39)</f>
        <v>172.010327931443</v>
      </c>
      <c r="Q39" s="1" t="n">
        <v>165.448177847543</v>
      </c>
    </row>
    <row r="40" customFormat="false" ht="12.5" hidden="false" customHeight="false" outlineLevel="0" collapsed="false">
      <c r="A40" s="30"/>
      <c r="M40" s="30"/>
      <c r="N40" s="30"/>
      <c r="O40" s="1" t="n">
        <f aca="false">($B$10 *P39 + $B$11 *P40)</f>
        <v>165.503336432746</v>
      </c>
      <c r="P40" s="1" t="n">
        <f aca="false">($B$10 *Q39 + $B$11 *Q40)</f>
        <v>159.189426412815</v>
      </c>
      <c r="Q40" s="1" t="n">
        <v>153.116390447747</v>
      </c>
    </row>
    <row r="41" customFormat="false" ht="13" hidden="false" customHeight="false" outlineLevel="0" collapsed="false">
      <c r="A41" s="30"/>
      <c r="N41" s="1" t="n">
        <f aca="false">($B$10 *O40 + $B$11 *O41)</f>
        <v>159.242498399793</v>
      </c>
      <c r="O41" s="1" t="n">
        <f aca="false">($B$10 *P40 + $B$11 *P41)</f>
        <v>153.167437751975</v>
      </c>
      <c r="P41" s="1" t="n">
        <f aca="false">($B$10 *Q40 + $B$11 *Q41)</f>
        <v>147.324139116468</v>
      </c>
      <c r="Q41" s="1" t="n">
        <v>141.703760831689</v>
      </c>
    </row>
    <row r="42" customFormat="false" ht="13.5" hidden="false" customHeight="false" outlineLevel="0" collapsed="false">
      <c r="A42" s="41"/>
      <c r="B42" s="42" t="s">
        <v>35</v>
      </c>
      <c r="C42" s="43"/>
      <c r="D42" s="34"/>
      <c r="E42" s="34"/>
      <c r="F42" s="34"/>
      <c r="G42" s="34"/>
      <c r="H42" s="34"/>
      <c r="I42" s="34"/>
      <c r="J42" s="34"/>
      <c r="K42" s="34"/>
      <c r="L42" s="35"/>
      <c r="M42" s="1" t="n">
        <f aca="false">($B$10 *N41 + $B$11 *N42)</f>
        <v>153.218502074806</v>
      </c>
      <c r="N42" s="1" t="n">
        <f aca="false">($B$10 *O41 + $B$11 *O42)</f>
        <v>147.373255348424</v>
      </c>
      <c r="O42" s="1" t="n">
        <f aca="false">($B$10 *P41 + $B$11 *P42)</f>
        <v>141.751003291939</v>
      </c>
      <c r="P42" s="1" t="n">
        <f aca="false">($B$10 *Q41 + $B$11 *Q42)</f>
        <v>136.343238715641</v>
      </c>
      <c r="Q42" s="1" t="n">
        <v>131.141778976935</v>
      </c>
    </row>
    <row r="43" customFormat="false" ht="12.5" hidden="false" customHeight="false" outlineLevel="0" collapsed="false">
      <c r="B43" s="36"/>
      <c r="C43" s="37"/>
      <c r="D43" s="37"/>
      <c r="E43" s="37"/>
      <c r="F43" s="37"/>
      <c r="G43" s="37"/>
      <c r="H43" s="37"/>
      <c r="I43" s="37"/>
      <c r="J43" s="37"/>
      <c r="K43" s="37"/>
      <c r="L43" s="1" t="n">
        <f aca="false">($B$10 *M42 + $B$11 *M43)</f>
        <v>147.422387955187</v>
      </c>
      <c r="M43" s="1" t="n">
        <f aca="false">($B$10 *N42 + $B$11 *N43)</f>
        <v>141.798261502301</v>
      </c>
      <c r="N43" s="1" t="n">
        <f aca="false">($B$10 *O42 + $B$11 *O43)</f>
        <v>136.388694037346</v>
      </c>
      <c r="O43" s="1" t="n">
        <f aca="false">($B$10 *P42 + $B$11 *P43)</f>
        <v>131.185500189725</v>
      </c>
      <c r="P43" s="1" t="n">
        <f aca="false">($B$10 *Q42 + $B$11 *Q43)</f>
        <v>126.180806858639</v>
      </c>
      <c r="Q43" s="1" t="n">
        <v>121.367041300073</v>
      </c>
    </row>
    <row r="44" customFormat="false" ht="12.5" hidden="false" customHeight="false" outlineLevel="0" collapsed="false">
      <c r="B44" s="36"/>
      <c r="C44" s="37"/>
      <c r="D44" s="37"/>
      <c r="E44" s="37"/>
      <c r="F44" s="37"/>
      <c r="G44" s="37"/>
      <c r="H44" s="37"/>
      <c r="I44" s="37"/>
      <c r="J44" s="37"/>
      <c r="K44" s="37" t="n">
        <f aca="false">($B$10 *$L$43 + $B$11 *$L$44)</f>
        <v>141.845535468025</v>
      </c>
      <c r="L44" s="1" t="n">
        <f aca="false">($B$10 *M43 + $B$11 *M44)</f>
        <v>136.43416451335</v>
      </c>
      <c r="M44" s="1" t="n">
        <f aca="false">($B$10 *N43 + $B$11 *N44)</f>
        <v>131.229235978681</v>
      </c>
      <c r="N44" s="1" t="n">
        <f aca="false">($B$10 *O43 + $B$11 *O44)</f>
        <v>126.222874138416</v>
      </c>
      <c r="O44" s="1" t="n">
        <f aca="false">($B$10 *P43 + $B$11 *P44)</f>
        <v>121.407503723869</v>
      </c>
      <c r="P44" s="1" t="n">
        <f aca="false">($B$10 *Q43 + $B$11 *Q44)</f>
        <v>116.775838460926</v>
      </c>
      <c r="Q44" s="1" t="n">
        <v>112.320870044964</v>
      </c>
    </row>
    <row r="45" customFormat="false" ht="12.5" hidden="false" customHeight="false" outlineLevel="0" collapsed="false">
      <c r="A45" s="30"/>
      <c r="B45" s="36"/>
      <c r="C45" s="37"/>
      <c r="D45" s="37"/>
      <c r="E45" s="37"/>
      <c r="F45" s="37"/>
      <c r="G45" s="37"/>
      <c r="H45" s="37"/>
      <c r="I45" s="37"/>
      <c r="J45" s="37" t="n">
        <f aca="false">($B$10 *$K$44 + $B$11 *$K$45)</f>
        <v>136.479650148706</v>
      </c>
      <c r="K45" s="37" t="n">
        <f aca="false">($B$10 *$L$44 + $B$11 *$L$45)</f>
        <v>131.272986348664</v>
      </c>
      <c r="L45" s="1" t="n">
        <f aca="false">($B$10 *M44 + $B$11 *M45)</f>
        <v>126.264955442956</v>
      </c>
      <c r="M45" s="1" t="n">
        <f aca="false">($B$10 *N44 + $B$11 *N45)</f>
        <v>121.447979637388</v>
      </c>
      <c r="N45" s="1" t="n">
        <f aca="false">($B$10 *O44 + $B$11 *O45)</f>
        <v>116.81477022868</v>
      </c>
      <c r="O45" s="1" t="n">
        <f aca="false">($B$10 *P44 + $B$11 *P45)</f>
        <v>112.35831657572</v>
      </c>
      <c r="P45" s="1" t="n">
        <f aca="false">($B$10 *Q44 + $B$11 *Q45)</f>
        <v>108.071875491566</v>
      </c>
      <c r="Q45" s="1" t="n">
        <v>103.948961040134</v>
      </c>
    </row>
    <row r="46" customFormat="false" ht="12.5" hidden="false" customHeight="false" outlineLevel="0" collapsed="false">
      <c r="A46" s="30"/>
      <c r="B46" s="36"/>
      <c r="C46" s="37"/>
      <c r="D46" s="37"/>
      <c r="E46" s="37"/>
      <c r="F46" s="37"/>
      <c r="G46" s="37"/>
      <c r="H46" s="37"/>
      <c r="I46" s="37" t="n">
        <f aca="false">($B$10 *$J$45 + $B$11 *$J$46)</f>
        <v>131.316751304534</v>
      </c>
      <c r="J46" s="37" t="n">
        <f aca="false">($B$10 *$K$45 + $B$11 *$K$46)</f>
        <v>126.307050776936</v>
      </c>
      <c r="K46" s="37" t="n">
        <f aca="false">($B$10 *$L$45 + $B$11 *$L$46)</f>
        <v>121.488469045127</v>
      </c>
      <c r="L46" s="1" t="n">
        <f aca="false">($B$10 *M45 + $B$11 *M46)</f>
        <v>116.853714975854</v>
      </c>
      <c r="M46" s="1" t="n">
        <f aca="false">($B$10 *N45 + $B$11 *N46)</f>
        <v>112.395775590735</v>
      </c>
      <c r="N46" s="1" t="n">
        <f aca="false">($B$10 *O45 + $B$11 *O46)</f>
        <v>108.107905454724</v>
      </c>
      <c r="O46" s="1" t="n">
        <f aca="false">($B$10 *P45 + $B$11 *P46)</f>
        <v>103.983616469398</v>
      </c>
      <c r="P46" s="1" t="n">
        <f aca="false">($B$10 *Q45 + $B$11 *Q46)</f>
        <v>100.016668055633</v>
      </c>
      <c r="Q46" s="1" t="n">
        <v>96.2010577108037</v>
      </c>
    </row>
    <row r="47" customFormat="false" ht="12.5" hidden="false" customHeight="false" outlineLevel="0" collapsed="false">
      <c r="A47" s="30"/>
      <c r="B47" s="36"/>
      <c r="C47" s="37"/>
      <c r="D47" s="37"/>
      <c r="E47" s="37"/>
      <c r="F47" s="37"/>
      <c r="G47" s="37"/>
      <c r="H47" s="37" t="n">
        <f aca="false">($B$10 *$I$46 + $B$11 *$I$47)</f>
        <v>126.349160145033</v>
      </c>
      <c r="I47" s="37" t="n">
        <f aca="false">($B$10 *$J$46 + $B$11 *$J$47)</f>
        <v>121.528971951585</v>
      </c>
      <c r="J47" s="37" t="n">
        <f aca="false">($B$10 *$K$46 + $B$11 *$K$47)</f>
        <v>116.892672706773</v>
      </c>
      <c r="K47" s="37" t="n">
        <f aca="false">($B$10 *$L$46 + $B$11 *$L$47)</f>
        <v>112.433247094168</v>
      </c>
      <c r="L47" s="1" t="n">
        <f aca="false">($B$10 *M46 + $B$11 *M47)</f>
        <v>108.143947429871</v>
      </c>
      <c r="M47" s="1" t="n">
        <f aca="false">($B$10 *N46 + $B$11 *N47)</f>
        <v>104.018283452397</v>
      </c>
      <c r="N47" s="1" t="n">
        <f aca="false">($B$10 *O46 + $B$11 *O47)</f>
        <v>100.050012502084</v>
      </c>
      <c r="O47" s="1" t="n">
        <f aca="false">($B$10 *P46 + $B$11 *P47)</f>
        <v>96.2331300751378</v>
      </c>
      <c r="P47" s="1" t="n">
        <f aca="false">($B$10 *Q46 + $B$11 *Q47)</f>
        <v>92.5618607380536</v>
      </c>
      <c r="Q47" s="1" t="n">
        <v>89.0306493886385</v>
      </c>
    </row>
    <row r="48" customFormat="false" ht="12.5" hidden="false" customHeight="false" outlineLevel="0" collapsed="false">
      <c r="A48" s="30"/>
      <c r="B48" s="36"/>
      <c r="C48" s="37"/>
      <c r="D48" s="37"/>
      <c r="E48" s="37"/>
      <c r="F48" s="37"/>
      <c r="G48" s="37" t="n">
        <f aca="false">($B$10 *$H$47 + $B$11 *$H$48)</f>
        <v>121.569488361262</v>
      </c>
      <c r="H48" s="37" t="n">
        <f aca="false">($B$10 *$I$47 + $B$11 *$I$48)</f>
        <v>116.931643425768</v>
      </c>
      <c r="I48" s="37" t="n">
        <f aca="false">($B$10 *$J$47 + $B$11 *$J$48)</f>
        <v>112.470731090185</v>
      </c>
      <c r="J48" s="37" t="n">
        <f aca="false">($B$10 *$K$47 + $B$11 *$K$48)</f>
        <v>108.180001421012</v>
      </c>
      <c r="K48" s="37" t="n">
        <f aca="false">($B$10 *$L$47 + $B$11 *$L$48)</f>
        <v>104.052961992984</v>
      </c>
      <c r="L48" s="1" t="n">
        <f aca="false">($B$10 *M47 + $B$11 *M48)</f>
        <v>100.083368065203</v>
      </c>
      <c r="M48" s="1" t="n">
        <f aca="false">($B$10 *N47 + $B$11 *N48)</f>
        <v>96.2652131320419</v>
      </c>
      <c r="N48" s="1" t="n">
        <f aca="false">($B$10 *O47 + $B$11 *O48)</f>
        <v>92.59271983453</v>
      </c>
      <c r="O48" s="1" t="n">
        <f aca="false">($B$10 *P47 + $B$11 *P48)</f>
        <v>89.0603312184649</v>
      </c>
      <c r="P48" s="1" t="n">
        <f aca="false">($B$10 *Q47 + $B$11 *Q48)</f>
        <v>85.6627023260281</v>
      </c>
      <c r="Q48" s="1" t="n">
        <v>82.3946921081774</v>
      </c>
    </row>
    <row r="49" customFormat="false" ht="12.5" hidden="false" customHeight="false" outlineLevel="0" collapsed="false">
      <c r="A49" s="30"/>
      <c r="B49" s="36"/>
      <c r="C49" s="37"/>
      <c r="D49" s="37"/>
      <c r="E49" s="37"/>
      <c r="F49" s="37" t="n">
        <f aca="false">($B$10 *$G$48 + $B$11 *$G$49)</f>
        <v>116.970627137167</v>
      </c>
      <c r="G49" s="37" t="n">
        <f aca="false">($B$10 *$H$48 + $B$11 *$H$49)</f>
        <v>112.50822758295</v>
      </c>
      <c r="H49" s="37" t="n">
        <f aca="false">($B$10 *$I$48 + $B$11 *$I$49)</f>
        <v>108.216067432153</v>
      </c>
      <c r="I49" s="37" t="n">
        <f aca="false">($B$10 *$J$48 + $B$11 *$J$49)</f>
        <v>104.08765209501</v>
      </c>
      <c r="J49" s="37" t="n">
        <f aca="false">($B$10 *$K$48 + $B$11 *$K$49)</f>
        <v>100.116734748696</v>
      </c>
      <c r="K49" s="37" t="n">
        <f aca="false">($B$10 *$L$48 + $B$11 *$L$49)</f>
        <v>96.2973068850809</v>
      </c>
      <c r="L49" s="1" t="n">
        <f aca="false">($B$10 *M48 + $B$11 *M49)</f>
        <v>92.6235892190865</v>
      </c>
      <c r="M49" s="1" t="n">
        <f aca="false">($B$10 *N48 + $B$11 *N49)</f>
        <v>89.0900229438837</v>
      </c>
      <c r="N49" s="1" t="n">
        <f aca="false">($B$10 *O48 + $B$11 *O49)</f>
        <v>85.6912613197047</v>
      </c>
      <c r="O49" s="1" t="n">
        <f aca="false">($B$10 *P48 + $B$11 *P49)</f>
        <v>82.4221615835383</v>
      </c>
      <c r="P49" s="1" t="n">
        <f aca="false">($B$10 *Q48 + $B$11 *Q49)</f>
        <v>79.277777167469</v>
      </c>
      <c r="Q49" s="1" t="n">
        <v>76.2533502138838</v>
      </c>
    </row>
    <row r="50" customFormat="false" ht="12.5" hidden="false" customHeight="false" outlineLevel="0" collapsed="false">
      <c r="A50" s="30"/>
      <c r="B50" s="36"/>
      <c r="C50" s="37"/>
      <c r="D50" s="37"/>
      <c r="E50" s="37" t="n">
        <f aca="false">($B$10 *$F$49 + $B$11 *$F$50)</f>
        <v>112.54573657663</v>
      </c>
      <c r="F50" s="37" t="n">
        <f aca="false">($B$10 *$G$49 + $B$11 *$G$50)</f>
        <v>108.252145467303</v>
      </c>
      <c r="G50" s="37" t="n">
        <f aca="false">($B$10 *$H$49 + $B$11 *$H$50)</f>
        <v>104.122353762332</v>
      </c>
      <c r="H50" s="37" t="n">
        <f aca="false">($B$10 *$I$49 + $B$11 *$I$50)</f>
        <v>100.150112556271</v>
      </c>
      <c r="I50" s="37" t="n">
        <f aca="false">($B$10 *$J$49 + $B$11 *$J$50)</f>
        <v>96.3294113378207</v>
      </c>
      <c r="J50" s="37" t="n">
        <f aca="false">($B$10 *$K$49 + $B$11 *$K$50)</f>
        <v>92.6544688951528</v>
      </c>
      <c r="K50" s="37" t="n">
        <f aca="false">($B$10 *$L$49 + $B$11 *$L$50)</f>
        <v>89.119724568194</v>
      </c>
      <c r="L50" s="1" t="n">
        <f aca="false">($B$10 *M49 + $B$11 *M50)</f>
        <v>85.7198298346326</v>
      </c>
      <c r="M50" s="1" t="n">
        <f aca="false">($B$10 *N49 + $B$11 *N50)</f>
        <v>82.4496402169173</v>
      </c>
      <c r="N50" s="1" t="n">
        <f aca="false">($B$10 *O49 + $B$11 *O50)</f>
        <v>79.3042074980018</v>
      </c>
      <c r="O50" s="1" t="n">
        <f aca="false">($B$10 *P49 + $B$11 *P50)</f>
        <v>76.2787722340564</v>
      </c>
      <c r="P50" s="1" t="n">
        <f aca="false">($B$10 *Q49 + $B$11 *Q50)</f>
        <v>73.3687565528179</v>
      </c>
      <c r="Q50" s="1" t="n">
        <v>70.569757226681</v>
      </c>
    </row>
    <row r="51" customFormat="false" ht="12.5" hidden="false" customHeight="false" outlineLevel="0" collapsed="false">
      <c r="A51" s="30"/>
      <c r="B51" s="36"/>
      <c r="C51" s="37"/>
      <c r="D51" s="37" t="n">
        <f aca="false">($B$10 *$E$50 + $B$11 *$E$51)</f>
        <v>108.288235530468</v>
      </c>
      <c r="E51" s="37" t="n">
        <f aca="false">($B$10 *$F$50 + $B$11 *$F$51)</f>
        <v>104.157066998804</v>
      </c>
      <c r="F51" s="37" t="n">
        <f aca="false">($B$10 *$G$50 + $B$11 *$G$51)</f>
        <v>100.183501491637</v>
      </c>
      <c r="G51" s="37" t="n">
        <f aca="false">($B$10 *$H$50 + $B$11 *$H$51)</f>
        <v>96.3615264938287</v>
      </c>
      <c r="H51" s="37" t="n">
        <f aca="false">($B$10 *$I$50 + $B$11 *$I$51)</f>
        <v>92.6853588661604</v>
      </c>
      <c r="I51" s="37" t="n">
        <f aca="false">($B$10 *$J$50 + $B$11 *$J$51)</f>
        <v>89.149436094696</v>
      </c>
      <c r="J51" s="37" t="n">
        <f aca="false">($B$10 *$K$50 + $B$11 *$K$51)</f>
        <v>85.748407873986</v>
      </c>
      <c r="K51" s="37" t="n">
        <f aca="false">($B$10 *$L$50 + $B$11 *$L$51)</f>
        <v>82.4771280113675</v>
      </c>
      <c r="L51" s="1" t="n">
        <f aca="false">($B$10 *M50 + $B$11 *M51)</f>
        <v>79.3306466401134</v>
      </c>
      <c r="M51" s="1" t="n">
        <f aca="false">($B$10 *N50 + $B$11 *N51)</f>
        <v>76.3042027296482</v>
      </c>
      <c r="N51" s="1" t="n">
        <f aca="false">($B$10 *O50 + $B$11 *O51)</f>
        <v>73.3932168814971</v>
      </c>
      <c r="O51" s="1" t="n">
        <f aca="false">($B$10 *P50 + $B$11 *P51)</f>
        <v>70.5932844000676</v>
      </c>
      <c r="P51" s="1" t="n">
        <f aca="false">($B$10 *Q50 + $B$11 *Q51)</f>
        <v>67.9001686277793</v>
      </c>
      <c r="Q51" s="1" t="n">
        <v>65.3097945344564</v>
      </c>
    </row>
    <row r="52" customFormat="false" ht="12.5" hidden="false" customHeight="false" outlineLevel="0" collapsed="false">
      <c r="A52" s="30"/>
      <c r="B52" s="36"/>
      <c r="C52" s="37" t="n">
        <f aca="false">($B$10 *$D$51 + $B$11 *$D$52)</f>
        <v>104.191791808284</v>
      </c>
      <c r="D52" s="37" t="n">
        <f aca="false">($B$10 *$E$51 + $B$11 *$E$52)</f>
        <v>100.216901558502</v>
      </c>
      <c r="E52" s="37" t="n">
        <f aca="false">($B$10 *$F$51 + $B$11 *$F$52)</f>
        <v>96.3936523566729</v>
      </c>
      <c r="F52" s="37" t="n">
        <f aca="false">($B$10 *$G$51 + $B$11 *$G$52)</f>
        <v>92.7162591355412</v>
      </c>
      <c r="G52" s="37" t="n">
        <f aca="false">($B$10 *$H$51 + $B$11 *$H$52)</f>
        <v>89.179157526691</v>
      </c>
      <c r="H52" s="37" t="n">
        <f aca="false">($B$10 *$I$51 + $B$11 *$I$52)</f>
        <v>85.7769954409405</v>
      </c>
      <c r="I52" s="37" t="n">
        <f aca="false">($B$10 *$J$51 + $B$11 *$J$52)</f>
        <v>82.5046249699431</v>
      </c>
      <c r="J52" s="37" t="n">
        <f aca="false">($B$10 *$K$51 + $B$11 *$K$52)</f>
        <v>79.3570945967413</v>
      </c>
      <c r="K52" s="37" t="n">
        <f aca="false">($B$10 *$L$51 + $B$11 *$L$52)</f>
        <v>76.3296417034848</v>
      </c>
      <c r="L52" s="1" t="n">
        <f aca="false">($B$10 *M51 + $B$11 *M52)</f>
        <v>73.4176853649783</v>
      </c>
      <c r="M52" s="1" t="n">
        <f aca="false">($B$10 *N51 + $B$11 *N52)</f>
        <v>70.6168194171526</v>
      </c>
      <c r="N52" s="1" t="n">
        <f aca="false">($B$10 *O51 + $B$11 *O52)</f>
        <v>67.9228057899727</v>
      </c>
      <c r="O52" s="1" t="n">
        <f aca="false">($B$10 *P51 + $B$11 *P52)</f>
        <v>65.331568094693</v>
      </c>
      <c r="P52" s="1" t="n">
        <f aca="false">($B$10 *Q51 + $B$11 *Q52)</f>
        <v>62.8391854557578</v>
      </c>
      <c r="Q52" s="1" t="n">
        <v>60.4418865780122</v>
      </c>
    </row>
    <row r="53" customFormat="false" ht="12.5" hidden="false" customHeight="false" outlineLevel="0" collapsed="false">
      <c r="A53" s="30"/>
      <c r="B53" s="44" t="n">
        <f aca="false">($B$10 *$C$52 + $B$11 *$C$53)</f>
        <v>100.250312760579</v>
      </c>
      <c r="C53" s="37" t="n">
        <f aca="false">($B$10 *$D$52 + $B$11 *$D$53)</f>
        <v>96.4257889299231</v>
      </c>
      <c r="D53" s="37" t="n">
        <f aca="false">($B$10 *$E$52 + $B$11 *$E$53)</f>
        <v>92.7471697067287</v>
      </c>
      <c r="E53" s="37" t="n">
        <f aca="false">($B$10 *$F$52 + $B$11 *$F$53)</f>
        <v>89.2088888674814</v>
      </c>
      <c r="F53" s="37" t="n">
        <f aca="false">($B$10 *$G$52 + $B$11 *$G$53)</f>
        <v>85.8055925386723</v>
      </c>
      <c r="G53" s="37" t="n">
        <f aca="false">($B$10 *$H$52 + $B$11 *$H$53)</f>
        <v>82.5321310956993</v>
      </c>
      <c r="H53" s="37" t="n">
        <f aca="false">($B$10 *$I$52 + $B$11 *$I$53)</f>
        <v>79.3835513708242</v>
      </c>
      <c r="I53" s="37" t="n">
        <f aca="false">($B$10 *$J$52 + $B$11 *$J$53)</f>
        <v>76.3550891583928</v>
      </c>
      <c r="J53" s="37" t="n">
        <f aca="false">($B$10 *$K$52 + $B$11 *$K$53)</f>
        <v>73.4421620059801</v>
      </c>
      <c r="K53" s="37" t="n">
        <f aca="false">($B$10 *$L$52 + $B$11 *$L$53)</f>
        <v>70.6403622805509</v>
      </c>
      <c r="L53" s="1" t="n">
        <f aca="false">($B$10 *M52 + $B$11 *M53)</f>
        <v>67.9454504991445</v>
      </c>
      <c r="M53" s="1" t="n">
        <f aca="false">($B$10 *N52 + $B$11 *N53)</f>
        <v>65.3533489139928</v>
      </c>
      <c r="N53" s="1" t="n">
        <f aca="false">($B$10 *O52 + $B$11 *O53)</f>
        <v>62.8601353423635</v>
      </c>
      <c r="O53" s="1" t="n">
        <f aca="false">($B$10 *P52 + $B$11 *P53)</f>
        <v>60.462037231794</v>
      </c>
      <c r="P53" s="1" t="n">
        <f aca="false">($B$10 *Q52 + $B$11 *Q53)</f>
        <v>58.1554259517347</v>
      </c>
      <c r="Q53" s="1" t="n">
        <v>55.9368113029649</v>
      </c>
    </row>
    <row r="54" customFormat="false" ht="12.5" hidden="false" customHeight="false" outlineLevel="0" collapsed="false">
      <c r="A54" s="30"/>
      <c r="B54" s="36"/>
      <c r="C54" s="37"/>
      <c r="D54" s="37"/>
      <c r="E54" s="37"/>
      <c r="F54" s="37"/>
      <c r="G54" s="37"/>
      <c r="H54" s="37"/>
      <c r="I54" s="37"/>
      <c r="J54" s="37"/>
      <c r="K54" s="37"/>
      <c r="L54" s="32"/>
      <c r="M54" s="30"/>
      <c r="N54" s="30"/>
    </row>
    <row r="55" customFormat="false" ht="13.5" hidden="false" customHeight="false" outlineLevel="0" collapsed="false">
      <c r="A55" s="30"/>
      <c r="B55" s="38" t="s">
        <v>19</v>
      </c>
      <c r="C55" s="39" t="s">
        <v>20</v>
      </c>
      <c r="D55" s="39" t="s">
        <v>21</v>
      </c>
      <c r="E55" s="39" t="s">
        <v>22</v>
      </c>
      <c r="F55" s="39" t="s">
        <v>23</v>
      </c>
      <c r="G55" s="39" t="s">
        <v>24</v>
      </c>
      <c r="H55" s="39" t="s">
        <v>25</v>
      </c>
      <c r="I55" s="39" t="s">
        <v>26</v>
      </c>
      <c r="J55" s="39" t="s">
        <v>27</v>
      </c>
      <c r="K55" s="39" t="s">
        <v>28</v>
      </c>
      <c r="L55" s="40" t="s">
        <v>29</v>
      </c>
      <c r="M55" s="30"/>
      <c r="N55" s="30"/>
    </row>
    <row r="56" customFormat="false" ht="12.5" hidden="false" customHeight="false" outlineLevel="0" collapsed="false">
      <c r="A56" s="30"/>
      <c r="M56" s="30"/>
      <c r="N56" s="30"/>
    </row>
    <row r="57" customFormat="false" ht="12.5" hidden="false" customHeight="false" outlineLevel="0" collapsed="false">
      <c r="A57" s="30"/>
      <c r="M57" s="30"/>
      <c r="N57" s="30"/>
    </row>
    <row r="58" customFormat="false" ht="13" hidden="false" customHeight="false" outlineLevel="0" collapsed="false">
      <c r="A58" s="41"/>
      <c r="M58" s="41"/>
      <c r="N58" s="41"/>
    </row>
    <row r="61" customFormat="false" ht="12.5" hidden="false" customHeight="false" outlineLevel="0" collapsed="false">
      <c r="Q61" s="1" t="n">
        <f aca="false">MAX($J$2*( Q38-$J$3), 0)</f>
        <v>68.7731507582369</v>
      </c>
    </row>
    <row r="62" customFormat="false" ht="12.5" hidden="false" customHeight="false" outlineLevel="0" collapsed="false">
      <c r="P62" s="37" t="n">
        <f aca="false">MAX(EXP(-$B$6 * $B$3/$B$5) * ($B$10 *Q61 + $B$11 *Q62),$J$2*(P15-$J$3))</f>
        <v>61.9896612667676</v>
      </c>
      <c r="Q62" s="1" t="n">
        <f aca="false">MAX($J$2*( Q39-$J$3), 0)</f>
        <v>55.448177847543</v>
      </c>
    </row>
    <row r="63" customFormat="false" ht="12.5" hidden="false" customHeight="false" outlineLevel="0" collapsed="false">
      <c r="O63" s="37" t="n">
        <f aca="false">MAX(EXP(-$B$6 * $B$3/$B$5) * ($B$10 *P62 + $B$11 *P63),$J$2*(O16-$J$3))</f>
        <v>55.4663465397915</v>
      </c>
      <c r="P63" s="37" t="n">
        <f aca="false">MAX(EXP(-$B$6 * $B$3/$B$5) * ($B$10 *Q62 + $B$11 *Q63),$J$2*(P16-$J$3))</f>
        <v>49.1730326697868</v>
      </c>
      <c r="Q63" s="1" t="n">
        <f aca="false">MAX($J$2*( Q40-$J$3), 0)</f>
        <v>43.1163904477474</v>
      </c>
    </row>
    <row r="64" customFormat="false" ht="13" hidden="false" customHeight="false" outlineLevel="0" collapsed="false">
      <c r="N64" s="37" t="n">
        <f aca="false">MAX(EXP(-$B$6 * $B$3/$B$5) * ($B$10 *O63 + $B$11 *O64),$J$2*(N17-$J$3))</f>
        <v>49.1932805144372</v>
      </c>
      <c r="O64" s="37" t="n">
        <f aca="false">MAX(EXP(-$B$6 * $B$3/$B$5) * ($B$10 *P63 + $B$11 *P64),$J$2*(O17-$J$3))</f>
        <v>43.1386690507726</v>
      </c>
      <c r="P64" s="37" t="n">
        <f aca="false">MAX(EXP(-$B$6 * $B$3/$B$5) * ($B$10 *Q63 + $B$11 *Q64),$J$2*(P17-$J$3))</f>
        <v>37.3116998100957</v>
      </c>
      <c r="Q64" s="1" t="n">
        <f aca="false">MAX($J$2*( Q41-$J$3), 0)</f>
        <v>31.7037608316893</v>
      </c>
    </row>
    <row r="65" customFormat="false" ht="13.5" hidden="false" customHeight="false" outlineLevel="0" collapsed="false">
      <c r="B65" s="42" t="s">
        <v>36</v>
      </c>
      <c r="C65" s="43"/>
      <c r="D65" s="34"/>
      <c r="E65" s="34"/>
      <c r="F65" s="34"/>
      <c r="G65" s="34"/>
      <c r="H65" s="34"/>
      <c r="I65" s="34"/>
      <c r="J65" s="34"/>
      <c r="K65" s="34"/>
      <c r="L65" s="35"/>
      <c r="M65" s="37" t="n">
        <f aca="false">MAX(EXP(-$B$6 * $B$3/$B$5) * ($B$10 *N64 + $B$11 *N65),$J$2*(M18-$J$3))</f>
        <v>43.1609158047513</v>
      </c>
      <c r="N65" s="37" t="n">
        <f aca="false">MAX(EXP(-$B$6 * $B$3/$B$5) * ($B$10 *O64 + $B$11 *O65),$J$2*(N18-$J$3))</f>
        <v>37.3359007734762</v>
      </c>
      <c r="O65" s="37" t="n">
        <f aca="false">MAX(EXP(-$B$6 * $B$3/$B$5) * ($B$10 *P64 + $B$11 *P65),$J$2*(O18-$J$3))</f>
        <v>31.7298430106221</v>
      </c>
      <c r="P65" s="37" t="n">
        <f aca="false">MAX(EXP(-$B$6 * $B$3/$B$5) * ($B$10 *Q64 + $B$11 *Q65),$J$2*(P18-$J$3))</f>
        <v>26.33445909942</v>
      </c>
      <c r="Q65" s="1" t="n">
        <f aca="false">MAX($J$2*( Q42-$J$3), 0)</f>
        <v>21.1417789769353</v>
      </c>
    </row>
    <row r="66" customFormat="false" ht="12.5" hidden="false" customHeight="false" outlineLevel="0" collapsed="false">
      <c r="B66" s="36"/>
      <c r="C66" s="37"/>
      <c r="D66" s="37"/>
      <c r="E66" s="37"/>
      <c r="F66" s="37"/>
      <c r="G66" s="37"/>
      <c r="H66" s="37"/>
      <c r="I66" s="37"/>
      <c r="J66" s="37"/>
      <c r="K66" s="37"/>
      <c r="L66" s="37" t="n">
        <f aca="false">MAX(EXP(-$B$6 * $B$3/$B$5) * ($B$10 *M65 + $B$11 *M66),$J$2*(L19-$J$3))</f>
        <v>37.3600692552702</v>
      </c>
      <c r="M66" s="37" t="n">
        <f aca="false">MAX(EXP(-$B$6 * $B$3/$B$5) * ($B$10 *N65 + $B$11 *N66),$J$2*(M19-$J$3))</f>
        <v>31.7558920728609</v>
      </c>
      <c r="N66" s="37" t="n">
        <f aca="false">MAX(EXP(-$B$6 * $B$3/$B$5) * ($B$10 *O65 + $B$11 *O66),$J$2*(N19-$J$3))</f>
        <v>26.3623185332585</v>
      </c>
      <c r="O66" s="37" t="n">
        <f aca="false">MAX(EXP(-$B$6 * $B$3/$B$5) * ($B$10 *P65 + $B$11 *P66),$J$2*(O19-$J$3))</f>
        <v>21.1713812297747</v>
      </c>
      <c r="P66" s="37" t="n">
        <f aca="false">MAX(EXP(-$B$6 * $B$3/$B$5) * ($B$10 *Q65 + $B$11 *Q66),$J$2*(P19-$J$3))</f>
        <v>16.1754141551865</v>
      </c>
      <c r="Q66" s="1" t="n">
        <f aca="false">MAX($J$2*( Q43-$J$3), 0)</f>
        <v>11.3670413000733</v>
      </c>
    </row>
    <row r="67" customFormat="false" ht="12.5" hidden="false" customHeight="false" outlineLevel="0" collapsed="false">
      <c r="B67" s="36"/>
      <c r="C67" s="37"/>
      <c r="D67" s="37"/>
      <c r="E67" s="37"/>
      <c r="F67" s="37"/>
      <c r="G67" s="37"/>
      <c r="H67" s="37"/>
      <c r="I67" s="37"/>
      <c r="J67" s="37"/>
      <c r="K67" s="37" t="n">
        <f aca="false">MAX(EXP(-$B$6 * $B$3/$B$5) * ($B$10 *L66 + $B$11 *L67),$J$2*(K20-$J$3))</f>
        <v>31.7819080457201</v>
      </c>
      <c r="L67" s="37" t="n">
        <f aca="false">MAX(EXP(-$B$6 * $B$3/$B$5) * ($B$10 *M66 + $B$11 *M67),$J$2*(L20-$J$3))</f>
        <v>26.3901442662235</v>
      </c>
      <c r="M67" s="37" t="n">
        <f aca="false">MAX(EXP(-$B$6 * $B$3/$B$5) * ($B$10 *N66 + $B$11 *N67),$J$2*(M20-$J$3))</f>
        <v>21.2009491927577</v>
      </c>
      <c r="N67" s="37" t="n">
        <f aca="false">MAX(EXP(-$B$6 * $B$3/$B$5) * ($B$10 *O66 + $B$11 *O67),$J$2*(N20-$J$3))</f>
        <v>16.2066593730111</v>
      </c>
      <c r="O67" s="37" t="n">
        <f aca="false">MAX(EXP(-$B$6 * $B$3/$B$5) * ($B$10 *P66 + $B$11 *P67),$J$2*(O20-$J$3))</f>
        <v>11.3999012558243</v>
      </c>
      <c r="P67" s="37" t="n">
        <f aca="false">MAX(EXP(-$B$6 * $B$3/$B$5) * ($B$10 *Q66 + $B$11 *Q67),$J$2*(P20-$J$3))</f>
        <v>6.77358022449886</v>
      </c>
      <c r="Q67" s="1" t="n">
        <f aca="false">MAX($J$2*( Q44-$J$3), 0)</f>
        <v>2.3208700449637</v>
      </c>
    </row>
    <row r="68" customFormat="false" ht="12.5" hidden="false" customHeight="false" outlineLevel="0" collapsed="false">
      <c r="B68" s="36"/>
      <c r="C68" s="37"/>
      <c r="D68" s="37"/>
      <c r="E68" s="37"/>
      <c r="F68" s="37"/>
      <c r="G68" s="37"/>
      <c r="H68" s="37"/>
      <c r="I68" s="37"/>
      <c r="J68" s="37" t="n">
        <f aca="false">MAX(EXP(-$B$6 * $B$3/$B$5) * ($B$10 *K67 + $B$11 *K68),$J$2*(J21-$J$3))</f>
        <v>26.4703021955461</v>
      </c>
      <c r="K68" s="37" t="n">
        <f aca="false">MAX(EXP(-$B$6 * $B$3/$B$5) * ($B$10 *L67 + $B$11 *L68),$J$2*(K21-$J$3))</f>
        <v>21.333695182818</v>
      </c>
      <c r="L68" s="37" t="n">
        <f aca="false">MAX(EXP(-$B$6 * $B$3/$B$5) * ($B$10 *M67 + $B$11 *M68),$J$2*(L21-$J$3))</f>
        <v>16.4412995279887</v>
      </c>
      <c r="M68" s="37" t="n">
        <f aca="false">MAX(EXP(-$B$6 * $B$3/$B$5) * ($B$10 *N67 + $B$11 *N68),$J$2*(M21-$J$3))</f>
        <v>11.8336826424074</v>
      </c>
      <c r="N68" s="37" t="n">
        <f aca="false">MAX(EXP(-$B$6 * $B$3/$B$5) * ($B$10 *O67 + $B$11 *O68),$J$2*(N21-$J$3))</f>
        <v>7.59823829835524</v>
      </c>
      <c r="O68" s="37" t="n">
        <f aca="false">MAX(EXP(-$B$6 * $B$3/$B$5) * ($B$10 *P67 + $B$11 *P68),$J$2*(O21-$J$3))</f>
        <v>3.91437297542791</v>
      </c>
      <c r="P68" s="37" t="n">
        <f aca="false">MAX(EXP(-$B$6 * $B$3/$B$5) * ($B$10 *Q67 + $B$11 *Q68),$J$2*(P21-$J$3))</f>
        <v>1.14257806569734</v>
      </c>
      <c r="Q68" s="1" t="n">
        <f aca="false">MAX($J$2*( Q45-$J$3), 0)</f>
        <v>0</v>
      </c>
    </row>
    <row r="69" customFormat="false" ht="12.5" hidden="false" customHeight="false" outlineLevel="0" collapsed="false">
      <c r="B69" s="36"/>
      <c r="C69" s="37"/>
      <c r="D69" s="37"/>
      <c r="E69" s="37"/>
      <c r="F69" s="37"/>
      <c r="G69" s="37"/>
      <c r="H69" s="37"/>
      <c r="I69" s="37" t="n">
        <f aca="false">MAX(EXP(-$B$6 * $B$3/$B$5) * ($B$10 *J68 + $B$11 *J69),$J$2*(I22-$J$3))</f>
        <v>21.5268098095163</v>
      </c>
      <c r="J69" s="37" t="n">
        <f aca="false">MAX(EXP(-$B$6 * $B$3/$B$5) * ($B$10 *K68 + $B$11 *K69),$J$2*(J22-$J$3))</f>
        <v>16.7441459504472</v>
      </c>
      <c r="K69" s="37" t="n">
        <f aca="false">MAX(EXP(-$B$6 * $B$3/$B$5) * ($B$10 *L68 + $B$11 *L69),$J$2*(K22-$J$3))</f>
        <v>12.3017810550031</v>
      </c>
      <c r="L69" s="37" t="n">
        <f aca="false">MAX(EXP(-$B$6 * $B$3/$B$5) * ($B$10 *M68 + $B$11 *M69),$J$2*(L22-$J$3))</f>
        <v>8.29317506581471</v>
      </c>
      <c r="M69" s="37" t="n">
        <f aca="false">MAX(EXP(-$B$6 * $B$3/$B$5) * ($B$10 *N68 + $B$11 *N69),$J$2*(M22-$J$3))</f>
        <v>4.86317237306446</v>
      </c>
      <c r="N69" s="37" t="n">
        <f aca="false">MAX(EXP(-$B$6 * $B$3/$B$5) * ($B$10 *O68 + $B$11 *O69),$J$2*(N22-$J$3))</f>
        <v>2.21245840302039</v>
      </c>
      <c r="O69" s="37" t="n">
        <f aca="false">MAX(EXP(-$B$6 * $B$3/$B$5) * ($B$10 *P68 + $B$11 *P69),$J$2*(O22-$J$3))</f>
        <v>0.562497947287302</v>
      </c>
      <c r="P69" s="37" t="n">
        <f aca="false">MAX(EXP(-$B$6 * $B$3/$B$5) * ($B$10 *Q68 + $B$11 *Q69),$J$2*(P22-$J$3))</f>
        <v>0</v>
      </c>
      <c r="Q69" s="1" t="n">
        <f aca="false">MAX($J$2*( Q46-$J$3), 0)</f>
        <v>0</v>
      </c>
    </row>
    <row r="70" customFormat="false" ht="12.5" hidden="false" customHeight="false" outlineLevel="0" collapsed="false">
      <c r="B70" s="36"/>
      <c r="C70" s="37"/>
      <c r="D70" s="37"/>
      <c r="E70" s="37"/>
      <c r="F70" s="37"/>
      <c r="G70" s="37"/>
      <c r="H70" s="37" t="n">
        <f aca="false">MAX(EXP(-$B$6 * $B$3/$B$5) * ($B$10 *I69 + $B$11 *I70),$J$2*(H23-$J$3))</f>
        <v>17.0722459286511</v>
      </c>
      <c r="I70" s="37" t="n">
        <f aca="false">MAX(EXP(-$B$6 * $B$3/$B$5) * ($B$10 *J69 + $B$11 *J70),$J$2*(I23-$J$3))</f>
        <v>12.7610764983431</v>
      </c>
      <c r="J70" s="37" t="n">
        <f aca="false">MAX(EXP(-$B$6 * $B$3/$B$5) * ($B$10 *K69 + $B$11 *K70),$J$2*(J23-$J$3))</f>
        <v>8.90457893414319</v>
      </c>
      <c r="K70" s="37" t="n">
        <f aca="false">MAX(EXP(-$B$6 * $B$3/$B$5) * ($B$10 *L69 + $B$11 *L70),$J$2*(K23-$J$3))</f>
        <v>5.61403102703994</v>
      </c>
      <c r="L70" s="37" t="n">
        <f aca="false">MAX(EXP(-$B$6 * $B$3/$B$5) * ($B$10 *M69 + $B$11 *M70),$J$2*(L23-$J$3))</f>
        <v>3.01807280540982</v>
      </c>
      <c r="M70" s="37" t="n">
        <f aca="false">MAX(EXP(-$B$6 * $B$3/$B$5) * ($B$10 *N69 + $B$11 *N70),$J$2*(M23-$J$3))</f>
        <v>1.22970526838234</v>
      </c>
      <c r="N70" s="37" t="n">
        <f aca="false">MAX(EXP(-$B$6 * $B$3/$B$5) * ($B$10 *O69 + $B$11 *O70),$J$2*(N23-$J$3))</f>
        <v>0.276921070167158</v>
      </c>
      <c r="O70" s="37" t="n">
        <f aca="false">MAX(EXP(-$B$6 * $B$3/$B$5) * ($B$10 *P69 + $B$11 *P70),$J$2*(O23-$J$3))</f>
        <v>0</v>
      </c>
      <c r="P70" s="37" t="n">
        <f aca="false">MAX(EXP(-$B$6 * $B$3/$B$5) * ($B$10 *Q69 + $B$11 *Q70),$J$2*(P23-$J$3))</f>
        <v>0</v>
      </c>
      <c r="Q70" s="1" t="n">
        <f aca="false">MAX($J$2*( Q47-$J$3), 0)</f>
        <v>0</v>
      </c>
    </row>
    <row r="71" customFormat="false" ht="12.5" hidden="false" customHeight="false" outlineLevel="0" collapsed="false">
      <c r="B71" s="36"/>
      <c r="C71" s="37"/>
      <c r="D71" s="37"/>
      <c r="E71" s="37"/>
      <c r="F71" s="37"/>
      <c r="G71" s="37" t="n">
        <f aca="false">MAX(EXP(-$B$6 * $B$3/$B$5) * ($B$10 *H70 + $B$11 *H71),$J$2*(G24-$J$3))</f>
        <v>13.2027305929891</v>
      </c>
      <c r="H71" s="37" t="n">
        <f aca="false">MAX(EXP(-$B$6 * $B$3/$B$5) * ($B$10 *I70 + $B$11 *I71),$J$2*(H24-$J$3))</f>
        <v>9.4567077783335</v>
      </c>
      <c r="I71" s="37" t="n">
        <f aca="false">MAX(EXP(-$B$6 * $B$3/$B$5) * ($B$10 *J70 + $B$11 *J71),$J$2*(I24-$J$3))</f>
        <v>6.25660131867233</v>
      </c>
      <c r="J71" s="37" t="n">
        <f aca="false">MAX(EXP(-$B$6 * $B$3/$B$5) * ($B$10 *K70 + $B$11 *K71),$J$2*(J24-$J$3))</f>
        <v>3.69130681625905</v>
      </c>
      <c r="K71" s="37" t="n">
        <f aca="false">MAX(EXP(-$B$6 * $B$3/$B$5) * ($B$10 *L70 + $B$11 *L71),$J$2*(K24-$J$3))</f>
        <v>1.82806022384999</v>
      </c>
      <c r="L71" s="37" t="n">
        <f aca="false">MAX(EXP(-$B$6 * $B$3/$B$5) * ($B$10 *M70 + $B$11 *M71),$J$2*(L24-$J$3))</f>
        <v>0.674559623487758</v>
      </c>
      <c r="M71" s="37" t="n">
        <f aca="false">MAX(EXP(-$B$6 * $B$3/$B$5) * ($B$10 *N70 + $B$11 *N71),$J$2*(M24-$J$3))</f>
        <v>0.136329882575298</v>
      </c>
      <c r="N71" s="37" t="n">
        <f aca="false">MAX(EXP(-$B$6 * $B$3/$B$5) * ($B$10 *O70 + $B$11 *O71),$J$2*(N24-$J$3))</f>
        <v>0</v>
      </c>
      <c r="O71" s="37" t="n">
        <f aca="false">MAX(EXP(-$B$6 * $B$3/$B$5) * ($B$10 *P70 + $B$11 *P71),$J$2*(O24-$J$3))</f>
        <v>0</v>
      </c>
      <c r="P71" s="37" t="n">
        <f aca="false">MAX(EXP(-$B$6 * $B$3/$B$5) * ($B$10 *Q70 + $B$11 *Q71),$J$2*(P24-$J$3))</f>
        <v>0</v>
      </c>
      <c r="Q71" s="1" t="n">
        <f aca="false">MAX($J$2*( Q48-$J$3), 0)</f>
        <v>0</v>
      </c>
    </row>
    <row r="72" customFormat="false" ht="12.5" hidden="false" customHeight="false" outlineLevel="0" collapsed="false">
      <c r="B72" s="36"/>
      <c r="C72" s="37"/>
      <c r="D72" s="37"/>
      <c r="E72" s="37"/>
      <c r="F72" s="37" t="n">
        <f aca="false">MAX(EXP(-$B$6 * $B$3/$B$5) * ($B$10 *G71 + $B$11 *G72),$J$2*(F25-$J$3))</f>
        <v>9.96400825165469</v>
      </c>
      <c r="G72" s="37" t="n">
        <f aca="false">MAX(EXP(-$B$6 * $B$3/$B$5) * ($B$10 *H71 + $B$11 *H72),$J$2*(G25-$J$3))</f>
        <v>6.82793348867213</v>
      </c>
      <c r="H72" s="37" t="n">
        <f aca="false">MAX(EXP(-$B$6 * $B$3/$B$5) * ($B$10 *I71 + $B$11 *I72),$J$2*(H25-$J$3))</f>
        <v>4.28164779282545</v>
      </c>
      <c r="I72" s="37" t="n">
        <f aca="false">MAX(EXP(-$B$6 * $B$3/$B$5) * ($B$10 *J71 + $B$11 *J72),$J$2*(I25-$J$3))</f>
        <v>2.36810946819418</v>
      </c>
      <c r="J72" s="37" t="n">
        <f aca="false">MAX(EXP(-$B$6 * $B$3/$B$5) * ($B$10 *K71 + $B$11 *K72),$J$2*(J25-$J$3))</f>
        <v>1.08573083341687</v>
      </c>
      <c r="K72" s="37" t="n">
        <f aca="false">MAX(EXP(-$B$6 * $B$3/$B$5) * ($B$10 *L71 + $B$11 *L72),$J$2*(K25-$J$3))</f>
        <v>0.366141728708544</v>
      </c>
      <c r="L72" s="37" t="n">
        <f aca="false">MAX(EXP(-$B$6 * $B$3/$B$5) * ($B$10 *M71 + $B$11 *M72),$J$2*(L25-$J$3))</f>
        <v>0.0671160084415954</v>
      </c>
      <c r="M72" s="37" t="n">
        <f aca="false">MAX(EXP(-$B$6 * $B$3/$B$5) * ($B$10 *N71 + $B$11 *N72),$J$2*(M25-$J$3))</f>
        <v>0</v>
      </c>
      <c r="N72" s="37" t="n">
        <f aca="false">MAX(EXP(-$B$6 * $B$3/$B$5) * ($B$10 *O71 + $B$11 *O72),$J$2*(N25-$J$3))</f>
        <v>0</v>
      </c>
      <c r="O72" s="37" t="n">
        <f aca="false">MAX(EXP(-$B$6 * $B$3/$B$5) * ($B$10 *P71 + $B$11 *P72),$J$2*(O25-$J$3))</f>
        <v>0</v>
      </c>
      <c r="P72" s="37" t="n">
        <f aca="false">MAX(EXP(-$B$6 * $B$3/$B$5) * ($B$10 *Q71 + $B$11 *Q72),$J$2*(P25-$J$3))</f>
        <v>0</v>
      </c>
      <c r="Q72" s="1" t="n">
        <f aca="false">MAX($J$2*( Q49-$J$3), 0)</f>
        <v>0</v>
      </c>
    </row>
    <row r="73" customFormat="false" ht="12.5" hidden="false" customHeight="false" outlineLevel="0" collapsed="false">
      <c r="B73" s="36"/>
      <c r="C73" s="37"/>
      <c r="D73" s="37"/>
      <c r="E73" s="37" t="n">
        <f aca="false">MAX(EXP(-$B$6 * $B$3/$B$5) * ($B$10 *F72 + $B$11 *F73),$J$2*(E26-$J$3))</f>
        <v>7.34770138963365</v>
      </c>
      <c r="F73" s="37" t="n">
        <f aca="false">MAX(EXP(-$B$6 * $B$3/$B$5) * ($B$10 *G72 + $B$11 *G73),$J$2*(F26-$J$3))</f>
        <v>4.81385460419047</v>
      </c>
      <c r="G73" s="37" t="n">
        <f aca="false">MAX(EXP(-$B$6 * $B$3/$B$5) * ($B$10 *H72 + $B$11 *H73),$J$2*(G26-$J$3))</f>
        <v>2.86270148356482</v>
      </c>
      <c r="H73" s="37" t="n">
        <f aca="false">MAX(EXP(-$B$6 * $B$3/$B$5) * ($B$10 *I72 + $B$11 *I73),$J$2*(H26-$J$3))</f>
        <v>1.48773992961273</v>
      </c>
      <c r="I73" s="37" t="n">
        <f aca="false">MAX(EXP(-$B$6 * $B$3/$B$5) * ($B$10 *J72 + $B$11 *J73),$J$2*(I26-$J$3))</f>
        <v>0.634470805701741</v>
      </c>
      <c r="J73" s="37" t="n">
        <f aca="false">MAX(EXP(-$B$6 * $B$3/$B$5) * ($B$10 *K72 + $B$11 *K73),$J$2*(J26-$J$3))</f>
        <v>0.197017757963337</v>
      </c>
      <c r="K73" s="37" t="n">
        <f aca="false">MAX(EXP(-$B$6 * $B$3/$B$5) * ($B$10 *L72 + $B$11 *L73),$J$2*(K26-$J$3))</f>
        <v>0.0330416083696421</v>
      </c>
      <c r="L73" s="37" t="n">
        <f aca="false">MAX(EXP(-$B$6 * $B$3/$B$5) * ($B$10 *M72 + $B$11 *M73),$J$2*(L26-$J$3))</f>
        <v>0</v>
      </c>
      <c r="M73" s="37" t="n">
        <f aca="false">MAX(EXP(-$B$6 * $B$3/$B$5) * ($B$10 *N72 + $B$11 *N73),$J$2*(M26-$J$3))</f>
        <v>0</v>
      </c>
      <c r="N73" s="37" t="n">
        <f aca="false">MAX(EXP(-$B$6 * $B$3/$B$5) * ($B$10 *O72 + $B$11 *O73),$J$2*(N26-$J$3))</f>
        <v>0</v>
      </c>
      <c r="O73" s="37" t="n">
        <f aca="false">MAX(EXP(-$B$6 * $B$3/$B$5) * ($B$10 *P72 + $B$11 *P73),$J$2*(O26-$J$3))</f>
        <v>0</v>
      </c>
      <c r="P73" s="37" t="n">
        <f aca="false">MAX(EXP(-$B$6 * $B$3/$B$5) * ($B$10 *Q72 + $B$11 *Q73),$J$2*(P26-$J$3))</f>
        <v>0</v>
      </c>
      <c r="Q73" s="1" t="n">
        <f aca="false">MAX($J$2*( Q50-$J$3), 0)</f>
        <v>0</v>
      </c>
    </row>
    <row r="74" customFormat="false" ht="12.5" hidden="false" customHeight="false" outlineLevel="0" collapsed="false">
      <c r="B74" s="36"/>
      <c r="C74" s="37"/>
      <c r="D74" s="37" t="n">
        <f aca="false">MAX(EXP(-$B$6 * $B$3/$B$5) * ($B$10 *E73 + $B$11 *E74),$J$2*(D27-$J$3))</f>
        <v>5.30237881503505</v>
      </c>
      <c r="E74" s="37" t="n">
        <f aca="false">MAX(EXP(-$B$6 * $B$3/$B$5) * ($B$10 *F73 + $B$11 *F74),$J$2*(E27-$J$3))</f>
        <v>3.32123000031204</v>
      </c>
      <c r="F74" s="37" t="n">
        <f aca="false">MAX(EXP(-$B$6 * $B$3/$B$5) * ($B$10 *G73 + $B$11 *G74),$J$2*(F27-$J$3))</f>
        <v>1.8750776029245</v>
      </c>
      <c r="G74" s="37" t="n">
        <f aca="false">MAX(EXP(-$B$6 * $B$3/$B$5) * ($B$10 *H73 + $B$11 *H74),$J$2*(G27-$J$3))</f>
        <v>0.917991123507015</v>
      </c>
      <c r="H74" s="37" t="n">
        <f aca="false">MAX(EXP(-$B$6 * $B$3/$B$5) * ($B$10 *I73 + $B$11 *I74),$J$2*(H27-$J$3))</f>
        <v>0.36575144645018</v>
      </c>
      <c r="I74" s="37" t="n">
        <f aca="false">MAX(EXP(-$B$6 * $B$3/$B$5) * ($B$10 *J73 + $B$11 *J74),$J$2*(I27-$J$3))</f>
        <v>0.105246033623822</v>
      </c>
      <c r="J74" s="37" t="n">
        <f aca="false">MAX(EXP(-$B$6 * $B$3/$B$5) * ($B$10 *K73 + $B$11 *K74),$J$2*(J27-$J$3))</f>
        <v>0.0162665794495638</v>
      </c>
      <c r="K74" s="37" t="n">
        <f aca="false">MAX(EXP(-$B$6 * $B$3/$B$5) * ($B$10 *L73 + $B$11 *L74),$J$2*(K27-$J$3))</f>
        <v>0</v>
      </c>
      <c r="L74" s="37" t="n">
        <f aca="false">MAX(EXP(-$B$6 * $B$3/$B$5) * ($B$10 *M73 + $B$11 *M74),$J$2*(L27-$J$3))</f>
        <v>0</v>
      </c>
      <c r="M74" s="37" t="n">
        <f aca="false">MAX(EXP(-$B$6 * $B$3/$B$5) * ($B$10 *N73 + $B$11 *N74),$J$2*(M27-$J$3))</f>
        <v>0</v>
      </c>
      <c r="N74" s="37" t="n">
        <f aca="false">MAX(EXP(-$B$6 * $B$3/$B$5) * ($B$10 *O73 + $B$11 *O74),$J$2*(N27-$J$3))</f>
        <v>0</v>
      </c>
      <c r="O74" s="37" t="n">
        <f aca="false">MAX(EXP(-$B$6 * $B$3/$B$5) * ($B$10 *P73 + $B$11 *P74),$J$2*(O27-$J$3))</f>
        <v>0</v>
      </c>
      <c r="P74" s="37" t="n">
        <f aca="false">MAX(EXP(-$B$6 * $B$3/$B$5) * ($B$10 *Q73 + $B$11 *Q74),$J$2*(P27-$J$3))</f>
        <v>0</v>
      </c>
      <c r="Q74" s="1" t="n">
        <f aca="false">MAX($J$2*( Q51-$J$3), 0)</f>
        <v>0</v>
      </c>
    </row>
    <row r="75" customFormat="false" ht="12.5" hidden="false" customHeight="false" outlineLevel="0" collapsed="false">
      <c r="B75" s="36"/>
      <c r="C75" s="37" t="n">
        <f aca="false">MAX(EXP(-$B$6 * $B$3/$B$5) * ($B$10 *D74 + $B$11 *D75),$J$2*(C28-$J$3))</f>
        <v>3.75041449119556</v>
      </c>
      <c r="D75" s="37" t="n">
        <f aca="false">MAX(EXP(-$B$6 * $B$3/$B$5) * ($B$10 *E74 + $B$11 *E75),$J$2*(D28-$J$3))</f>
        <v>2.24696508190583</v>
      </c>
      <c r="E75" s="37" t="n">
        <f aca="false">MAX(EXP(-$B$6 * $B$3/$B$5) * ($B$10 *F74 + $B$11 *F75),$J$2*(E28-$J$3))</f>
        <v>1.20605274521357</v>
      </c>
      <c r="F75" s="37" t="n">
        <f aca="false">MAX(EXP(-$B$6 * $B$3/$B$5) * ($B$10 *G74 + $B$11 *G75),$J$2*(F28-$J$3))</f>
        <v>0.55767205091412</v>
      </c>
      <c r="G75" s="37" t="n">
        <f aca="false">MAX(EXP(-$B$6 * $B$3/$B$5) * ($B$10 *H74 + $B$11 *H75),$J$2*(G28-$J$3))</f>
        <v>0.208411026081879</v>
      </c>
      <c r="H75" s="37" t="n">
        <f aca="false">MAX(EXP(-$B$6 * $B$3/$B$5) * ($B$10 *I74 + $B$11 *I75),$J$2*(H28-$J$3))</f>
        <v>0.0558762585127647</v>
      </c>
      <c r="I75" s="37" t="n">
        <f aca="false">MAX(EXP(-$B$6 * $B$3/$B$5) * ($B$10 *J74 + $B$11 *J75),$J$2*(I28-$J$3))</f>
        <v>0.00800813338227447</v>
      </c>
      <c r="J75" s="37" t="n">
        <f aca="false">MAX(EXP(-$B$6 * $B$3/$B$5) * ($B$10 *K74 + $B$11 *K75),$J$2*(J28-$J$3))</f>
        <v>0</v>
      </c>
      <c r="K75" s="37" t="n">
        <f aca="false">MAX(EXP(-$B$6 * $B$3/$B$5) * ($B$10 *L74 + $B$11 *L75),$J$2*(K28-$J$3))</f>
        <v>0</v>
      </c>
      <c r="L75" s="37" t="n">
        <f aca="false">MAX(EXP(-$B$6 * $B$3/$B$5) * ($B$10 *M74 + $B$11 *M75),$J$2*(L28-$J$3))</f>
        <v>0</v>
      </c>
      <c r="M75" s="37" t="n">
        <f aca="false">MAX(EXP(-$B$6 * $B$3/$B$5) * ($B$10 *N74 + $B$11 *N75),$J$2*(M28-$J$3))</f>
        <v>0</v>
      </c>
      <c r="N75" s="37" t="n">
        <f aca="false">MAX(EXP(-$B$6 * $B$3/$B$5) * ($B$10 *O74 + $B$11 *O75),$J$2*(N28-$J$3))</f>
        <v>0</v>
      </c>
      <c r="O75" s="37" t="n">
        <f aca="false">MAX(EXP(-$B$6 * $B$3/$B$5) * ($B$10 *P74 + $B$11 *P75),$J$2*(O28-$J$3))</f>
        <v>0</v>
      </c>
      <c r="P75" s="37" t="n">
        <f aca="false">MAX(EXP(-$B$6 * $B$3/$B$5) * ($B$10 *Q74 + $B$11 *Q75),$J$2*(P28-$J$3))</f>
        <v>0</v>
      </c>
      <c r="Q75" s="1" t="n">
        <f aca="false">MAX($J$2*( Q52-$J$3), 0)</f>
        <v>0</v>
      </c>
    </row>
    <row r="76" customFormat="false" ht="12.5" hidden="false" customHeight="false" outlineLevel="0" collapsed="false">
      <c r="B76" s="45" t="n">
        <f aca="false">MAX(EXP(-$B$6 * $B$3/$B$5) * ($B$10 *C75 + $B$11 *C76),$J$2*(B29-$J$3))</f>
        <v>2.60407713296656</v>
      </c>
      <c r="C76" s="37" t="n">
        <f aca="false">MAX(EXP(-$B$6 * $B$3/$B$5) * ($B$10 *D75 + $B$11 *D76),$J$2*(C29-$J$3))</f>
        <v>1.49346553825107</v>
      </c>
      <c r="D76" s="37" t="n">
        <f aca="false">MAX(EXP(-$B$6 * $B$3/$B$5) * ($B$10 *E75 + $B$11 *E76),$J$2*(D29-$J$3))</f>
        <v>0.763305566332992</v>
      </c>
      <c r="E76" s="37" t="n">
        <f aca="false">MAX(EXP(-$B$6 * $B$3/$B$5) * ($B$10 *F75 + $B$11 *F76),$J$2*(E29-$J$3))</f>
        <v>0.334197395936734</v>
      </c>
      <c r="F76" s="37" t="n">
        <f aca="false">MAX(EXP(-$B$6 * $B$3/$B$5) * ($B$10 *G75 + $B$11 *G76),$J$2*(F29-$J$3))</f>
        <v>0.11757341722429</v>
      </c>
      <c r="G76" s="37" t="n">
        <f aca="false">MAX(EXP(-$B$6 * $B$3/$B$5) * ($B$10 *H75 + $B$11 *H76),$J$2*(G29-$J$3))</f>
        <v>0.0295084582675886</v>
      </c>
      <c r="H76" s="37" t="n">
        <f aca="false">MAX(EXP(-$B$6 * $B$3/$B$5) * ($B$10 *I75 + $B$11 *I76),$J$2*(H29-$J$3))</f>
        <v>0.00394245148263291</v>
      </c>
      <c r="I76" s="37" t="n">
        <f aca="false">MAX(EXP(-$B$6 * $B$3/$B$5) * ($B$10 *J75 + $B$11 *J76),$J$2*(I29-$J$3))</f>
        <v>0</v>
      </c>
      <c r="J76" s="37" t="n">
        <f aca="false">MAX(EXP(-$B$6 * $B$3/$B$5) * ($B$10 *K75 + $B$11 *K76),$J$2*(J29-$J$3))</f>
        <v>0</v>
      </c>
      <c r="K76" s="37" t="n">
        <f aca="false">MAX(EXP(-$B$6 * $B$3/$B$5) * ($B$10 *L75 + $B$11 *L76),$J$2*(K29-$J$3))</f>
        <v>0</v>
      </c>
      <c r="L76" s="37" t="n">
        <f aca="false">MAX(EXP(-$B$6 * $B$3/$B$5) * ($B$10 *M75 + $B$11 *M76),$J$2*(L29-$J$3))</f>
        <v>0</v>
      </c>
      <c r="M76" s="37" t="n">
        <f aca="false">MAX(EXP(-$B$6 * $B$3/$B$5) * ($B$10 *N75 + $B$11 *N76),$J$2*(M29-$J$3))</f>
        <v>0</v>
      </c>
      <c r="N76" s="37" t="n">
        <f aca="false">MAX(EXP(-$B$6 * $B$3/$B$5) * ($B$10 *O75 + $B$11 *O76),$J$2*(N29-$J$3))</f>
        <v>0</v>
      </c>
      <c r="O76" s="37" t="n">
        <f aca="false">MAX(EXP(-$B$6 * $B$3/$B$5) * ($B$10 *P75 + $B$11 *P76),$J$2*(O29-$J$3))</f>
        <v>0</v>
      </c>
      <c r="P76" s="37" t="n">
        <f aca="false">MAX(EXP(-$B$6 * $B$3/$B$5) * ($B$10 *Q75 + $B$11 *Q76),$J$2*(P29-$J$3))</f>
        <v>0</v>
      </c>
      <c r="Q76" s="1" t="n">
        <f aca="false">MAX($J$2*( Q53-$J$3), 0)</f>
        <v>0</v>
      </c>
    </row>
    <row r="77" customFormat="false" ht="12.5" hidden="false" customHeight="false" outlineLevel="0" collapsed="false">
      <c r="B77" s="36"/>
      <c r="C77" s="37"/>
      <c r="D77" s="37"/>
      <c r="E77" s="37"/>
      <c r="F77" s="37"/>
      <c r="G77" s="37"/>
      <c r="H77" s="37"/>
      <c r="I77" s="37"/>
      <c r="J77" s="37"/>
      <c r="K77" s="37"/>
      <c r="L77" s="32"/>
    </row>
    <row r="78" customFormat="false" ht="13.5" hidden="false" customHeight="false" outlineLevel="0" collapsed="false">
      <c r="B78" s="38" t="s">
        <v>19</v>
      </c>
      <c r="C78" s="39" t="s">
        <v>20</v>
      </c>
      <c r="D78" s="39" t="s">
        <v>21</v>
      </c>
      <c r="E78" s="39" t="s">
        <v>22</v>
      </c>
      <c r="F78" s="39" t="s">
        <v>23</v>
      </c>
      <c r="G78" s="39" t="s">
        <v>24</v>
      </c>
      <c r="H78" s="39" t="s">
        <v>25</v>
      </c>
      <c r="I78" s="39" t="s">
        <v>26</v>
      </c>
      <c r="J78" s="39" t="s">
        <v>27</v>
      </c>
      <c r="K78" s="39" t="s">
        <v>28</v>
      </c>
      <c r="L78" s="40" t="s">
        <v>29</v>
      </c>
      <c r="M78" s="40" t="s">
        <v>30</v>
      </c>
      <c r="N78" s="40" t="s">
        <v>31</v>
      </c>
      <c r="O78" s="40" t="s">
        <v>32</v>
      </c>
      <c r="P78" s="40" t="s">
        <v>33</v>
      </c>
      <c r="Q78" s="40" t="s">
        <v>34</v>
      </c>
    </row>
  </sheetData>
  <mergeCells count="4">
    <mergeCell ref="A1:B1"/>
    <mergeCell ref="E1:F1"/>
    <mergeCell ref="I1:J1"/>
    <mergeCell ref="B18:C18"/>
  </mergeCells>
  <dataValidations count="2">
    <dataValidation allowBlank="true" operator="between" showDropDown="false" showErrorMessage="true" showInputMessage="true" sqref="J2" type="list">
      <formula1>"1,-1"</formula1>
      <formula2>0</formula2>
    </dataValidation>
    <dataValidation allowBlank="true" operator="between" showDropDown="false" showErrorMessage="true" showInputMessage="true" sqref="H5 J5" type="list">
      <formula1>"European,American"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2015-10-22T15:20:39Z</dcterms:created>
  <dc:creator>Tom Sun</dc:creator>
  <dc:description/>
  <dc:language>en-US</dc:language>
  <cp:lastModifiedBy>Le Van</cp:lastModifiedBy>
  <dcterms:modified xsi:type="dcterms:W3CDTF">2015-10-24T09:26:08Z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